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4pupp\Downloads\"/>
    </mc:Choice>
  </mc:AlternateContent>
  <xr:revisionPtr revIDLastSave="0" documentId="13_ncr:1_{420EFF04-DA1F-4F18-B81A-AF66AE1DB0F2}" xr6:coauthVersionLast="47" xr6:coauthVersionMax="47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Polycom" sheetId="1" r:id="rId1"/>
    <sheet name="Jabra" sheetId="2" r:id="rId2"/>
    <sheet name="Plantronics" sheetId="3" r:id="rId3"/>
    <sheet name="XPC" sheetId="4" r:id="rId4"/>
    <sheet name="Eaton-new" sheetId="5" r:id="rId5"/>
    <sheet name="APC-new" sheetId="6" r:id="rId6"/>
    <sheet name="Avaya" sheetId="7" r:id="rId7"/>
    <sheet name="Yealink" sheetId="8" r:id="rId8"/>
    <sheet name="VTech-Snom" sheetId="9" r:id="rId9"/>
    <sheet name="ITW Linx" sheetId="10" r:id="rId10"/>
    <sheet name="Viking" sheetId="11" r:id="rId11"/>
    <sheet name="Valcom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gnU91+BFwc4/9qjOL5TO+Od4/TuA=="/>
    </ext>
  </extLst>
</workbook>
</file>

<file path=xl/calcChain.xml><?xml version="1.0" encoding="utf-8"?>
<calcChain xmlns="http://schemas.openxmlformats.org/spreadsheetml/2006/main">
  <c r="J11" i="11" l="1"/>
  <c r="K11" i="11" s="1"/>
  <c r="J14" i="11"/>
  <c r="K14" i="11" s="1"/>
  <c r="G24" i="11"/>
  <c r="J26" i="11"/>
  <c r="K26" i="11" s="1"/>
  <c r="J37" i="11"/>
  <c r="K37" i="11" s="1"/>
  <c r="J38" i="11"/>
  <c r="K38" i="11" s="1"/>
  <c r="G48" i="11"/>
  <c r="G57" i="11"/>
  <c r="G68" i="11"/>
  <c r="G69" i="11"/>
  <c r="J109" i="11"/>
  <c r="K109" i="11" s="1"/>
  <c r="G110" i="11"/>
  <c r="G120" i="11"/>
  <c r="J121" i="11"/>
  <c r="K121" i="11" s="1"/>
  <c r="J152" i="11"/>
  <c r="K152" i="11" s="1"/>
  <c r="J157" i="11"/>
  <c r="K157" i="11" s="1"/>
  <c r="G248" i="11"/>
  <c r="G278" i="11"/>
  <c r="J330" i="11"/>
  <c r="K330" i="11" s="1"/>
  <c r="J331" i="11"/>
  <c r="K331" i="11" s="1"/>
  <c r="K272" i="12"/>
  <c r="J272" i="12"/>
  <c r="G272" i="12"/>
  <c r="J271" i="12"/>
  <c r="K271" i="12" s="1"/>
  <c r="G271" i="12"/>
  <c r="J270" i="12"/>
  <c r="K270" i="12" s="1"/>
  <c r="G270" i="12"/>
  <c r="J269" i="12"/>
  <c r="K269" i="12" s="1"/>
  <c r="G269" i="12"/>
  <c r="J268" i="12"/>
  <c r="K268" i="12" s="1"/>
  <c r="G268" i="12"/>
  <c r="J267" i="12"/>
  <c r="K267" i="12" s="1"/>
  <c r="G267" i="12"/>
  <c r="J266" i="12"/>
  <c r="K266" i="12" s="1"/>
  <c r="G266" i="12"/>
  <c r="J265" i="12"/>
  <c r="K265" i="12" s="1"/>
  <c r="G265" i="12"/>
  <c r="K264" i="12"/>
  <c r="J264" i="12"/>
  <c r="G264" i="12"/>
  <c r="K263" i="12"/>
  <c r="J263" i="12"/>
  <c r="G263" i="12"/>
  <c r="J262" i="12"/>
  <c r="K262" i="12" s="1"/>
  <c r="G262" i="12"/>
  <c r="J261" i="12"/>
  <c r="K261" i="12" s="1"/>
  <c r="G261" i="12"/>
  <c r="J260" i="12"/>
  <c r="K260" i="12" s="1"/>
  <c r="G260" i="12"/>
  <c r="J259" i="12"/>
  <c r="K259" i="12" s="1"/>
  <c r="G259" i="12"/>
  <c r="J258" i="12"/>
  <c r="K258" i="12" s="1"/>
  <c r="G258" i="12"/>
  <c r="J257" i="12"/>
  <c r="K257" i="12" s="1"/>
  <c r="G257" i="12"/>
  <c r="J256" i="12"/>
  <c r="K256" i="12" s="1"/>
  <c r="G256" i="12"/>
  <c r="K255" i="12"/>
  <c r="J255" i="12"/>
  <c r="G255" i="12"/>
  <c r="J254" i="12"/>
  <c r="K254" i="12" s="1"/>
  <c r="G254" i="12"/>
  <c r="J253" i="12"/>
  <c r="K253" i="12" s="1"/>
  <c r="G253" i="12"/>
  <c r="J252" i="12"/>
  <c r="K252" i="12" s="1"/>
  <c r="G252" i="12"/>
  <c r="J251" i="12"/>
  <c r="K251" i="12" s="1"/>
  <c r="G251" i="12"/>
  <c r="J250" i="12"/>
  <c r="K250" i="12" s="1"/>
  <c r="G250" i="12"/>
  <c r="J249" i="12"/>
  <c r="K249" i="12" s="1"/>
  <c r="G249" i="12"/>
  <c r="J248" i="12"/>
  <c r="K248" i="12" s="1"/>
  <c r="G248" i="12"/>
  <c r="J247" i="12"/>
  <c r="K247" i="12" s="1"/>
  <c r="G247" i="12"/>
  <c r="J246" i="12"/>
  <c r="K246" i="12" s="1"/>
  <c r="G246" i="12"/>
  <c r="J245" i="12"/>
  <c r="K245" i="12" s="1"/>
  <c r="G245" i="12"/>
  <c r="J244" i="12"/>
  <c r="K244" i="12" s="1"/>
  <c r="G244" i="12"/>
  <c r="J243" i="12"/>
  <c r="K243" i="12" s="1"/>
  <c r="G243" i="12"/>
  <c r="J242" i="12"/>
  <c r="K242" i="12" s="1"/>
  <c r="G242" i="12"/>
  <c r="K241" i="12"/>
  <c r="J241" i="12"/>
  <c r="G241" i="12"/>
  <c r="J240" i="12"/>
  <c r="K240" i="12" s="1"/>
  <c r="G240" i="12"/>
  <c r="J239" i="12"/>
  <c r="K239" i="12" s="1"/>
  <c r="G239" i="12"/>
  <c r="J238" i="12"/>
  <c r="K238" i="12" s="1"/>
  <c r="G238" i="12"/>
  <c r="J237" i="12"/>
  <c r="K237" i="12" s="1"/>
  <c r="G237" i="12"/>
  <c r="J236" i="12"/>
  <c r="K236" i="12" s="1"/>
  <c r="G236" i="12"/>
  <c r="K235" i="12"/>
  <c r="J235" i="12"/>
  <c r="G235" i="12"/>
  <c r="J234" i="12"/>
  <c r="K234" i="12" s="1"/>
  <c r="G234" i="12"/>
  <c r="J233" i="12"/>
  <c r="K233" i="12" s="1"/>
  <c r="G233" i="12"/>
  <c r="K232" i="12"/>
  <c r="J232" i="12"/>
  <c r="G232" i="12"/>
  <c r="J231" i="12"/>
  <c r="K231" i="12" s="1"/>
  <c r="G231" i="12"/>
  <c r="J230" i="12"/>
  <c r="K230" i="12" s="1"/>
  <c r="G230" i="12"/>
  <c r="J229" i="12"/>
  <c r="K229" i="12" s="1"/>
  <c r="G229" i="12"/>
  <c r="J228" i="12"/>
  <c r="K228" i="12" s="1"/>
  <c r="G228" i="12"/>
  <c r="K227" i="12"/>
  <c r="J227" i="12"/>
  <c r="G227" i="12"/>
  <c r="K226" i="12"/>
  <c r="J226" i="12"/>
  <c r="G226" i="12"/>
  <c r="J225" i="12"/>
  <c r="K225" i="12" s="1"/>
  <c r="G225" i="12"/>
  <c r="K224" i="12"/>
  <c r="J224" i="12"/>
  <c r="G224" i="12"/>
  <c r="K223" i="12"/>
  <c r="J223" i="12"/>
  <c r="G223" i="12"/>
  <c r="J222" i="12"/>
  <c r="K222" i="12" s="1"/>
  <c r="G222" i="12"/>
  <c r="J221" i="12"/>
  <c r="K221" i="12" s="1"/>
  <c r="G221" i="12"/>
  <c r="J220" i="12"/>
  <c r="K220" i="12" s="1"/>
  <c r="G220" i="12"/>
  <c r="K219" i="12"/>
  <c r="J219" i="12"/>
  <c r="G219" i="12"/>
  <c r="J218" i="12"/>
  <c r="K218" i="12" s="1"/>
  <c r="G218" i="12"/>
  <c r="J217" i="12"/>
  <c r="K217" i="12" s="1"/>
  <c r="G217" i="12"/>
  <c r="J216" i="12"/>
  <c r="K216" i="12" s="1"/>
  <c r="G216" i="12"/>
  <c r="K215" i="12"/>
  <c r="J215" i="12"/>
  <c r="G215" i="12"/>
  <c r="J214" i="12"/>
  <c r="K214" i="12" s="1"/>
  <c r="G214" i="12"/>
  <c r="J213" i="12"/>
  <c r="K213" i="12" s="1"/>
  <c r="G213" i="12"/>
  <c r="J212" i="12"/>
  <c r="K212" i="12" s="1"/>
  <c r="G212" i="12"/>
  <c r="J211" i="12"/>
  <c r="K211" i="12" s="1"/>
  <c r="G211" i="12"/>
  <c r="K210" i="12"/>
  <c r="J210" i="12"/>
  <c r="G210" i="12"/>
  <c r="J209" i="12"/>
  <c r="K209" i="12" s="1"/>
  <c r="G209" i="12"/>
  <c r="J208" i="12"/>
  <c r="K208" i="12" s="1"/>
  <c r="G208" i="12"/>
  <c r="J207" i="12"/>
  <c r="K207" i="12" s="1"/>
  <c r="G207" i="12"/>
  <c r="J206" i="12"/>
  <c r="K206" i="12" s="1"/>
  <c r="G206" i="12"/>
  <c r="J205" i="12"/>
  <c r="K205" i="12" s="1"/>
  <c r="G205" i="12"/>
  <c r="J204" i="12"/>
  <c r="K204" i="12" s="1"/>
  <c r="G204" i="12"/>
  <c r="J203" i="12"/>
  <c r="K203" i="12" s="1"/>
  <c r="G203" i="12"/>
  <c r="J202" i="12"/>
  <c r="K202" i="12" s="1"/>
  <c r="G202" i="12"/>
  <c r="J201" i="12"/>
  <c r="K201" i="12" s="1"/>
  <c r="G201" i="12"/>
  <c r="J200" i="12"/>
  <c r="K200" i="12" s="1"/>
  <c r="G200" i="12"/>
  <c r="J199" i="12"/>
  <c r="K199" i="12" s="1"/>
  <c r="G199" i="12"/>
  <c r="J198" i="12"/>
  <c r="K198" i="12" s="1"/>
  <c r="G198" i="12"/>
  <c r="J197" i="12"/>
  <c r="K197" i="12" s="1"/>
  <c r="G197" i="12"/>
  <c r="J196" i="12"/>
  <c r="K196" i="12" s="1"/>
  <c r="G196" i="12"/>
  <c r="J195" i="12"/>
  <c r="K195" i="12" s="1"/>
  <c r="G195" i="12"/>
  <c r="J194" i="12"/>
  <c r="K194" i="12" s="1"/>
  <c r="G194" i="12"/>
  <c r="J193" i="12"/>
  <c r="K193" i="12" s="1"/>
  <c r="G193" i="12"/>
  <c r="J192" i="12"/>
  <c r="K192" i="12" s="1"/>
  <c r="G192" i="12"/>
  <c r="J191" i="12"/>
  <c r="K191" i="12" s="1"/>
  <c r="G191" i="12"/>
  <c r="J190" i="12"/>
  <c r="K190" i="12" s="1"/>
  <c r="G190" i="12"/>
  <c r="J189" i="12"/>
  <c r="K189" i="12" s="1"/>
  <c r="G189" i="12"/>
  <c r="J188" i="12"/>
  <c r="K188" i="12" s="1"/>
  <c r="G188" i="12"/>
  <c r="J187" i="12"/>
  <c r="K187" i="12" s="1"/>
  <c r="G187" i="12"/>
  <c r="J186" i="12"/>
  <c r="K186" i="12" s="1"/>
  <c r="G186" i="12"/>
  <c r="J185" i="12"/>
  <c r="K185" i="12" s="1"/>
  <c r="G185" i="12"/>
  <c r="J184" i="12"/>
  <c r="K184" i="12" s="1"/>
  <c r="G184" i="12"/>
  <c r="J183" i="12"/>
  <c r="K183" i="12" s="1"/>
  <c r="G183" i="12"/>
  <c r="J182" i="12"/>
  <c r="K182" i="12" s="1"/>
  <c r="G182" i="12"/>
  <c r="J181" i="12"/>
  <c r="K181" i="12" s="1"/>
  <c r="G181" i="12"/>
  <c r="J180" i="12"/>
  <c r="K180" i="12" s="1"/>
  <c r="G180" i="12"/>
  <c r="J179" i="12"/>
  <c r="K179" i="12" s="1"/>
  <c r="G179" i="12"/>
  <c r="J178" i="12"/>
  <c r="K178" i="12" s="1"/>
  <c r="G178" i="12"/>
  <c r="J177" i="12"/>
  <c r="K177" i="12" s="1"/>
  <c r="G177" i="12"/>
  <c r="J176" i="12"/>
  <c r="K176" i="12" s="1"/>
  <c r="G176" i="12"/>
  <c r="J175" i="12"/>
  <c r="K175" i="12" s="1"/>
  <c r="G175" i="12"/>
  <c r="J174" i="12"/>
  <c r="K174" i="12" s="1"/>
  <c r="G174" i="12"/>
  <c r="J173" i="12"/>
  <c r="K173" i="12" s="1"/>
  <c r="G173" i="12"/>
  <c r="J172" i="12"/>
  <c r="K172" i="12" s="1"/>
  <c r="G172" i="12"/>
  <c r="J171" i="12"/>
  <c r="K171" i="12" s="1"/>
  <c r="G171" i="12"/>
  <c r="K170" i="12"/>
  <c r="J170" i="12"/>
  <c r="G170" i="12"/>
  <c r="J169" i="12"/>
  <c r="K169" i="12" s="1"/>
  <c r="G169" i="12"/>
  <c r="J168" i="12"/>
  <c r="K168" i="12" s="1"/>
  <c r="G168" i="12"/>
  <c r="J167" i="12"/>
  <c r="K167" i="12" s="1"/>
  <c r="G167" i="12"/>
  <c r="J166" i="12"/>
  <c r="K166" i="12" s="1"/>
  <c r="G166" i="12"/>
  <c r="J165" i="12"/>
  <c r="K165" i="12" s="1"/>
  <c r="G165" i="12"/>
  <c r="J164" i="12"/>
  <c r="K164" i="12" s="1"/>
  <c r="G164" i="12"/>
  <c r="K163" i="12"/>
  <c r="J163" i="12"/>
  <c r="G163" i="12"/>
  <c r="K162" i="12"/>
  <c r="J162" i="12"/>
  <c r="G162" i="12"/>
  <c r="J161" i="12"/>
  <c r="K161" i="12" s="1"/>
  <c r="G161" i="12"/>
  <c r="K160" i="12"/>
  <c r="J160" i="12"/>
  <c r="G160" i="12"/>
  <c r="J159" i="12"/>
  <c r="K159" i="12" s="1"/>
  <c r="G159" i="12"/>
  <c r="J158" i="12"/>
  <c r="K158" i="12" s="1"/>
  <c r="G158" i="12"/>
  <c r="J157" i="12"/>
  <c r="K157" i="12" s="1"/>
  <c r="G157" i="12"/>
  <c r="J156" i="12"/>
  <c r="K156" i="12" s="1"/>
  <c r="G156" i="12"/>
  <c r="K155" i="12"/>
  <c r="J155" i="12"/>
  <c r="G155" i="12"/>
  <c r="J154" i="12"/>
  <c r="K154" i="12" s="1"/>
  <c r="G154" i="12"/>
  <c r="J153" i="12"/>
  <c r="K153" i="12" s="1"/>
  <c r="G153" i="12"/>
  <c r="K152" i="12"/>
  <c r="J152" i="12"/>
  <c r="G152" i="12"/>
  <c r="J151" i="12"/>
  <c r="K151" i="12" s="1"/>
  <c r="G151" i="12"/>
  <c r="J150" i="12"/>
  <c r="K150" i="12" s="1"/>
  <c r="G150" i="12"/>
  <c r="J149" i="12"/>
  <c r="K149" i="12" s="1"/>
  <c r="G149" i="12"/>
  <c r="J148" i="12"/>
  <c r="K148" i="12" s="1"/>
  <c r="G148" i="12"/>
  <c r="J147" i="12"/>
  <c r="K147" i="12" s="1"/>
  <c r="G147" i="12"/>
  <c r="J146" i="12"/>
  <c r="K146" i="12" s="1"/>
  <c r="G146" i="12"/>
  <c r="J145" i="12"/>
  <c r="K145" i="12" s="1"/>
  <c r="G145" i="12"/>
  <c r="K144" i="12"/>
  <c r="J144" i="12"/>
  <c r="G144" i="12"/>
  <c r="K143" i="12"/>
  <c r="J143" i="12"/>
  <c r="G143" i="12"/>
  <c r="J142" i="12"/>
  <c r="K142" i="12" s="1"/>
  <c r="G142" i="12"/>
  <c r="J141" i="12"/>
  <c r="K141" i="12" s="1"/>
  <c r="G141" i="12"/>
  <c r="J140" i="12"/>
  <c r="K140" i="12" s="1"/>
  <c r="G140" i="12"/>
  <c r="K139" i="12"/>
  <c r="J139" i="12"/>
  <c r="G139" i="12"/>
  <c r="J138" i="12"/>
  <c r="K138" i="12" s="1"/>
  <c r="G138" i="12"/>
  <c r="J137" i="12"/>
  <c r="K137" i="12" s="1"/>
  <c r="G137" i="12"/>
  <c r="J136" i="12"/>
  <c r="K136" i="12" s="1"/>
  <c r="G136" i="12"/>
  <c r="K135" i="12"/>
  <c r="J135" i="12"/>
  <c r="G135" i="12"/>
  <c r="J134" i="12"/>
  <c r="K134" i="12" s="1"/>
  <c r="G134" i="12"/>
  <c r="J133" i="12"/>
  <c r="K133" i="12" s="1"/>
  <c r="G133" i="12"/>
  <c r="J132" i="12"/>
  <c r="K132" i="12" s="1"/>
  <c r="G132" i="12"/>
  <c r="J131" i="12"/>
  <c r="K131" i="12" s="1"/>
  <c r="G131" i="12"/>
  <c r="K130" i="12"/>
  <c r="J130" i="12"/>
  <c r="G130" i="12"/>
  <c r="J129" i="12"/>
  <c r="K129" i="12" s="1"/>
  <c r="G129" i="12"/>
  <c r="J128" i="12"/>
  <c r="K128" i="12" s="1"/>
  <c r="G128" i="12"/>
  <c r="J127" i="12"/>
  <c r="K127" i="12" s="1"/>
  <c r="G127" i="12"/>
  <c r="J126" i="12"/>
  <c r="K126" i="12" s="1"/>
  <c r="G126" i="12"/>
  <c r="J125" i="12"/>
  <c r="K125" i="12" s="1"/>
  <c r="G125" i="12"/>
  <c r="J124" i="12"/>
  <c r="K124" i="12" s="1"/>
  <c r="G124" i="12"/>
  <c r="J123" i="12"/>
  <c r="K123" i="12" s="1"/>
  <c r="G123" i="12"/>
  <c r="J122" i="12"/>
  <c r="K122" i="12" s="1"/>
  <c r="G122" i="12"/>
  <c r="K121" i="12"/>
  <c r="J121" i="12"/>
  <c r="G121" i="12"/>
  <c r="J120" i="12"/>
  <c r="K120" i="12" s="1"/>
  <c r="G120" i="12"/>
  <c r="J119" i="12"/>
  <c r="K119" i="12" s="1"/>
  <c r="G119" i="12"/>
  <c r="J118" i="12"/>
  <c r="K118" i="12" s="1"/>
  <c r="G118" i="12"/>
  <c r="J117" i="12"/>
  <c r="K117" i="12" s="1"/>
  <c r="G117" i="12"/>
  <c r="J116" i="12"/>
  <c r="K116" i="12" s="1"/>
  <c r="G116" i="12"/>
  <c r="K115" i="12"/>
  <c r="J115" i="12"/>
  <c r="G115" i="12"/>
  <c r="J114" i="12"/>
  <c r="K114" i="12" s="1"/>
  <c r="G114" i="12"/>
  <c r="J113" i="12"/>
  <c r="K113" i="12" s="1"/>
  <c r="G113" i="12"/>
  <c r="K112" i="12"/>
  <c r="J112" i="12"/>
  <c r="G112" i="12"/>
  <c r="J111" i="12"/>
  <c r="K111" i="12" s="1"/>
  <c r="G111" i="12"/>
  <c r="J110" i="12"/>
  <c r="K110" i="12" s="1"/>
  <c r="G110" i="12"/>
  <c r="J109" i="12"/>
  <c r="K109" i="12" s="1"/>
  <c r="G109" i="12"/>
  <c r="J108" i="12"/>
  <c r="K108" i="12" s="1"/>
  <c r="G108" i="12"/>
  <c r="K107" i="12"/>
  <c r="J107" i="12"/>
  <c r="G107" i="12"/>
  <c r="K106" i="12"/>
  <c r="J106" i="12"/>
  <c r="G106" i="12"/>
  <c r="J105" i="12"/>
  <c r="K105" i="12" s="1"/>
  <c r="G105" i="12"/>
  <c r="J104" i="12"/>
  <c r="K104" i="12" s="1"/>
  <c r="G104" i="12"/>
  <c r="K103" i="12"/>
  <c r="J103" i="12"/>
  <c r="G103" i="12"/>
  <c r="J102" i="12"/>
  <c r="K102" i="12" s="1"/>
  <c r="G102" i="12"/>
  <c r="J101" i="12"/>
  <c r="K101" i="12" s="1"/>
  <c r="G101" i="12"/>
  <c r="J100" i="12"/>
  <c r="K100" i="12" s="1"/>
  <c r="G100" i="12"/>
  <c r="J99" i="12"/>
  <c r="K99" i="12" s="1"/>
  <c r="G99" i="12"/>
  <c r="K98" i="12"/>
  <c r="J98" i="12"/>
  <c r="G98" i="12"/>
  <c r="J97" i="12"/>
  <c r="K97" i="12" s="1"/>
  <c r="G97" i="12"/>
  <c r="J96" i="12"/>
  <c r="K96" i="12" s="1"/>
  <c r="G96" i="12"/>
  <c r="K95" i="12"/>
  <c r="J95" i="12"/>
  <c r="G95" i="12"/>
  <c r="J94" i="12"/>
  <c r="K94" i="12" s="1"/>
  <c r="G94" i="12"/>
  <c r="J93" i="12"/>
  <c r="K93" i="12" s="1"/>
  <c r="G93" i="12"/>
  <c r="J92" i="12"/>
  <c r="K92" i="12" s="1"/>
  <c r="G92" i="12"/>
  <c r="J91" i="12"/>
  <c r="K91" i="12" s="1"/>
  <c r="G91" i="12"/>
  <c r="K90" i="12"/>
  <c r="J90" i="12"/>
  <c r="G90" i="12"/>
  <c r="J89" i="12"/>
  <c r="K89" i="12" s="1"/>
  <c r="G89" i="12"/>
  <c r="J88" i="12"/>
  <c r="K88" i="12" s="1"/>
  <c r="G88" i="12"/>
  <c r="K87" i="12"/>
  <c r="J87" i="12"/>
  <c r="G87" i="12"/>
  <c r="J86" i="12"/>
  <c r="K86" i="12" s="1"/>
  <c r="G86" i="12"/>
  <c r="J85" i="12"/>
  <c r="K85" i="12" s="1"/>
  <c r="G85" i="12"/>
  <c r="J84" i="12"/>
  <c r="K84" i="12" s="1"/>
  <c r="G84" i="12"/>
  <c r="K83" i="12"/>
  <c r="J83" i="12"/>
  <c r="G83" i="12"/>
  <c r="J82" i="12"/>
  <c r="K82" i="12" s="1"/>
  <c r="G82" i="12"/>
  <c r="J81" i="12"/>
  <c r="K81" i="12" s="1"/>
  <c r="G81" i="12"/>
  <c r="J80" i="12"/>
  <c r="K80" i="12" s="1"/>
  <c r="G80" i="12"/>
  <c r="J79" i="12"/>
  <c r="K79" i="12" s="1"/>
  <c r="G79" i="12"/>
  <c r="J78" i="12"/>
  <c r="K78" i="12" s="1"/>
  <c r="G78" i="12"/>
  <c r="J77" i="12"/>
  <c r="K77" i="12" s="1"/>
  <c r="G77" i="12"/>
  <c r="J76" i="12"/>
  <c r="K76" i="12" s="1"/>
  <c r="G76" i="12"/>
  <c r="K75" i="12"/>
  <c r="J75" i="12"/>
  <c r="G75" i="12"/>
  <c r="K74" i="12"/>
  <c r="J74" i="12"/>
  <c r="G74" i="12"/>
  <c r="J73" i="12"/>
  <c r="K73" i="12" s="1"/>
  <c r="G73" i="12"/>
  <c r="K72" i="12"/>
  <c r="J72" i="12"/>
  <c r="G72" i="12"/>
  <c r="K71" i="12"/>
  <c r="J71" i="12"/>
  <c r="G71" i="12"/>
  <c r="J70" i="12"/>
  <c r="K70" i="12" s="1"/>
  <c r="G70" i="12"/>
  <c r="J69" i="12"/>
  <c r="K69" i="12" s="1"/>
  <c r="G69" i="12"/>
  <c r="J68" i="12"/>
  <c r="K68" i="12" s="1"/>
  <c r="G68" i="12"/>
  <c r="J67" i="12"/>
  <c r="K67" i="12" s="1"/>
  <c r="G67" i="12"/>
  <c r="J66" i="12"/>
  <c r="K66" i="12" s="1"/>
  <c r="G66" i="12"/>
  <c r="J65" i="12"/>
  <c r="K65" i="12" s="1"/>
  <c r="G65" i="12"/>
  <c r="J64" i="12"/>
  <c r="K64" i="12" s="1"/>
  <c r="G64" i="12"/>
  <c r="J63" i="12"/>
  <c r="K63" i="12" s="1"/>
  <c r="G63" i="12"/>
  <c r="J62" i="12"/>
  <c r="K62" i="12" s="1"/>
  <c r="G62" i="12"/>
  <c r="J61" i="12"/>
  <c r="K61" i="12" s="1"/>
  <c r="G61" i="12"/>
  <c r="J60" i="12"/>
  <c r="K60" i="12" s="1"/>
  <c r="G60" i="12"/>
  <c r="K59" i="12"/>
  <c r="J59" i="12"/>
  <c r="G59" i="12"/>
  <c r="K58" i="12"/>
  <c r="J58" i="12"/>
  <c r="G58" i="12"/>
  <c r="J57" i="12"/>
  <c r="K57" i="12" s="1"/>
  <c r="G57" i="12"/>
  <c r="J56" i="12"/>
  <c r="K56" i="12" s="1"/>
  <c r="G56" i="12"/>
  <c r="J55" i="12"/>
  <c r="K55" i="12" s="1"/>
  <c r="G55" i="12"/>
  <c r="J54" i="12"/>
  <c r="K54" i="12" s="1"/>
  <c r="G54" i="12"/>
  <c r="J53" i="12"/>
  <c r="K53" i="12" s="1"/>
  <c r="G53" i="12"/>
  <c r="J52" i="12"/>
  <c r="K52" i="12" s="1"/>
  <c r="G52" i="12"/>
  <c r="J51" i="12"/>
  <c r="K51" i="12" s="1"/>
  <c r="G51" i="12"/>
  <c r="J50" i="12"/>
  <c r="K50" i="12" s="1"/>
  <c r="G50" i="12"/>
  <c r="J49" i="12"/>
  <c r="K49" i="12" s="1"/>
  <c r="G49" i="12"/>
  <c r="J48" i="12"/>
  <c r="K48" i="12" s="1"/>
  <c r="G48" i="12"/>
  <c r="J47" i="12"/>
  <c r="K47" i="12" s="1"/>
  <c r="G47" i="12"/>
  <c r="J46" i="12"/>
  <c r="K46" i="12" s="1"/>
  <c r="G46" i="12"/>
  <c r="K45" i="12"/>
  <c r="J45" i="12"/>
  <c r="G45" i="12"/>
  <c r="J44" i="12"/>
  <c r="K44" i="12" s="1"/>
  <c r="G44" i="12"/>
  <c r="K43" i="12"/>
  <c r="J43" i="12"/>
  <c r="G43" i="12"/>
  <c r="J42" i="12"/>
  <c r="K42" i="12" s="1"/>
  <c r="G42" i="12"/>
  <c r="J41" i="12"/>
  <c r="K41" i="12" s="1"/>
  <c r="G41" i="12"/>
  <c r="J40" i="12"/>
  <c r="K40" i="12" s="1"/>
  <c r="G40" i="12"/>
  <c r="J39" i="12"/>
  <c r="K39" i="12" s="1"/>
  <c r="G39" i="12"/>
  <c r="J38" i="12"/>
  <c r="K38" i="12" s="1"/>
  <c r="G38" i="12"/>
  <c r="J37" i="12"/>
  <c r="K37" i="12" s="1"/>
  <c r="G37" i="12"/>
  <c r="J36" i="12"/>
  <c r="K36" i="12" s="1"/>
  <c r="G36" i="12"/>
  <c r="K35" i="12"/>
  <c r="J35" i="12"/>
  <c r="G35" i="12"/>
  <c r="J34" i="12"/>
  <c r="K34" i="12" s="1"/>
  <c r="G34" i="12"/>
  <c r="J33" i="12"/>
  <c r="K33" i="12" s="1"/>
  <c r="G33" i="12"/>
  <c r="J32" i="12"/>
  <c r="K32" i="12" s="1"/>
  <c r="G32" i="12"/>
  <c r="K31" i="12"/>
  <c r="J31" i="12"/>
  <c r="G31" i="12"/>
  <c r="J30" i="12"/>
  <c r="K30" i="12" s="1"/>
  <c r="G30" i="12"/>
  <c r="J29" i="12"/>
  <c r="K29" i="12" s="1"/>
  <c r="G29" i="12"/>
  <c r="J28" i="12"/>
  <c r="K28" i="12" s="1"/>
  <c r="G28" i="12"/>
  <c r="J27" i="12"/>
  <c r="K27" i="12" s="1"/>
  <c r="G27" i="12"/>
  <c r="J26" i="12"/>
  <c r="K26" i="12" s="1"/>
  <c r="G26" i="12"/>
  <c r="J25" i="12"/>
  <c r="K25" i="12" s="1"/>
  <c r="G25" i="12"/>
  <c r="J24" i="12"/>
  <c r="K24" i="12" s="1"/>
  <c r="G24" i="12"/>
  <c r="J23" i="12"/>
  <c r="K23" i="12" s="1"/>
  <c r="G23" i="12"/>
  <c r="J22" i="12"/>
  <c r="K22" i="12" s="1"/>
  <c r="G22" i="12"/>
  <c r="J21" i="12"/>
  <c r="K21" i="12" s="1"/>
  <c r="G21" i="12"/>
  <c r="J20" i="12"/>
  <c r="K20" i="12" s="1"/>
  <c r="G20" i="12"/>
  <c r="J19" i="12"/>
  <c r="K19" i="12" s="1"/>
  <c r="G19" i="12"/>
  <c r="J18" i="12"/>
  <c r="K18" i="12" s="1"/>
  <c r="G18" i="12"/>
  <c r="J17" i="12"/>
  <c r="K17" i="12" s="1"/>
  <c r="G17" i="12"/>
  <c r="J16" i="12"/>
  <c r="K16" i="12" s="1"/>
  <c r="G16" i="12"/>
  <c r="J15" i="12"/>
  <c r="K15" i="12" s="1"/>
  <c r="G15" i="12"/>
  <c r="J14" i="12"/>
  <c r="K14" i="12" s="1"/>
  <c r="G14" i="12"/>
  <c r="J13" i="12"/>
  <c r="K13" i="12" s="1"/>
  <c r="G13" i="12"/>
  <c r="J12" i="12"/>
  <c r="K12" i="12" s="1"/>
  <c r="G12" i="12"/>
  <c r="J11" i="12"/>
  <c r="K11" i="12" s="1"/>
  <c r="G11" i="12"/>
  <c r="J10" i="12"/>
  <c r="K10" i="12" s="1"/>
  <c r="G10" i="12"/>
  <c r="J9" i="12"/>
  <c r="K9" i="12" s="1"/>
  <c r="G9" i="12"/>
  <c r="J8" i="12"/>
  <c r="K8" i="12" s="1"/>
  <c r="G8" i="12"/>
  <c r="J7" i="12"/>
  <c r="K7" i="12" s="1"/>
  <c r="G7" i="12"/>
  <c r="J6" i="12"/>
  <c r="K6" i="12" s="1"/>
  <c r="G6" i="12"/>
  <c r="J5" i="12"/>
  <c r="K5" i="12" s="1"/>
  <c r="G5" i="12"/>
  <c r="J4" i="12"/>
  <c r="K4" i="12" s="1"/>
  <c r="G4" i="12"/>
  <c r="J3" i="12"/>
  <c r="K3" i="12" s="1"/>
  <c r="G3" i="12"/>
  <c r="J2" i="12"/>
  <c r="K2" i="12" s="1"/>
  <c r="G2" i="12"/>
  <c r="J350" i="11"/>
  <c r="K350" i="11" s="1"/>
  <c r="G350" i="11"/>
  <c r="J349" i="11"/>
  <c r="K349" i="11" s="1"/>
  <c r="G349" i="11"/>
  <c r="J348" i="11"/>
  <c r="K348" i="11" s="1"/>
  <c r="G348" i="11"/>
  <c r="J347" i="11"/>
  <c r="K347" i="11" s="1"/>
  <c r="G347" i="11"/>
  <c r="J346" i="11"/>
  <c r="K346" i="11" s="1"/>
  <c r="G346" i="11"/>
  <c r="J345" i="11"/>
  <c r="K345" i="11" s="1"/>
  <c r="G345" i="11"/>
  <c r="J344" i="11"/>
  <c r="K344" i="11" s="1"/>
  <c r="G344" i="11"/>
  <c r="J343" i="11"/>
  <c r="K343" i="11" s="1"/>
  <c r="G343" i="11"/>
  <c r="J342" i="11"/>
  <c r="K342" i="11" s="1"/>
  <c r="G342" i="11"/>
  <c r="J341" i="11"/>
  <c r="K341" i="11" s="1"/>
  <c r="G341" i="11"/>
  <c r="J340" i="11"/>
  <c r="K340" i="11" s="1"/>
  <c r="G340" i="11"/>
  <c r="J339" i="11"/>
  <c r="K339" i="11" s="1"/>
  <c r="G339" i="11"/>
  <c r="J338" i="11"/>
  <c r="K338" i="11" s="1"/>
  <c r="G338" i="11"/>
  <c r="J336" i="11"/>
  <c r="K336" i="11" s="1"/>
  <c r="G336" i="11"/>
  <c r="J335" i="11"/>
  <c r="K335" i="11" s="1"/>
  <c r="G335" i="11"/>
  <c r="J334" i="11"/>
  <c r="K334" i="11" s="1"/>
  <c r="G334" i="11"/>
  <c r="J333" i="11"/>
  <c r="K333" i="11" s="1"/>
  <c r="G333" i="11"/>
  <c r="J332" i="11"/>
  <c r="K332" i="11" s="1"/>
  <c r="G332" i="11"/>
  <c r="G330" i="11"/>
  <c r="J329" i="11"/>
  <c r="K329" i="11" s="1"/>
  <c r="G329" i="11"/>
  <c r="J328" i="11"/>
  <c r="K328" i="11" s="1"/>
  <c r="G328" i="11"/>
  <c r="J327" i="11"/>
  <c r="K327" i="11" s="1"/>
  <c r="G327" i="11"/>
  <c r="J326" i="11"/>
  <c r="K326" i="11" s="1"/>
  <c r="G326" i="11"/>
  <c r="J325" i="11"/>
  <c r="K325" i="11" s="1"/>
  <c r="G325" i="11"/>
  <c r="J324" i="11"/>
  <c r="K324" i="11" s="1"/>
  <c r="G324" i="11"/>
  <c r="J323" i="11"/>
  <c r="K323" i="11" s="1"/>
  <c r="G323" i="11"/>
  <c r="J321" i="11"/>
  <c r="K321" i="11" s="1"/>
  <c r="G321" i="11"/>
  <c r="J320" i="11"/>
  <c r="K320" i="11" s="1"/>
  <c r="G320" i="11"/>
  <c r="J319" i="11"/>
  <c r="K319" i="11" s="1"/>
  <c r="G319" i="11"/>
  <c r="J318" i="11"/>
  <c r="K318" i="11" s="1"/>
  <c r="G318" i="11"/>
  <c r="J317" i="11"/>
  <c r="K317" i="11" s="1"/>
  <c r="G317" i="11"/>
  <c r="J316" i="11"/>
  <c r="K316" i="11" s="1"/>
  <c r="G316" i="11"/>
  <c r="J315" i="11"/>
  <c r="K315" i="11" s="1"/>
  <c r="G315" i="11"/>
  <c r="J314" i="11"/>
  <c r="K314" i="11" s="1"/>
  <c r="J313" i="11"/>
  <c r="K313" i="11" s="1"/>
  <c r="J312" i="11"/>
  <c r="K312" i="11" s="1"/>
  <c r="G312" i="11"/>
  <c r="J311" i="11"/>
  <c r="K311" i="11" s="1"/>
  <c r="G311" i="11"/>
  <c r="J310" i="11"/>
  <c r="K310" i="11" s="1"/>
  <c r="G310" i="11"/>
  <c r="J309" i="11"/>
  <c r="K309" i="11" s="1"/>
  <c r="G309" i="11"/>
  <c r="J308" i="11"/>
  <c r="K308" i="11" s="1"/>
  <c r="G308" i="11"/>
  <c r="J307" i="11"/>
  <c r="K307" i="11" s="1"/>
  <c r="G307" i="11"/>
  <c r="J306" i="11"/>
  <c r="K306" i="11" s="1"/>
  <c r="G306" i="11"/>
  <c r="J305" i="11"/>
  <c r="K305" i="11" s="1"/>
  <c r="G305" i="11"/>
  <c r="J304" i="11"/>
  <c r="K304" i="11" s="1"/>
  <c r="G304" i="11"/>
  <c r="J303" i="11"/>
  <c r="K303" i="11" s="1"/>
  <c r="G303" i="11"/>
  <c r="J302" i="11"/>
  <c r="K302" i="11" s="1"/>
  <c r="G302" i="11"/>
  <c r="J301" i="11"/>
  <c r="K301" i="11" s="1"/>
  <c r="G301" i="11"/>
  <c r="J300" i="11"/>
  <c r="K300" i="11" s="1"/>
  <c r="G300" i="11"/>
  <c r="J299" i="11"/>
  <c r="K299" i="11" s="1"/>
  <c r="G299" i="11"/>
  <c r="J298" i="11"/>
  <c r="K298" i="11" s="1"/>
  <c r="G298" i="11"/>
  <c r="J297" i="11"/>
  <c r="K297" i="11" s="1"/>
  <c r="G297" i="11"/>
  <c r="J296" i="11"/>
  <c r="K296" i="11" s="1"/>
  <c r="G296" i="11"/>
  <c r="J295" i="11"/>
  <c r="K295" i="11" s="1"/>
  <c r="G295" i="11"/>
  <c r="J294" i="11"/>
  <c r="K294" i="11" s="1"/>
  <c r="G294" i="11"/>
  <c r="J293" i="11"/>
  <c r="K293" i="11" s="1"/>
  <c r="G293" i="11"/>
  <c r="J292" i="11"/>
  <c r="K292" i="11" s="1"/>
  <c r="G292" i="11"/>
  <c r="G291" i="11"/>
  <c r="J291" i="11"/>
  <c r="K291" i="11" s="1"/>
  <c r="J290" i="11"/>
  <c r="K290" i="11" s="1"/>
  <c r="G290" i="11"/>
  <c r="J289" i="11"/>
  <c r="K289" i="11" s="1"/>
  <c r="G289" i="11"/>
  <c r="J288" i="11"/>
  <c r="K288" i="11" s="1"/>
  <c r="G288" i="11"/>
  <c r="J287" i="11"/>
  <c r="K287" i="11" s="1"/>
  <c r="G287" i="11"/>
  <c r="J286" i="11"/>
  <c r="K286" i="11" s="1"/>
  <c r="G286" i="11"/>
  <c r="J285" i="11"/>
  <c r="K285" i="11" s="1"/>
  <c r="G285" i="11"/>
  <c r="J283" i="11"/>
  <c r="K283" i="11" s="1"/>
  <c r="G283" i="11"/>
  <c r="J282" i="11"/>
  <c r="K282" i="11" s="1"/>
  <c r="G282" i="11"/>
  <c r="J281" i="11"/>
  <c r="K281" i="11" s="1"/>
  <c r="G281" i="11"/>
  <c r="J280" i="11"/>
  <c r="K280" i="11" s="1"/>
  <c r="G280" i="11"/>
  <c r="J279" i="11"/>
  <c r="K279" i="11" s="1"/>
  <c r="G279" i="11"/>
  <c r="G277" i="11"/>
  <c r="J276" i="11"/>
  <c r="K276" i="11" s="1"/>
  <c r="G276" i="11"/>
  <c r="J275" i="11"/>
  <c r="K275" i="11" s="1"/>
  <c r="G275" i="11"/>
  <c r="J274" i="11"/>
  <c r="K274" i="11" s="1"/>
  <c r="G274" i="11"/>
  <c r="J273" i="11"/>
  <c r="K273" i="11" s="1"/>
  <c r="G273" i="11"/>
  <c r="J272" i="11"/>
  <c r="K272" i="11" s="1"/>
  <c r="G272" i="11"/>
  <c r="J271" i="11"/>
  <c r="K271" i="11" s="1"/>
  <c r="G271" i="11"/>
  <c r="J270" i="11"/>
  <c r="K270" i="11" s="1"/>
  <c r="G270" i="11"/>
  <c r="J269" i="11"/>
  <c r="K269" i="11" s="1"/>
  <c r="G269" i="11"/>
  <c r="J268" i="11"/>
  <c r="K268" i="11" s="1"/>
  <c r="G268" i="11"/>
  <c r="J267" i="11"/>
  <c r="K267" i="11" s="1"/>
  <c r="G267" i="11"/>
  <c r="J266" i="11"/>
  <c r="K266" i="11" s="1"/>
  <c r="G266" i="11"/>
  <c r="J265" i="11"/>
  <c r="K265" i="11" s="1"/>
  <c r="G265" i="11"/>
  <c r="J264" i="11"/>
  <c r="K264" i="11" s="1"/>
  <c r="G264" i="11"/>
  <c r="J263" i="11"/>
  <c r="K263" i="11" s="1"/>
  <c r="G263" i="11"/>
  <c r="J262" i="11"/>
  <c r="K262" i="11" s="1"/>
  <c r="G262" i="11"/>
  <c r="J261" i="11"/>
  <c r="K261" i="11" s="1"/>
  <c r="G261" i="11"/>
  <c r="J260" i="11"/>
  <c r="K260" i="11" s="1"/>
  <c r="G260" i="11"/>
  <c r="J259" i="11"/>
  <c r="K259" i="11" s="1"/>
  <c r="G259" i="11"/>
  <c r="J258" i="11"/>
  <c r="K258" i="11" s="1"/>
  <c r="G258" i="11"/>
  <c r="J257" i="11"/>
  <c r="K257" i="11" s="1"/>
  <c r="G257" i="11"/>
  <c r="J256" i="11"/>
  <c r="K256" i="11" s="1"/>
  <c r="G256" i="11"/>
  <c r="J255" i="11"/>
  <c r="K255" i="11" s="1"/>
  <c r="J254" i="11"/>
  <c r="K254" i="11" s="1"/>
  <c r="J253" i="11"/>
  <c r="K253" i="11" s="1"/>
  <c r="G253" i="11"/>
  <c r="J252" i="11"/>
  <c r="K252" i="11" s="1"/>
  <c r="J251" i="11"/>
  <c r="K251" i="11" s="1"/>
  <c r="G251" i="11"/>
  <c r="J250" i="11"/>
  <c r="K250" i="11" s="1"/>
  <c r="G250" i="11"/>
  <c r="J249" i="11"/>
  <c r="K249" i="11" s="1"/>
  <c r="G249" i="11"/>
  <c r="J246" i="11"/>
  <c r="K246" i="11" s="1"/>
  <c r="G246" i="11"/>
  <c r="J245" i="11"/>
  <c r="K245" i="11" s="1"/>
  <c r="G245" i="11"/>
  <c r="J244" i="11"/>
  <c r="K244" i="11" s="1"/>
  <c r="G244" i="11"/>
  <c r="J243" i="11"/>
  <c r="K243" i="11" s="1"/>
  <c r="J242" i="11"/>
  <c r="K242" i="11" s="1"/>
  <c r="G242" i="11"/>
  <c r="G241" i="11"/>
  <c r="J240" i="11"/>
  <c r="K240" i="11" s="1"/>
  <c r="G240" i="11"/>
  <c r="J239" i="11"/>
  <c r="K239" i="11" s="1"/>
  <c r="G239" i="11"/>
  <c r="J238" i="11"/>
  <c r="K238" i="11" s="1"/>
  <c r="G238" i="11"/>
  <c r="J237" i="11"/>
  <c r="K237" i="11" s="1"/>
  <c r="G237" i="11"/>
  <c r="J236" i="11"/>
  <c r="K236" i="11" s="1"/>
  <c r="G236" i="11"/>
  <c r="J235" i="11"/>
  <c r="K235" i="11" s="1"/>
  <c r="G235" i="11"/>
  <c r="J234" i="11"/>
  <c r="K234" i="11" s="1"/>
  <c r="G234" i="11"/>
  <c r="J233" i="11"/>
  <c r="K233" i="11" s="1"/>
  <c r="G233" i="11"/>
  <c r="J232" i="11"/>
  <c r="K232" i="11" s="1"/>
  <c r="G232" i="11"/>
  <c r="J231" i="11"/>
  <c r="K231" i="11" s="1"/>
  <c r="G231" i="11"/>
  <c r="J230" i="11"/>
  <c r="K230" i="11" s="1"/>
  <c r="G230" i="11"/>
  <c r="G229" i="11"/>
  <c r="J229" i="11"/>
  <c r="K229" i="11" s="1"/>
  <c r="J228" i="11"/>
  <c r="K228" i="11" s="1"/>
  <c r="G228" i="11"/>
  <c r="J227" i="11"/>
  <c r="K227" i="11" s="1"/>
  <c r="G227" i="11"/>
  <c r="J226" i="11"/>
  <c r="K226" i="11" s="1"/>
  <c r="G226" i="11"/>
  <c r="J225" i="11"/>
  <c r="K225" i="11" s="1"/>
  <c r="G225" i="11"/>
  <c r="J224" i="11"/>
  <c r="K224" i="11" s="1"/>
  <c r="G224" i="11"/>
  <c r="G223" i="11"/>
  <c r="J222" i="11"/>
  <c r="K222" i="11" s="1"/>
  <c r="G222" i="11"/>
  <c r="J221" i="11"/>
  <c r="K221" i="11" s="1"/>
  <c r="G221" i="11"/>
  <c r="J220" i="11"/>
  <c r="K220" i="11" s="1"/>
  <c r="G220" i="11"/>
  <c r="J219" i="11"/>
  <c r="K219" i="11" s="1"/>
  <c r="G219" i="11"/>
  <c r="J218" i="11"/>
  <c r="K218" i="11" s="1"/>
  <c r="G218" i="11"/>
  <c r="J217" i="11"/>
  <c r="K217" i="11" s="1"/>
  <c r="G217" i="11"/>
  <c r="J216" i="11"/>
  <c r="K216" i="11" s="1"/>
  <c r="G216" i="11"/>
  <c r="J215" i="11"/>
  <c r="K215" i="11" s="1"/>
  <c r="G215" i="11"/>
  <c r="J214" i="11"/>
  <c r="K214" i="11" s="1"/>
  <c r="G214" i="11"/>
  <c r="J213" i="11"/>
  <c r="K213" i="11" s="1"/>
  <c r="G213" i="11"/>
  <c r="J212" i="11"/>
  <c r="K212" i="11" s="1"/>
  <c r="G212" i="11"/>
  <c r="J211" i="11"/>
  <c r="K211" i="11" s="1"/>
  <c r="G211" i="11"/>
  <c r="J210" i="11"/>
  <c r="K210" i="11" s="1"/>
  <c r="G210" i="11"/>
  <c r="J209" i="11"/>
  <c r="K209" i="11" s="1"/>
  <c r="G209" i="11"/>
  <c r="J208" i="11"/>
  <c r="K208" i="11" s="1"/>
  <c r="G208" i="11"/>
  <c r="J207" i="11"/>
  <c r="K207" i="11" s="1"/>
  <c r="G207" i="11"/>
  <c r="J206" i="11"/>
  <c r="K206" i="11" s="1"/>
  <c r="G206" i="11"/>
  <c r="J205" i="11"/>
  <c r="K205" i="11" s="1"/>
  <c r="G205" i="11"/>
  <c r="J204" i="11"/>
  <c r="K204" i="11" s="1"/>
  <c r="G204" i="11"/>
  <c r="J203" i="11"/>
  <c r="K203" i="11" s="1"/>
  <c r="G203" i="11"/>
  <c r="J202" i="11"/>
  <c r="K202" i="11" s="1"/>
  <c r="G202" i="11"/>
  <c r="J201" i="11"/>
  <c r="K201" i="11" s="1"/>
  <c r="G201" i="11"/>
  <c r="J200" i="11"/>
  <c r="K200" i="11" s="1"/>
  <c r="G200" i="11"/>
  <c r="J199" i="11"/>
  <c r="K199" i="11" s="1"/>
  <c r="G199" i="11"/>
  <c r="J198" i="11"/>
  <c r="K198" i="11" s="1"/>
  <c r="G198" i="11"/>
  <c r="J197" i="11"/>
  <c r="K197" i="11" s="1"/>
  <c r="J196" i="11"/>
  <c r="K196" i="11" s="1"/>
  <c r="G196" i="11"/>
  <c r="J195" i="11"/>
  <c r="K195" i="11" s="1"/>
  <c r="G195" i="11"/>
  <c r="J194" i="11"/>
  <c r="K194" i="11" s="1"/>
  <c r="G194" i="11"/>
  <c r="J193" i="11"/>
  <c r="K193" i="11" s="1"/>
  <c r="G193" i="11"/>
  <c r="J192" i="11"/>
  <c r="K192" i="11" s="1"/>
  <c r="G192" i="11"/>
  <c r="J191" i="11"/>
  <c r="K191" i="11" s="1"/>
  <c r="G191" i="11"/>
  <c r="J190" i="11"/>
  <c r="K190" i="11" s="1"/>
  <c r="G190" i="11"/>
  <c r="J189" i="11"/>
  <c r="K189" i="11" s="1"/>
  <c r="G189" i="11"/>
  <c r="J188" i="11"/>
  <c r="K188" i="11" s="1"/>
  <c r="G188" i="11"/>
  <c r="J187" i="11"/>
  <c r="K187" i="11" s="1"/>
  <c r="G187" i="11"/>
  <c r="J186" i="11"/>
  <c r="K186" i="11" s="1"/>
  <c r="G186" i="11"/>
  <c r="J185" i="11"/>
  <c r="K185" i="11" s="1"/>
  <c r="G185" i="11"/>
  <c r="J184" i="11"/>
  <c r="K184" i="11" s="1"/>
  <c r="G184" i="11"/>
  <c r="J183" i="11"/>
  <c r="K183" i="11" s="1"/>
  <c r="G183" i="11"/>
  <c r="J182" i="11"/>
  <c r="K182" i="11" s="1"/>
  <c r="G182" i="11"/>
  <c r="J181" i="11"/>
  <c r="K181" i="11" s="1"/>
  <c r="G181" i="11"/>
  <c r="J180" i="11"/>
  <c r="K180" i="11" s="1"/>
  <c r="G180" i="11"/>
  <c r="J179" i="11"/>
  <c r="K179" i="11" s="1"/>
  <c r="G179" i="11"/>
  <c r="J178" i="11"/>
  <c r="K178" i="11" s="1"/>
  <c r="G178" i="11"/>
  <c r="J177" i="11"/>
  <c r="K177" i="11" s="1"/>
  <c r="G177" i="11"/>
  <c r="J176" i="11"/>
  <c r="K176" i="11" s="1"/>
  <c r="G176" i="11"/>
  <c r="J175" i="11"/>
  <c r="K175" i="11" s="1"/>
  <c r="G175" i="11"/>
  <c r="J174" i="11"/>
  <c r="K174" i="11" s="1"/>
  <c r="G174" i="11"/>
  <c r="J173" i="11"/>
  <c r="K173" i="11" s="1"/>
  <c r="G173" i="11"/>
  <c r="J172" i="11"/>
  <c r="K172" i="11" s="1"/>
  <c r="G172" i="11"/>
  <c r="J171" i="11"/>
  <c r="K171" i="11" s="1"/>
  <c r="G171" i="11"/>
  <c r="J170" i="11"/>
  <c r="K170" i="11" s="1"/>
  <c r="G170" i="11"/>
  <c r="J169" i="11"/>
  <c r="K169" i="11" s="1"/>
  <c r="G169" i="11"/>
  <c r="K168" i="11"/>
  <c r="J168" i="11"/>
  <c r="G168" i="11"/>
  <c r="J167" i="11"/>
  <c r="K167" i="11" s="1"/>
  <c r="G167" i="11"/>
  <c r="J166" i="11"/>
  <c r="K166" i="11" s="1"/>
  <c r="G166" i="11"/>
  <c r="J165" i="11"/>
  <c r="K165" i="11" s="1"/>
  <c r="G165" i="11"/>
  <c r="J164" i="11"/>
  <c r="K164" i="11" s="1"/>
  <c r="G164" i="11"/>
  <c r="J163" i="11"/>
  <c r="K163" i="11" s="1"/>
  <c r="G163" i="11"/>
  <c r="J162" i="11"/>
  <c r="K162" i="11" s="1"/>
  <c r="G162" i="11"/>
  <c r="J161" i="11"/>
  <c r="K161" i="11" s="1"/>
  <c r="G161" i="11"/>
  <c r="J160" i="11"/>
  <c r="K160" i="11" s="1"/>
  <c r="G160" i="11"/>
  <c r="J159" i="11"/>
  <c r="K159" i="11" s="1"/>
  <c r="G159" i="11"/>
  <c r="G158" i="11"/>
  <c r="J158" i="11"/>
  <c r="K158" i="11" s="1"/>
  <c r="J156" i="11"/>
  <c r="K156" i="11" s="1"/>
  <c r="G156" i="11"/>
  <c r="J155" i="11"/>
  <c r="K155" i="11" s="1"/>
  <c r="G155" i="11"/>
  <c r="J154" i="11"/>
  <c r="K154" i="11" s="1"/>
  <c r="G154" i="11"/>
  <c r="J153" i="11"/>
  <c r="K153" i="11" s="1"/>
  <c r="G153" i="11"/>
  <c r="J151" i="11"/>
  <c r="K151" i="11" s="1"/>
  <c r="G151" i="11"/>
  <c r="J150" i="11"/>
  <c r="K150" i="11" s="1"/>
  <c r="G150" i="11"/>
  <c r="J149" i="11"/>
  <c r="K149" i="11" s="1"/>
  <c r="G149" i="11"/>
  <c r="J148" i="11"/>
  <c r="K148" i="11" s="1"/>
  <c r="G148" i="11"/>
  <c r="J147" i="11"/>
  <c r="K147" i="11" s="1"/>
  <c r="G147" i="11"/>
  <c r="J146" i="11"/>
  <c r="K146" i="11" s="1"/>
  <c r="G146" i="11"/>
  <c r="J145" i="11"/>
  <c r="K145" i="11" s="1"/>
  <c r="G145" i="11"/>
  <c r="J144" i="11"/>
  <c r="K144" i="11" s="1"/>
  <c r="G144" i="11"/>
  <c r="J143" i="11"/>
  <c r="K143" i="11" s="1"/>
  <c r="G143" i="11"/>
  <c r="J142" i="11"/>
  <c r="K142" i="11" s="1"/>
  <c r="G142" i="11"/>
  <c r="J141" i="11"/>
  <c r="K141" i="11" s="1"/>
  <c r="G141" i="11"/>
  <c r="J140" i="11"/>
  <c r="K140" i="11" s="1"/>
  <c r="G140" i="11"/>
  <c r="J139" i="11"/>
  <c r="K139" i="11" s="1"/>
  <c r="G139" i="11"/>
  <c r="J138" i="11"/>
  <c r="K138" i="11" s="1"/>
  <c r="G138" i="11"/>
  <c r="J137" i="11"/>
  <c r="K137" i="11" s="1"/>
  <c r="J136" i="11"/>
  <c r="K136" i="11" s="1"/>
  <c r="J135" i="11"/>
  <c r="K135" i="11" s="1"/>
  <c r="G135" i="11"/>
  <c r="J134" i="11"/>
  <c r="K134" i="11" s="1"/>
  <c r="G134" i="11"/>
  <c r="J133" i="11"/>
  <c r="K133" i="11" s="1"/>
  <c r="G133" i="11"/>
  <c r="J132" i="11"/>
  <c r="K132" i="11" s="1"/>
  <c r="G132" i="11"/>
  <c r="J131" i="11"/>
  <c r="K131" i="11" s="1"/>
  <c r="G131" i="11"/>
  <c r="J130" i="11"/>
  <c r="K130" i="11" s="1"/>
  <c r="G130" i="11"/>
  <c r="J129" i="11"/>
  <c r="K129" i="11" s="1"/>
  <c r="G129" i="11"/>
  <c r="J127" i="11"/>
  <c r="K127" i="11" s="1"/>
  <c r="J125" i="11"/>
  <c r="K125" i="11" s="1"/>
  <c r="G125" i="11"/>
  <c r="J124" i="11"/>
  <c r="K124" i="11" s="1"/>
  <c r="G124" i="11"/>
  <c r="J123" i="11"/>
  <c r="K123" i="11" s="1"/>
  <c r="G123" i="11"/>
  <c r="J122" i="11"/>
  <c r="K122" i="11" s="1"/>
  <c r="J119" i="11"/>
  <c r="K119" i="11" s="1"/>
  <c r="G119" i="11"/>
  <c r="J118" i="11"/>
  <c r="K118" i="11" s="1"/>
  <c r="G118" i="11"/>
  <c r="J117" i="11"/>
  <c r="K117" i="11" s="1"/>
  <c r="J116" i="11"/>
  <c r="K116" i="11" s="1"/>
  <c r="J115" i="11"/>
  <c r="K115" i="11" s="1"/>
  <c r="J114" i="11"/>
  <c r="K114" i="11" s="1"/>
  <c r="J113" i="11"/>
  <c r="K113" i="11" s="1"/>
  <c r="J112" i="11"/>
  <c r="K112" i="11" s="1"/>
  <c r="J111" i="11"/>
  <c r="K111" i="11" s="1"/>
  <c r="G111" i="11"/>
  <c r="J108" i="11"/>
  <c r="K108" i="11" s="1"/>
  <c r="G108" i="11"/>
  <c r="J107" i="11"/>
  <c r="K107" i="11" s="1"/>
  <c r="G107" i="11"/>
  <c r="J106" i="11"/>
  <c r="K106" i="11" s="1"/>
  <c r="G106" i="11"/>
  <c r="J105" i="11"/>
  <c r="K105" i="11" s="1"/>
  <c r="J104" i="11"/>
  <c r="K104" i="11" s="1"/>
  <c r="G104" i="11"/>
  <c r="J103" i="11"/>
  <c r="K103" i="11" s="1"/>
  <c r="G103" i="11"/>
  <c r="J101" i="11"/>
  <c r="K101" i="11" s="1"/>
  <c r="G101" i="11"/>
  <c r="J100" i="11"/>
  <c r="K100" i="11" s="1"/>
  <c r="G100" i="11"/>
  <c r="J99" i="11"/>
  <c r="K99" i="11" s="1"/>
  <c r="G99" i="11"/>
  <c r="J98" i="11"/>
  <c r="K98" i="11" s="1"/>
  <c r="G98" i="11"/>
  <c r="J97" i="11"/>
  <c r="K97" i="11" s="1"/>
  <c r="G97" i="11"/>
  <c r="J96" i="11"/>
  <c r="K96" i="11" s="1"/>
  <c r="G96" i="11"/>
  <c r="J95" i="11"/>
  <c r="K95" i="11" s="1"/>
  <c r="G95" i="11"/>
  <c r="J94" i="11"/>
  <c r="K94" i="11" s="1"/>
  <c r="G94" i="11"/>
  <c r="J93" i="11"/>
  <c r="K93" i="11" s="1"/>
  <c r="G93" i="11"/>
  <c r="J92" i="11"/>
  <c r="K92" i="11" s="1"/>
  <c r="G92" i="11"/>
  <c r="J91" i="11"/>
  <c r="K91" i="11" s="1"/>
  <c r="G91" i="11"/>
  <c r="J90" i="11"/>
  <c r="K90" i="11" s="1"/>
  <c r="G90" i="11"/>
  <c r="J89" i="11"/>
  <c r="K89" i="11" s="1"/>
  <c r="G89" i="11"/>
  <c r="J88" i="11"/>
  <c r="K88" i="11" s="1"/>
  <c r="G88" i="11"/>
  <c r="J87" i="11"/>
  <c r="K87" i="11" s="1"/>
  <c r="G87" i="11"/>
  <c r="J86" i="11"/>
  <c r="K86" i="11" s="1"/>
  <c r="G86" i="11"/>
  <c r="J85" i="11"/>
  <c r="K85" i="11" s="1"/>
  <c r="G85" i="11"/>
  <c r="J84" i="11"/>
  <c r="K84" i="11" s="1"/>
  <c r="G84" i="11"/>
  <c r="J83" i="11"/>
  <c r="K83" i="11" s="1"/>
  <c r="G83" i="11"/>
  <c r="J82" i="11"/>
  <c r="K82" i="11" s="1"/>
  <c r="G82" i="11"/>
  <c r="J81" i="11"/>
  <c r="K81" i="11" s="1"/>
  <c r="G81" i="11"/>
  <c r="J80" i="11"/>
  <c r="K80" i="11" s="1"/>
  <c r="J79" i="11"/>
  <c r="K79" i="11" s="1"/>
  <c r="G79" i="11"/>
  <c r="J78" i="11"/>
  <c r="K78" i="11" s="1"/>
  <c r="G78" i="11"/>
  <c r="J77" i="11"/>
  <c r="K77" i="11" s="1"/>
  <c r="G77" i="11"/>
  <c r="J76" i="11"/>
  <c r="K76" i="11" s="1"/>
  <c r="G76" i="11"/>
  <c r="J75" i="11"/>
  <c r="K75" i="11" s="1"/>
  <c r="G75" i="11"/>
  <c r="J74" i="11"/>
  <c r="K74" i="11" s="1"/>
  <c r="G74" i="11"/>
  <c r="J73" i="11"/>
  <c r="K73" i="11" s="1"/>
  <c r="G73" i="11"/>
  <c r="J72" i="11"/>
  <c r="K72" i="11" s="1"/>
  <c r="G72" i="11"/>
  <c r="J71" i="11"/>
  <c r="K71" i="11" s="1"/>
  <c r="G71" i="11"/>
  <c r="J70" i="11"/>
  <c r="K70" i="11" s="1"/>
  <c r="G70" i="11"/>
  <c r="J67" i="11"/>
  <c r="K67" i="11" s="1"/>
  <c r="G67" i="11"/>
  <c r="J65" i="11"/>
  <c r="K65" i="11" s="1"/>
  <c r="J64" i="11"/>
  <c r="K64" i="11" s="1"/>
  <c r="G64" i="11"/>
  <c r="J63" i="11"/>
  <c r="K63" i="11" s="1"/>
  <c r="J62" i="11"/>
  <c r="K62" i="11" s="1"/>
  <c r="J61" i="11"/>
  <c r="K61" i="11" s="1"/>
  <c r="J60" i="11"/>
  <c r="K60" i="11" s="1"/>
  <c r="J59" i="11"/>
  <c r="K59" i="11" s="1"/>
  <c r="G59" i="11"/>
  <c r="G58" i="11"/>
  <c r="J56" i="11"/>
  <c r="K56" i="11" s="1"/>
  <c r="G56" i="11"/>
  <c r="J55" i="11"/>
  <c r="K55" i="11" s="1"/>
  <c r="G55" i="11"/>
  <c r="J54" i="11"/>
  <c r="K54" i="11" s="1"/>
  <c r="J53" i="11"/>
  <c r="K53" i="11" s="1"/>
  <c r="G52" i="11"/>
  <c r="J51" i="11"/>
  <c r="K51" i="11" s="1"/>
  <c r="G51" i="11"/>
  <c r="J50" i="11"/>
  <c r="K50" i="11" s="1"/>
  <c r="J49" i="11"/>
  <c r="K49" i="11" s="1"/>
  <c r="G49" i="11"/>
  <c r="J47" i="11"/>
  <c r="K47" i="11" s="1"/>
  <c r="G47" i="11"/>
  <c r="J45" i="11"/>
  <c r="K45" i="11" s="1"/>
  <c r="J43" i="11"/>
  <c r="K43" i="11" s="1"/>
  <c r="G43" i="11"/>
  <c r="J42" i="11"/>
  <c r="K42" i="11" s="1"/>
  <c r="G42" i="11"/>
  <c r="J41" i="11"/>
  <c r="K41" i="11" s="1"/>
  <c r="G40" i="11"/>
  <c r="J40" i="11"/>
  <c r="K40" i="11" s="1"/>
  <c r="J39" i="11"/>
  <c r="K39" i="11" s="1"/>
  <c r="J36" i="11"/>
  <c r="K36" i="11" s="1"/>
  <c r="J35" i="11"/>
  <c r="K35" i="11" s="1"/>
  <c r="J34" i="11"/>
  <c r="K34" i="11" s="1"/>
  <c r="G34" i="11"/>
  <c r="J33" i="11"/>
  <c r="K33" i="11" s="1"/>
  <c r="G33" i="11"/>
  <c r="G32" i="11"/>
  <c r="J31" i="11"/>
  <c r="K31" i="11" s="1"/>
  <c r="J30" i="11"/>
  <c r="K30" i="11" s="1"/>
  <c r="G30" i="11"/>
  <c r="J29" i="11"/>
  <c r="K29" i="11" s="1"/>
  <c r="G29" i="11"/>
  <c r="J28" i="11"/>
  <c r="K28" i="11" s="1"/>
  <c r="J27" i="11"/>
  <c r="K27" i="11" s="1"/>
  <c r="J25" i="11"/>
  <c r="K25" i="11" s="1"/>
  <c r="G25" i="11"/>
  <c r="J23" i="11"/>
  <c r="K23" i="11" s="1"/>
  <c r="J22" i="11"/>
  <c r="K22" i="11" s="1"/>
  <c r="G22" i="11"/>
  <c r="G21" i="11"/>
  <c r="J20" i="11"/>
  <c r="K20" i="11" s="1"/>
  <c r="G20" i="11"/>
  <c r="J19" i="11"/>
  <c r="K19" i="11" s="1"/>
  <c r="G19" i="11"/>
  <c r="J18" i="11"/>
  <c r="K18" i="11" s="1"/>
  <c r="G18" i="11"/>
  <c r="J17" i="11"/>
  <c r="K17" i="11" s="1"/>
  <c r="J16" i="11"/>
  <c r="K16" i="11" s="1"/>
  <c r="G16" i="11"/>
  <c r="J15" i="11"/>
  <c r="K15" i="11" s="1"/>
  <c r="J13" i="11"/>
  <c r="K13" i="11" s="1"/>
  <c r="G13" i="11"/>
  <c r="J12" i="11"/>
  <c r="K12" i="11" s="1"/>
  <c r="G12" i="11"/>
  <c r="J10" i="11"/>
  <c r="K10" i="11" s="1"/>
  <c r="G10" i="11"/>
  <c r="J9" i="11"/>
  <c r="K9" i="11" s="1"/>
  <c r="G9" i="11"/>
  <c r="J8" i="11"/>
  <c r="K8" i="11" s="1"/>
  <c r="G8" i="11"/>
  <c r="J7" i="11"/>
  <c r="K7" i="11" s="1"/>
  <c r="G7" i="11"/>
  <c r="J6" i="11"/>
  <c r="K6" i="11" s="1"/>
  <c r="G5" i="11"/>
  <c r="J5" i="11"/>
  <c r="K5" i="11" s="1"/>
  <c r="J4" i="11"/>
  <c r="K4" i="11" s="1"/>
  <c r="G4" i="11"/>
  <c r="J3" i="11"/>
  <c r="K3" i="11" s="1"/>
  <c r="J2" i="11"/>
  <c r="K2" i="11" s="1"/>
  <c r="G2" i="11"/>
  <c r="J19" i="10"/>
  <c r="K19" i="10" s="1"/>
  <c r="G19" i="10"/>
  <c r="J18" i="10"/>
  <c r="K18" i="10" s="1"/>
  <c r="G18" i="10"/>
  <c r="J17" i="10"/>
  <c r="K17" i="10" s="1"/>
  <c r="G17" i="10"/>
  <c r="J16" i="10"/>
  <c r="K16" i="10" s="1"/>
  <c r="G16" i="10"/>
  <c r="J15" i="10"/>
  <c r="K15" i="10" s="1"/>
  <c r="G15" i="10"/>
  <c r="J14" i="10"/>
  <c r="K14" i="10" s="1"/>
  <c r="G14" i="10"/>
  <c r="J13" i="10"/>
  <c r="K13" i="10" s="1"/>
  <c r="G13" i="10"/>
  <c r="J12" i="10"/>
  <c r="K12" i="10" s="1"/>
  <c r="G12" i="10"/>
  <c r="J11" i="10"/>
  <c r="K11" i="10" s="1"/>
  <c r="G11" i="10"/>
  <c r="K10" i="10"/>
  <c r="J10" i="10"/>
  <c r="G10" i="10"/>
  <c r="J9" i="10"/>
  <c r="K9" i="10" s="1"/>
  <c r="G9" i="10"/>
  <c r="J8" i="10"/>
  <c r="K8" i="10" s="1"/>
  <c r="G8" i="10"/>
  <c r="J7" i="10"/>
  <c r="K7" i="10" s="1"/>
  <c r="G7" i="10"/>
  <c r="J6" i="10"/>
  <c r="K6" i="10" s="1"/>
  <c r="G6" i="10"/>
  <c r="J5" i="10"/>
  <c r="K5" i="10" s="1"/>
  <c r="G5" i="10"/>
  <c r="K4" i="10"/>
  <c r="J4" i="10"/>
  <c r="G4" i="10"/>
  <c r="K3" i="10"/>
  <c r="J3" i="10"/>
  <c r="G3" i="10"/>
  <c r="K2" i="10"/>
  <c r="J2" i="10"/>
  <c r="G2" i="10"/>
  <c r="J52" i="9"/>
  <c r="K52" i="9" s="1"/>
  <c r="G52" i="9"/>
  <c r="J51" i="9"/>
  <c r="K51" i="9" s="1"/>
  <c r="G51" i="9"/>
  <c r="J50" i="9"/>
  <c r="K50" i="9" s="1"/>
  <c r="G50" i="9"/>
  <c r="J49" i="9"/>
  <c r="K49" i="9" s="1"/>
  <c r="G49" i="9"/>
  <c r="J48" i="9"/>
  <c r="K48" i="9" s="1"/>
  <c r="G48" i="9"/>
  <c r="K47" i="9"/>
  <c r="J47" i="9"/>
  <c r="G47" i="9"/>
  <c r="K46" i="9"/>
  <c r="J46" i="9"/>
  <c r="G46" i="9"/>
  <c r="J45" i="9"/>
  <c r="K45" i="9" s="1"/>
  <c r="G45" i="9"/>
  <c r="J44" i="9"/>
  <c r="K44" i="9" s="1"/>
  <c r="G44" i="9"/>
  <c r="J43" i="9"/>
  <c r="K43" i="9" s="1"/>
  <c r="G43" i="9"/>
  <c r="J42" i="9"/>
  <c r="K42" i="9" s="1"/>
  <c r="G42" i="9"/>
  <c r="J41" i="9"/>
  <c r="K41" i="9" s="1"/>
  <c r="G41" i="9"/>
  <c r="J40" i="9"/>
  <c r="K40" i="9" s="1"/>
  <c r="G40" i="9"/>
  <c r="K39" i="9"/>
  <c r="J39" i="9"/>
  <c r="G39" i="9"/>
  <c r="J38" i="9"/>
  <c r="K38" i="9" s="1"/>
  <c r="G38" i="9"/>
  <c r="K37" i="9"/>
  <c r="J37" i="9"/>
  <c r="G37" i="9"/>
  <c r="J36" i="9"/>
  <c r="K36" i="9" s="1"/>
  <c r="G36" i="9"/>
  <c r="J35" i="9"/>
  <c r="K35" i="9" s="1"/>
  <c r="G35" i="9"/>
  <c r="J34" i="9"/>
  <c r="K34" i="9" s="1"/>
  <c r="G34" i="9"/>
  <c r="J33" i="9"/>
  <c r="K33" i="9" s="1"/>
  <c r="G33" i="9"/>
  <c r="J32" i="9"/>
  <c r="K32" i="9" s="1"/>
  <c r="G32" i="9"/>
  <c r="J31" i="9"/>
  <c r="K31" i="9" s="1"/>
  <c r="G31" i="9"/>
  <c r="J30" i="9"/>
  <c r="K30" i="9" s="1"/>
  <c r="G30" i="9"/>
  <c r="J29" i="9"/>
  <c r="K29" i="9" s="1"/>
  <c r="G29" i="9"/>
  <c r="J28" i="9"/>
  <c r="K28" i="9" s="1"/>
  <c r="G28" i="9"/>
  <c r="J27" i="9"/>
  <c r="K27" i="9" s="1"/>
  <c r="G27" i="9"/>
  <c r="J26" i="9"/>
  <c r="K26" i="9" s="1"/>
  <c r="G26" i="9"/>
  <c r="J25" i="9"/>
  <c r="K25" i="9" s="1"/>
  <c r="G25" i="9"/>
  <c r="J24" i="9"/>
  <c r="K24" i="9" s="1"/>
  <c r="G24" i="9"/>
  <c r="K23" i="9"/>
  <c r="J23" i="9"/>
  <c r="G23" i="9"/>
  <c r="K22" i="9"/>
  <c r="J22" i="9"/>
  <c r="G22" i="9"/>
  <c r="K21" i="9"/>
  <c r="J21" i="9"/>
  <c r="G21" i="9"/>
  <c r="J20" i="9"/>
  <c r="K20" i="9" s="1"/>
  <c r="G20" i="9"/>
  <c r="J19" i="9"/>
  <c r="K19" i="9" s="1"/>
  <c r="G19" i="9"/>
  <c r="J18" i="9"/>
  <c r="K18" i="9" s="1"/>
  <c r="G18" i="9"/>
  <c r="J17" i="9"/>
  <c r="K17" i="9" s="1"/>
  <c r="G17" i="9"/>
  <c r="J16" i="9"/>
  <c r="K16" i="9" s="1"/>
  <c r="G16" i="9"/>
  <c r="J15" i="9"/>
  <c r="K15" i="9" s="1"/>
  <c r="G15" i="9"/>
  <c r="K14" i="9"/>
  <c r="J14" i="9"/>
  <c r="G14" i="9"/>
  <c r="K13" i="9"/>
  <c r="J13" i="9"/>
  <c r="G13" i="9"/>
  <c r="J12" i="9"/>
  <c r="K12" i="9" s="1"/>
  <c r="G12" i="9"/>
  <c r="J11" i="9"/>
  <c r="K11" i="9" s="1"/>
  <c r="G11" i="9"/>
  <c r="J10" i="9"/>
  <c r="K10" i="9" s="1"/>
  <c r="G10" i="9"/>
  <c r="J9" i="9"/>
  <c r="K9" i="9" s="1"/>
  <c r="G9" i="9"/>
  <c r="J8" i="9"/>
  <c r="K8" i="9" s="1"/>
  <c r="G8" i="9"/>
  <c r="J7" i="9"/>
  <c r="K7" i="9" s="1"/>
  <c r="G7" i="9"/>
  <c r="J6" i="9"/>
  <c r="K6" i="9" s="1"/>
  <c r="G6" i="9"/>
  <c r="K5" i="9"/>
  <c r="J5" i="9"/>
  <c r="G5" i="9"/>
  <c r="J4" i="9"/>
  <c r="K4" i="9" s="1"/>
  <c r="G4" i="9"/>
  <c r="J3" i="9"/>
  <c r="K3" i="9" s="1"/>
  <c r="G3" i="9"/>
  <c r="J2" i="9"/>
  <c r="K2" i="9" s="1"/>
  <c r="G2" i="9"/>
  <c r="J100" i="8"/>
  <c r="K100" i="8" s="1"/>
  <c r="G100" i="8"/>
  <c r="C100" i="8"/>
  <c r="B100" i="8"/>
  <c r="A100" i="8"/>
  <c r="K99" i="8"/>
  <c r="J99" i="8"/>
  <c r="G99" i="8"/>
  <c r="C99" i="8"/>
  <c r="B99" i="8"/>
  <c r="A99" i="8"/>
  <c r="J98" i="8"/>
  <c r="K98" i="8" s="1"/>
  <c r="G98" i="8"/>
  <c r="C98" i="8"/>
  <c r="B98" i="8"/>
  <c r="A98" i="8"/>
  <c r="J97" i="8"/>
  <c r="K97" i="8" s="1"/>
  <c r="G97" i="8"/>
  <c r="C97" i="8"/>
  <c r="B97" i="8"/>
  <c r="A97" i="8"/>
  <c r="J96" i="8"/>
  <c r="K96" i="8" s="1"/>
  <c r="G96" i="8"/>
  <c r="C96" i="8"/>
  <c r="B96" i="8"/>
  <c r="A96" i="8"/>
  <c r="J95" i="8"/>
  <c r="K95" i="8" s="1"/>
  <c r="G95" i="8"/>
  <c r="C95" i="8"/>
  <c r="B95" i="8"/>
  <c r="A95" i="8"/>
  <c r="J94" i="8"/>
  <c r="K94" i="8" s="1"/>
  <c r="G94" i="8"/>
  <c r="C94" i="8"/>
  <c r="B94" i="8"/>
  <c r="A94" i="8"/>
  <c r="J93" i="8"/>
  <c r="K93" i="8" s="1"/>
  <c r="G93" i="8"/>
  <c r="C93" i="8"/>
  <c r="B93" i="8"/>
  <c r="A93" i="8"/>
  <c r="J92" i="8"/>
  <c r="K92" i="8" s="1"/>
  <c r="G92" i="8"/>
  <c r="C92" i="8"/>
  <c r="B92" i="8"/>
  <c r="A92" i="8"/>
  <c r="J91" i="8"/>
  <c r="K91" i="8" s="1"/>
  <c r="G91" i="8"/>
  <c r="C91" i="8"/>
  <c r="B91" i="8"/>
  <c r="A91" i="8"/>
  <c r="K90" i="8"/>
  <c r="J90" i="8"/>
  <c r="G90" i="8"/>
  <c r="C90" i="8"/>
  <c r="B90" i="8"/>
  <c r="A90" i="8"/>
  <c r="J89" i="8"/>
  <c r="K89" i="8" s="1"/>
  <c r="G89" i="8"/>
  <c r="C89" i="8"/>
  <c r="B89" i="8"/>
  <c r="A89" i="8"/>
  <c r="J88" i="8"/>
  <c r="K88" i="8" s="1"/>
  <c r="G88" i="8"/>
  <c r="C88" i="8"/>
  <c r="B88" i="8"/>
  <c r="A88" i="8"/>
  <c r="K87" i="8"/>
  <c r="J87" i="8"/>
  <c r="G87" i="8"/>
  <c r="C87" i="8"/>
  <c r="B87" i="8"/>
  <c r="A87" i="8"/>
  <c r="J86" i="8"/>
  <c r="K86" i="8" s="1"/>
  <c r="G86" i="8"/>
  <c r="C86" i="8"/>
  <c r="B86" i="8"/>
  <c r="A86" i="8"/>
  <c r="J85" i="8"/>
  <c r="K85" i="8" s="1"/>
  <c r="G85" i="8"/>
  <c r="C85" i="8"/>
  <c r="B85" i="8"/>
  <c r="A85" i="8"/>
  <c r="J84" i="8"/>
  <c r="K84" i="8" s="1"/>
  <c r="G84" i="8"/>
  <c r="C84" i="8"/>
  <c r="B84" i="8"/>
  <c r="A84" i="8"/>
  <c r="J83" i="8"/>
  <c r="K83" i="8" s="1"/>
  <c r="G83" i="8"/>
  <c r="C83" i="8"/>
  <c r="B83" i="8"/>
  <c r="A83" i="8"/>
  <c r="J82" i="8"/>
  <c r="K82" i="8" s="1"/>
  <c r="G82" i="8"/>
  <c r="C82" i="8"/>
  <c r="B82" i="8"/>
  <c r="A82" i="8"/>
  <c r="J81" i="8"/>
  <c r="K81" i="8" s="1"/>
  <c r="G81" i="8"/>
  <c r="C81" i="8"/>
  <c r="B81" i="8"/>
  <c r="A81" i="8"/>
  <c r="J80" i="8"/>
  <c r="K80" i="8" s="1"/>
  <c r="G80" i="8"/>
  <c r="C80" i="8"/>
  <c r="B80" i="8"/>
  <c r="A80" i="8"/>
  <c r="J79" i="8"/>
  <c r="K79" i="8" s="1"/>
  <c r="G79" i="8"/>
  <c r="C79" i="8"/>
  <c r="B79" i="8"/>
  <c r="A79" i="8"/>
  <c r="K78" i="8"/>
  <c r="J78" i="8"/>
  <c r="G78" i="8"/>
  <c r="C78" i="8"/>
  <c r="B78" i="8"/>
  <c r="A78" i="8"/>
  <c r="J77" i="8"/>
  <c r="K77" i="8" s="1"/>
  <c r="G77" i="8"/>
  <c r="C77" i="8"/>
  <c r="B77" i="8"/>
  <c r="A77" i="8"/>
  <c r="J76" i="8"/>
  <c r="K76" i="8" s="1"/>
  <c r="G76" i="8"/>
  <c r="C76" i="8"/>
  <c r="B76" i="8"/>
  <c r="A76" i="8"/>
  <c r="K75" i="8"/>
  <c r="J75" i="8"/>
  <c r="G75" i="8"/>
  <c r="C75" i="8"/>
  <c r="B75" i="8"/>
  <c r="A75" i="8"/>
  <c r="J74" i="8"/>
  <c r="K74" i="8" s="1"/>
  <c r="G74" i="8"/>
  <c r="C74" i="8"/>
  <c r="B74" i="8"/>
  <c r="A74" i="8"/>
  <c r="J73" i="8"/>
  <c r="K73" i="8" s="1"/>
  <c r="G73" i="8"/>
  <c r="C73" i="8"/>
  <c r="B73" i="8"/>
  <c r="A73" i="8"/>
  <c r="J72" i="8"/>
  <c r="K72" i="8" s="1"/>
  <c r="G72" i="8"/>
  <c r="C72" i="8"/>
  <c r="B72" i="8"/>
  <c r="A72" i="8"/>
  <c r="J71" i="8"/>
  <c r="K71" i="8" s="1"/>
  <c r="G71" i="8"/>
  <c r="C71" i="8"/>
  <c r="B71" i="8"/>
  <c r="A71" i="8"/>
  <c r="J70" i="8"/>
  <c r="K70" i="8" s="1"/>
  <c r="G70" i="8"/>
  <c r="C70" i="8"/>
  <c r="B70" i="8"/>
  <c r="A70" i="8"/>
  <c r="J69" i="8"/>
  <c r="K69" i="8" s="1"/>
  <c r="G69" i="8"/>
  <c r="C69" i="8"/>
  <c r="B69" i="8"/>
  <c r="A69" i="8"/>
  <c r="J68" i="8"/>
  <c r="K68" i="8" s="1"/>
  <c r="G68" i="8"/>
  <c r="C68" i="8"/>
  <c r="B68" i="8"/>
  <c r="A68" i="8"/>
  <c r="K67" i="8"/>
  <c r="J67" i="8"/>
  <c r="G67" i="8"/>
  <c r="C67" i="8"/>
  <c r="B67" i="8"/>
  <c r="A67" i="8"/>
  <c r="J66" i="8"/>
  <c r="K66" i="8" s="1"/>
  <c r="G66" i="8"/>
  <c r="C66" i="8"/>
  <c r="B66" i="8"/>
  <c r="A66" i="8"/>
  <c r="J65" i="8"/>
  <c r="K65" i="8" s="1"/>
  <c r="G65" i="8"/>
  <c r="C65" i="8"/>
  <c r="B65" i="8"/>
  <c r="A65" i="8"/>
  <c r="J64" i="8"/>
  <c r="K64" i="8" s="1"/>
  <c r="G64" i="8"/>
  <c r="C64" i="8"/>
  <c r="B64" i="8"/>
  <c r="A64" i="8"/>
  <c r="K63" i="8"/>
  <c r="J63" i="8"/>
  <c r="G63" i="8"/>
  <c r="C63" i="8"/>
  <c r="B63" i="8"/>
  <c r="A63" i="8"/>
  <c r="J62" i="8"/>
  <c r="K62" i="8" s="1"/>
  <c r="G62" i="8"/>
  <c r="C62" i="8"/>
  <c r="B62" i="8"/>
  <c r="A62" i="8"/>
  <c r="J61" i="8"/>
  <c r="K61" i="8" s="1"/>
  <c r="G61" i="8"/>
  <c r="C61" i="8"/>
  <c r="B61" i="8"/>
  <c r="A61" i="8"/>
  <c r="J60" i="8"/>
  <c r="K60" i="8" s="1"/>
  <c r="G60" i="8"/>
  <c r="C60" i="8"/>
  <c r="B60" i="8"/>
  <c r="A60" i="8"/>
  <c r="J59" i="8"/>
  <c r="K59" i="8" s="1"/>
  <c r="G59" i="8"/>
  <c r="C59" i="8"/>
  <c r="B59" i="8"/>
  <c r="A59" i="8"/>
  <c r="J58" i="8"/>
  <c r="K58" i="8" s="1"/>
  <c r="G58" i="8"/>
  <c r="C58" i="8"/>
  <c r="B58" i="8"/>
  <c r="A58" i="8"/>
  <c r="J57" i="8"/>
  <c r="K57" i="8" s="1"/>
  <c r="G57" i="8"/>
  <c r="C57" i="8"/>
  <c r="B57" i="8"/>
  <c r="A57" i="8"/>
  <c r="J56" i="8"/>
  <c r="K56" i="8" s="1"/>
  <c r="G56" i="8"/>
  <c r="C56" i="8"/>
  <c r="B56" i="8"/>
  <c r="A56" i="8"/>
  <c r="J55" i="8"/>
  <c r="K55" i="8" s="1"/>
  <c r="G55" i="8"/>
  <c r="C55" i="8"/>
  <c r="B55" i="8"/>
  <c r="A55" i="8"/>
  <c r="J54" i="8"/>
  <c r="K54" i="8" s="1"/>
  <c r="G54" i="8"/>
  <c r="C54" i="8"/>
  <c r="B54" i="8"/>
  <c r="A54" i="8"/>
  <c r="J53" i="8"/>
  <c r="K53" i="8" s="1"/>
  <c r="G53" i="8"/>
  <c r="C53" i="8"/>
  <c r="B53" i="8"/>
  <c r="A53" i="8"/>
  <c r="J52" i="8"/>
  <c r="K52" i="8" s="1"/>
  <c r="G52" i="8"/>
  <c r="C52" i="8"/>
  <c r="B52" i="8"/>
  <c r="A52" i="8"/>
  <c r="J51" i="8"/>
  <c r="K51" i="8" s="1"/>
  <c r="G51" i="8"/>
  <c r="C51" i="8"/>
  <c r="B51" i="8"/>
  <c r="A51" i="8"/>
  <c r="J50" i="8"/>
  <c r="K50" i="8" s="1"/>
  <c r="G50" i="8"/>
  <c r="C50" i="8"/>
  <c r="B50" i="8"/>
  <c r="A50" i="8"/>
  <c r="J49" i="8"/>
  <c r="K49" i="8" s="1"/>
  <c r="G49" i="8"/>
  <c r="C49" i="8"/>
  <c r="B49" i="8"/>
  <c r="A49" i="8"/>
  <c r="J48" i="8"/>
  <c r="K48" i="8" s="1"/>
  <c r="G48" i="8"/>
  <c r="C48" i="8"/>
  <c r="B48" i="8"/>
  <c r="A48" i="8"/>
  <c r="J47" i="8"/>
  <c r="K47" i="8" s="1"/>
  <c r="G47" i="8"/>
  <c r="C47" i="8"/>
  <c r="B47" i="8"/>
  <c r="A47" i="8"/>
  <c r="J46" i="8"/>
  <c r="K46" i="8" s="1"/>
  <c r="G46" i="8"/>
  <c r="C46" i="8"/>
  <c r="B46" i="8"/>
  <c r="A46" i="8"/>
  <c r="J45" i="8"/>
  <c r="K45" i="8" s="1"/>
  <c r="G45" i="8"/>
  <c r="C45" i="8"/>
  <c r="B45" i="8"/>
  <c r="A45" i="8"/>
  <c r="J44" i="8"/>
  <c r="K44" i="8" s="1"/>
  <c r="G44" i="8"/>
  <c r="C44" i="8"/>
  <c r="B44" i="8"/>
  <c r="A44" i="8"/>
  <c r="J43" i="8"/>
  <c r="K43" i="8" s="1"/>
  <c r="G43" i="8"/>
  <c r="C43" i="8"/>
  <c r="B43" i="8"/>
  <c r="A43" i="8"/>
  <c r="J42" i="8"/>
  <c r="K42" i="8" s="1"/>
  <c r="G42" i="8"/>
  <c r="C42" i="8"/>
  <c r="B42" i="8"/>
  <c r="A42" i="8"/>
  <c r="J41" i="8"/>
  <c r="K41" i="8" s="1"/>
  <c r="G41" i="8"/>
  <c r="C41" i="8"/>
  <c r="B41" i="8"/>
  <c r="A41" i="8"/>
  <c r="J40" i="8"/>
  <c r="K40" i="8" s="1"/>
  <c r="G40" i="8"/>
  <c r="C40" i="8"/>
  <c r="B40" i="8"/>
  <c r="A40" i="8"/>
  <c r="K39" i="8"/>
  <c r="J39" i="8"/>
  <c r="G39" i="8"/>
  <c r="C39" i="8"/>
  <c r="B39" i="8"/>
  <c r="A39" i="8"/>
  <c r="J38" i="8"/>
  <c r="K38" i="8" s="1"/>
  <c r="G38" i="8"/>
  <c r="C38" i="8"/>
  <c r="B38" i="8"/>
  <c r="A38" i="8"/>
  <c r="J37" i="8"/>
  <c r="K37" i="8" s="1"/>
  <c r="G37" i="8"/>
  <c r="C37" i="8"/>
  <c r="B37" i="8"/>
  <c r="A37" i="8"/>
  <c r="J36" i="8"/>
  <c r="K36" i="8" s="1"/>
  <c r="G36" i="8"/>
  <c r="C36" i="8"/>
  <c r="B36" i="8"/>
  <c r="A36" i="8"/>
  <c r="K35" i="8"/>
  <c r="J35" i="8"/>
  <c r="G35" i="8"/>
  <c r="C35" i="8"/>
  <c r="B35" i="8"/>
  <c r="A35" i="8"/>
  <c r="J34" i="8"/>
  <c r="K34" i="8" s="1"/>
  <c r="G34" i="8"/>
  <c r="C34" i="8"/>
  <c r="B34" i="8"/>
  <c r="A34" i="8"/>
  <c r="J33" i="8"/>
  <c r="K33" i="8" s="1"/>
  <c r="G33" i="8"/>
  <c r="C33" i="8"/>
  <c r="B33" i="8"/>
  <c r="A33" i="8"/>
  <c r="J32" i="8"/>
  <c r="K32" i="8" s="1"/>
  <c r="G32" i="8"/>
  <c r="C32" i="8"/>
  <c r="B32" i="8"/>
  <c r="A32" i="8"/>
  <c r="J31" i="8"/>
  <c r="K31" i="8" s="1"/>
  <c r="G31" i="8"/>
  <c r="C31" i="8"/>
  <c r="B31" i="8"/>
  <c r="A31" i="8"/>
  <c r="J30" i="8"/>
  <c r="K30" i="8" s="1"/>
  <c r="G30" i="8"/>
  <c r="C30" i="8"/>
  <c r="B30" i="8"/>
  <c r="A30" i="8"/>
  <c r="J29" i="8"/>
  <c r="K29" i="8" s="1"/>
  <c r="G29" i="8"/>
  <c r="C29" i="8"/>
  <c r="B29" i="8"/>
  <c r="A29" i="8"/>
  <c r="J28" i="8"/>
  <c r="K28" i="8" s="1"/>
  <c r="G28" i="8"/>
  <c r="C28" i="8"/>
  <c r="B28" i="8"/>
  <c r="A28" i="8"/>
  <c r="J27" i="8"/>
  <c r="K27" i="8" s="1"/>
  <c r="G27" i="8"/>
  <c r="C27" i="8"/>
  <c r="B27" i="8"/>
  <c r="A27" i="8"/>
  <c r="J26" i="8"/>
  <c r="K26" i="8" s="1"/>
  <c r="G26" i="8"/>
  <c r="C26" i="8"/>
  <c r="B26" i="8"/>
  <c r="A26" i="8"/>
  <c r="J25" i="8"/>
  <c r="K25" i="8" s="1"/>
  <c r="G25" i="8"/>
  <c r="C25" i="8"/>
  <c r="B25" i="8"/>
  <c r="A25" i="8"/>
  <c r="J24" i="8"/>
  <c r="K24" i="8" s="1"/>
  <c r="G24" i="8"/>
  <c r="C24" i="8"/>
  <c r="B24" i="8"/>
  <c r="A24" i="8"/>
  <c r="J23" i="8"/>
  <c r="K23" i="8" s="1"/>
  <c r="G23" i="8"/>
  <c r="C23" i="8"/>
  <c r="B23" i="8"/>
  <c r="J22" i="8"/>
  <c r="K22" i="8" s="1"/>
  <c r="G22" i="8"/>
  <c r="C22" i="8"/>
  <c r="B22" i="8"/>
  <c r="A22" i="8"/>
  <c r="J21" i="8"/>
  <c r="K21" i="8" s="1"/>
  <c r="G21" i="8"/>
  <c r="C21" i="8"/>
  <c r="B21" i="8"/>
  <c r="A21" i="8"/>
  <c r="J20" i="8"/>
  <c r="K20" i="8" s="1"/>
  <c r="G20" i="8"/>
  <c r="C20" i="8"/>
  <c r="B20" i="8"/>
  <c r="A20" i="8"/>
  <c r="J19" i="8"/>
  <c r="K19" i="8" s="1"/>
  <c r="G19" i="8"/>
  <c r="C19" i="8"/>
  <c r="B19" i="8"/>
  <c r="A19" i="8"/>
  <c r="J18" i="8"/>
  <c r="K18" i="8" s="1"/>
  <c r="G18" i="8"/>
  <c r="C18" i="8"/>
  <c r="B18" i="8"/>
  <c r="A18" i="8"/>
  <c r="J17" i="8"/>
  <c r="K17" i="8" s="1"/>
  <c r="G17" i="8"/>
  <c r="C17" i="8"/>
  <c r="B17" i="8"/>
  <c r="A17" i="8"/>
  <c r="J16" i="8"/>
  <c r="K16" i="8" s="1"/>
  <c r="G16" i="8"/>
  <c r="C16" i="8"/>
  <c r="B16" i="8"/>
  <c r="A16" i="8"/>
  <c r="J15" i="8"/>
  <c r="K15" i="8" s="1"/>
  <c r="G15" i="8"/>
  <c r="C15" i="8"/>
  <c r="B15" i="8"/>
  <c r="A15" i="8"/>
  <c r="J14" i="8"/>
  <c r="K14" i="8" s="1"/>
  <c r="G14" i="8"/>
  <c r="C14" i="8"/>
  <c r="B14" i="8"/>
  <c r="A14" i="8"/>
  <c r="J13" i="8"/>
  <c r="K13" i="8" s="1"/>
  <c r="G13" i="8"/>
  <c r="C13" i="8"/>
  <c r="B13" i="8"/>
  <c r="A13" i="8"/>
  <c r="K12" i="8"/>
  <c r="J12" i="8"/>
  <c r="G12" i="8"/>
  <c r="C12" i="8"/>
  <c r="B12" i="8"/>
  <c r="A12" i="8"/>
  <c r="J11" i="8"/>
  <c r="K11" i="8" s="1"/>
  <c r="G11" i="8"/>
  <c r="C11" i="8"/>
  <c r="B11" i="8"/>
  <c r="A11" i="8"/>
  <c r="K10" i="8"/>
  <c r="J10" i="8"/>
  <c r="G10" i="8"/>
  <c r="C10" i="8"/>
  <c r="B10" i="8"/>
  <c r="A10" i="8"/>
  <c r="J9" i="8"/>
  <c r="K9" i="8" s="1"/>
  <c r="G9" i="8"/>
  <c r="C9" i="8"/>
  <c r="B9" i="8"/>
  <c r="A9" i="8"/>
  <c r="J8" i="8"/>
  <c r="K8" i="8" s="1"/>
  <c r="G8" i="8"/>
  <c r="C8" i="8"/>
  <c r="B8" i="8"/>
  <c r="A8" i="8"/>
  <c r="J7" i="8"/>
  <c r="K7" i="8" s="1"/>
  <c r="G7" i="8"/>
  <c r="C7" i="8"/>
  <c r="B7" i="8"/>
  <c r="A7" i="8"/>
  <c r="J6" i="8"/>
  <c r="K6" i="8" s="1"/>
  <c r="G6" i="8"/>
  <c r="C6" i="8"/>
  <c r="B6" i="8"/>
  <c r="A6" i="8"/>
  <c r="J5" i="8"/>
  <c r="K5" i="8" s="1"/>
  <c r="G5" i="8"/>
  <c r="C5" i="8"/>
  <c r="B5" i="8"/>
  <c r="A5" i="8"/>
  <c r="J4" i="8"/>
  <c r="K4" i="8" s="1"/>
  <c r="G4" i="8"/>
  <c r="C4" i="8"/>
  <c r="B4" i="8"/>
  <c r="A4" i="8"/>
  <c r="J3" i="8"/>
  <c r="K3" i="8" s="1"/>
  <c r="G3" i="8"/>
  <c r="C3" i="8"/>
  <c r="B3" i="8"/>
  <c r="A3" i="8"/>
  <c r="J2" i="8"/>
  <c r="K2" i="8" s="1"/>
  <c r="G2" i="8"/>
  <c r="C2" i="8"/>
  <c r="B2" i="8"/>
  <c r="A2" i="8"/>
  <c r="K7" i="7"/>
  <c r="J7" i="7"/>
  <c r="G7" i="7"/>
  <c r="K6" i="7"/>
  <c r="J6" i="7"/>
  <c r="G6" i="7"/>
  <c r="K5" i="7"/>
  <c r="J5" i="7"/>
  <c r="G5" i="7"/>
  <c r="J4" i="7"/>
  <c r="K4" i="7" s="1"/>
  <c r="G4" i="7"/>
  <c r="J3" i="7"/>
  <c r="K3" i="7" s="1"/>
  <c r="G3" i="7"/>
  <c r="J2" i="7"/>
  <c r="K2" i="7" s="1"/>
  <c r="G2" i="7"/>
  <c r="L14" i="6"/>
  <c r="K14" i="6"/>
  <c r="H14" i="6"/>
  <c r="L13" i="6"/>
  <c r="K13" i="6"/>
  <c r="H13" i="6"/>
  <c r="L12" i="6"/>
  <c r="K12" i="6"/>
  <c r="H12" i="6"/>
  <c r="K11" i="6"/>
  <c r="L11" i="6" s="1"/>
  <c r="H11" i="6"/>
  <c r="L10" i="6"/>
  <c r="K10" i="6"/>
  <c r="H10" i="6"/>
  <c r="K9" i="6"/>
  <c r="L9" i="6" s="1"/>
  <c r="H9" i="6"/>
  <c r="K8" i="6"/>
  <c r="L8" i="6" s="1"/>
  <c r="H8" i="6"/>
  <c r="K7" i="6"/>
  <c r="L7" i="6" s="1"/>
  <c r="H7" i="6"/>
  <c r="K6" i="6"/>
  <c r="L6" i="6" s="1"/>
  <c r="H6" i="6"/>
  <c r="L5" i="6"/>
  <c r="K5" i="6"/>
  <c r="H5" i="6"/>
  <c r="L4" i="6"/>
  <c r="K4" i="6"/>
  <c r="H4" i="6"/>
  <c r="L3" i="6"/>
  <c r="K3" i="6"/>
  <c r="H3" i="6"/>
  <c r="L2" i="6"/>
  <c r="K2" i="6"/>
  <c r="H2" i="6"/>
  <c r="K15" i="5"/>
  <c r="L15" i="5" s="1"/>
  <c r="H15" i="5"/>
  <c r="K14" i="5"/>
  <c r="L14" i="5" s="1"/>
  <c r="H14" i="5"/>
  <c r="K13" i="5"/>
  <c r="L13" i="5" s="1"/>
  <c r="H13" i="5"/>
  <c r="K12" i="5"/>
  <c r="L12" i="5" s="1"/>
  <c r="H12" i="5"/>
  <c r="L11" i="5"/>
  <c r="K11" i="5"/>
  <c r="H11" i="5"/>
  <c r="L10" i="5"/>
  <c r="K10" i="5"/>
  <c r="H10" i="5"/>
  <c r="L9" i="5"/>
  <c r="K9" i="5"/>
  <c r="H9" i="5"/>
  <c r="K8" i="5"/>
  <c r="L8" i="5" s="1"/>
  <c r="H8" i="5"/>
  <c r="K7" i="5"/>
  <c r="L7" i="5" s="1"/>
  <c r="H7" i="5"/>
  <c r="K6" i="5"/>
  <c r="L6" i="5" s="1"/>
  <c r="H6" i="5"/>
  <c r="K5" i="5"/>
  <c r="L5" i="5" s="1"/>
  <c r="H5" i="5"/>
  <c r="K4" i="5"/>
  <c r="L4" i="5" s="1"/>
  <c r="H4" i="5"/>
  <c r="K3" i="5"/>
  <c r="L3" i="5" s="1"/>
  <c r="H3" i="5"/>
  <c r="K2" i="5"/>
  <c r="L2" i="5" s="1"/>
  <c r="H2" i="5"/>
  <c r="K109" i="4"/>
  <c r="L109" i="4" s="1"/>
  <c r="H109" i="4"/>
  <c r="K108" i="4"/>
  <c r="L108" i="4" s="1"/>
  <c r="H108" i="4"/>
  <c r="K107" i="4"/>
  <c r="L107" i="4" s="1"/>
  <c r="H107" i="4"/>
  <c r="K106" i="4"/>
  <c r="L106" i="4" s="1"/>
  <c r="H106" i="4"/>
  <c r="K105" i="4"/>
  <c r="L105" i="4" s="1"/>
  <c r="H105" i="4"/>
  <c r="K104" i="4"/>
  <c r="L104" i="4" s="1"/>
  <c r="H104" i="4"/>
  <c r="K103" i="4"/>
  <c r="L103" i="4" s="1"/>
  <c r="H103" i="4"/>
  <c r="K102" i="4"/>
  <c r="L102" i="4" s="1"/>
  <c r="H102" i="4"/>
  <c r="K101" i="4"/>
  <c r="L101" i="4" s="1"/>
  <c r="H101" i="4"/>
  <c r="K100" i="4"/>
  <c r="L100" i="4" s="1"/>
  <c r="H100" i="4"/>
  <c r="K99" i="4"/>
  <c r="L99" i="4" s="1"/>
  <c r="H99" i="4"/>
  <c r="K98" i="4"/>
  <c r="L98" i="4" s="1"/>
  <c r="H98" i="4"/>
  <c r="K97" i="4"/>
  <c r="L97" i="4" s="1"/>
  <c r="H97" i="4"/>
  <c r="K96" i="4"/>
  <c r="L96" i="4" s="1"/>
  <c r="H96" i="4"/>
  <c r="K95" i="4"/>
  <c r="L95" i="4" s="1"/>
  <c r="H95" i="4"/>
  <c r="K94" i="4"/>
  <c r="L94" i="4" s="1"/>
  <c r="H94" i="4"/>
  <c r="K93" i="4"/>
  <c r="L93" i="4" s="1"/>
  <c r="H93" i="4"/>
  <c r="K92" i="4"/>
  <c r="L92" i="4" s="1"/>
  <c r="H92" i="4"/>
  <c r="K91" i="4"/>
  <c r="L91" i="4" s="1"/>
  <c r="H91" i="4"/>
  <c r="K90" i="4"/>
  <c r="L90" i="4" s="1"/>
  <c r="H90" i="4"/>
  <c r="K89" i="4"/>
  <c r="L89" i="4" s="1"/>
  <c r="H89" i="4"/>
  <c r="K88" i="4"/>
  <c r="L88" i="4" s="1"/>
  <c r="H88" i="4"/>
  <c r="K87" i="4"/>
  <c r="L87" i="4" s="1"/>
  <c r="H87" i="4"/>
  <c r="K86" i="4"/>
  <c r="L86" i="4" s="1"/>
  <c r="H86" i="4"/>
  <c r="K85" i="4"/>
  <c r="L85" i="4" s="1"/>
  <c r="H85" i="4"/>
  <c r="K84" i="4"/>
  <c r="L84" i="4" s="1"/>
  <c r="H84" i="4"/>
  <c r="K83" i="4"/>
  <c r="L83" i="4" s="1"/>
  <c r="H83" i="4"/>
  <c r="K82" i="4"/>
  <c r="L82" i="4" s="1"/>
  <c r="H82" i="4"/>
  <c r="K81" i="4"/>
  <c r="L81" i="4" s="1"/>
  <c r="H81" i="4"/>
  <c r="K80" i="4"/>
  <c r="L80" i="4" s="1"/>
  <c r="H80" i="4"/>
  <c r="K79" i="4"/>
  <c r="L79" i="4" s="1"/>
  <c r="H79" i="4"/>
  <c r="K78" i="4"/>
  <c r="L78" i="4" s="1"/>
  <c r="H78" i="4"/>
  <c r="K77" i="4"/>
  <c r="L77" i="4" s="1"/>
  <c r="H77" i="4"/>
  <c r="K76" i="4"/>
  <c r="L76" i="4" s="1"/>
  <c r="H76" i="4"/>
  <c r="K75" i="4"/>
  <c r="L75" i="4" s="1"/>
  <c r="H75" i="4"/>
  <c r="K74" i="4"/>
  <c r="L74" i="4" s="1"/>
  <c r="H74" i="4"/>
  <c r="K73" i="4"/>
  <c r="L73" i="4" s="1"/>
  <c r="H73" i="4"/>
  <c r="K72" i="4"/>
  <c r="L72" i="4" s="1"/>
  <c r="H72" i="4"/>
  <c r="K71" i="4"/>
  <c r="L71" i="4" s="1"/>
  <c r="H71" i="4"/>
  <c r="K70" i="4"/>
  <c r="L70" i="4" s="1"/>
  <c r="H70" i="4"/>
  <c r="K69" i="4"/>
  <c r="L69" i="4" s="1"/>
  <c r="H69" i="4"/>
  <c r="K68" i="4"/>
  <c r="L68" i="4" s="1"/>
  <c r="H68" i="4"/>
  <c r="K67" i="4"/>
  <c r="L67" i="4" s="1"/>
  <c r="H67" i="4"/>
  <c r="K66" i="4"/>
  <c r="L66" i="4" s="1"/>
  <c r="H66" i="4"/>
  <c r="K65" i="4"/>
  <c r="L65" i="4" s="1"/>
  <c r="H65" i="4"/>
  <c r="K64" i="4"/>
  <c r="L64" i="4" s="1"/>
  <c r="H64" i="4"/>
  <c r="K63" i="4"/>
  <c r="L63" i="4" s="1"/>
  <c r="H63" i="4"/>
  <c r="K62" i="4"/>
  <c r="L62" i="4" s="1"/>
  <c r="H62" i="4"/>
  <c r="K61" i="4"/>
  <c r="L61" i="4" s="1"/>
  <c r="H61" i="4"/>
  <c r="K60" i="4"/>
  <c r="L60" i="4" s="1"/>
  <c r="H60" i="4"/>
  <c r="K59" i="4"/>
  <c r="L59" i="4" s="1"/>
  <c r="H59" i="4"/>
  <c r="K58" i="4"/>
  <c r="L58" i="4" s="1"/>
  <c r="H58" i="4"/>
  <c r="K57" i="4"/>
  <c r="L57" i="4" s="1"/>
  <c r="H57" i="4"/>
  <c r="K56" i="4"/>
  <c r="L56" i="4" s="1"/>
  <c r="H56" i="4"/>
  <c r="K55" i="4"/>
  <c r="L55" i="4" s="1"/>
  <c r="H55" i="4"/>
  <c r="K54" i="4"/>
  <c r="L54" i="4" s="1"/>
  <c r="H54" i="4"/>
  <c r="K53" i="4"/>
  <c r="L53" i="4" s="1"/>
  <c r="H53" i="4"/>
  <c r="K52" i="4"/>
  <c r="L52" i="4" s="1"/>
  <c r="H52" i="4"/>
  <c r="K51" i="4"/>
  <c r="L51" i="4" s="1"/>
  <c r="H51" i="4"/>
  <c r="K50" i="4"/>
  <c r="L50" i="4" s="1"/>
  <c r="H50" i="4"/>
  <c r="K49" i="4"/>
  <c r="L49" i="4" s="1"/>
  <c r="H49" i="4"/>
  <c r="K48" i="4"/>
  <c r="L48" i="4" s="1"/>
  <c r="H48" i="4"/>
  <c r="K47" i="4"/>
  <c r="L47" i="4" s="1"/>
  <c r="H47" i="4"/>
  <c r="K46" i="4"/>
  <c r="L46" i="4" s="1"/>
  <c r="H46" i="4"/>
  <c r="K45" i="4"/>
  <c r="L45" i="4" s="1"/>
  <c r="H45" i="4"/>
  <c r="K44" i="4"/>
  <c r="L44" i="4" s="1"/>
  <c r="H44" i="4"/>
  <c r="K43" i="4"/>
  <c r="L43" i="4" s="1"/>
  <c r="H43" i="4"/>
  <c r="K42" i="4"/>
  <c r="L42" i="4" s="1"/>
  <c r="H42" i="4"/>
  <c r="K41" i="4"/>
  <c r="L41" i="4" s="1"/>
  <c r="H41" i="4"/>
  <c r="K40" i="4"/>
  <c r="L40" i="4" s="1"/>
  <c r="H40" i="4"/>
  <c r="K39" i="4"/>
  <c r="L39" i="4" s="1"/>
  <c r="H39" i="4"/>
  <c r="K38" i="4"/>
  <c r="L38" i="4" s="1"/>
  <c r="H38" i="4"/>
  <c r="K37" i="4"/>
  <c r="L37" i="4" s="1"/>
  <c r="H37" i="4"/>
  <c r="K36" i="4"/>
  <c r="L36" i="4" s="1"/>
  <c r="H36" i="4"/>
  <c r="K35" i="4"/>
  <c r="L35" i="4" s="1"/>
  <c r="H35" i="4"/>
  <c r="K34" i="4"/>
  <c r="L34" i="4" s="1"/>
  <c r="H34" i="4"/>
  <c r="K33" i="4"/>
  <c r="L33" i="4" s="1"/>
  <c r="H33" i="4"/>
  <c r="K32" i="4"/>
  <c r="L32" i="4" s="1"/>
  <c r="H32" i="4"/>
  <c r="K31" i="4"/>
  <c r="L31" i="4" s="1"/>
  <c r="H31" i="4"/>
  <c r="K30" i="4"/>
  <c r="L30" i="4" s="1"/>
  <c r="H30" i="4"/>
  <c r="K29" i="4"/>
  <c r="L29" i="4" s="1"/>
  <c r="H29" i="4"/>
  <c r="K28" i="4"/>
  <c r="L28" i="4" s="1"/>
  <c r="H28" i="4"/>
  <c r="K27" i="4"/>
  <c r="L27" i="4" s="1"/>
  <c r="H27" i="4"/>
  <c r="K26" i="4"/>
  <c r="L26" i="4" s="1"/>
  <c r="H26" i="4"/>
  <c r="K25" i="4"/>
  <c r="L25" i="4" s="1"/>
  <c r="H25" i="4"/>
  <c r="K24" i="4"/>
  <c r="L24" i="4" s="1"/>
  <c r="H24" i="4"/>
  <c r="K23" i="4"/>
  <c r="L23" i="4" s="1"/>
  <c r="H23" i="4"/>
  <c r="K22" i="4"/>
  <c r="L22" i="4" s="1"/>
  <c r="H22" i="4"/>
  <c r="K21" i="4"/>
  <c r="L21" i="4" s="1"/>
  <c r="H21" i="4"/>
  <c r="K20" i="4"/>
  <c r="L20" i="4" s="1"/>
  <c r="H20" i="4"/>
  <c r="K19" i="4"/>
  <c r="L19" i="4" s="1"/>
  <c r="H19" i="4"/>
  <c r="K18" i="4"/>
  <c r="L18" i="4" s="1"/>
  <c r="H18" i="4"/>
  <c r="K17" i="4"/>
  <c r="L17" i="4" s="1"/>
  <c r="H17" i="4"/>
  <c r="K16" i="4"/>
  <c r="L16" i="4" s="1"/>
  <c r="H16" i="4"/>
  <c r="K15" i="4"/>
  <c r="L15" i="4" s="1"/>
  <c r="H15" i="4"/>
  <c r="K14" i="4"/>
  <c r="L14" i="4" s="1"/>
  <c r="H14" i="4"/>
  <c r="K13" i="4"/>
  <c r="L13" i="4" s="1"/>
  <c r="H13" i="4"/>
  <c r="K12" i="4"/>
  <c r="L12" i="4" s="1"/>
  <c r="H12" i="4"/>
  <c r="K11" i="4"/>
  <c r="L11" i="4" s="1"/>
  <c r="H11" i="4"/>
  <c r="K10" i="4"/>
  <c r="L10" i="4" s="1"/>
  <c r="H10" i="4"/>
  <c r="K9" i="4"/>
  <c r="L9" i="4" s="1"/>
  <c r="H9" i="4"/>
  <c r="K8" i="4"/>
  <c r="L8" i="4" s="1"/>
  <c r="H8" i="4"/>
  <c r="K7" i="4"/>
  <c r="L7" i="4" s="1"/>
  <c r="H7" i="4"/>
  <c r="K6" i="4"/>
  <c r="L6" i="4" s="1"/>
  <c r="H6" i="4"/>
  <c r="K5" i="4"/>
  <c r="L5" i="4" s="1"/>
  <c r="H5" i="4"/>
  <c r="K4" i="4"/>
  <c r="L4" i="4" s="1"/>
  <c r="H4" i="4"/>
  <c r="K3" i="4"/>
  <c r="L3" i="4" s="1"/>
  <c r="H3" i="4"/>
  <c r="K2" i="4"/>
  <c r="L2" i="4" s="1"/>
  <c r="H2" i="4"/>
  <c r="K463" i="3"/>
  <c r="L463" i="3" s="1"/>
  <c r="H463" i="3"/>
  <c r="K462" i="3"/>
  <c r="L462" i="3" s="1"/>
  <c r="H462" i="3"/>
  <c r="K461" i="3"/>
  <c r="L461" i="3" s="1"/>
  <c r="H461" i="3"/>
  <c r="K460" i="3"/>
  <c r="L460" i="3" s="1"/>
  <c r="H460" i="3"/>
  <c r="K459" i="3"/>
  <c r="L459" i="3" s="1"/>
  <c r="H459" i="3"/>
  <c r="K458" i="3"/>
  <c r="L458" i="3" s="1"/>
  <c r="H458" i="3"/>
  <c r="K457" i="3"/>
  <c r="L457" i="3" s="1"/>
  <c r="H457" i="3"/>
  <c r="K456" i="3"/>
  <c r="L456" i="3" s="1"/>
  <c r="H456" i="3"/>
  <c r="K455" i="3"/>
  <c r="L455" i="3" s="1"/>
  <c r="H455" i="3"/>
  <c r="K454" i="3"/>
  <c r="L454" i="3" s="1"/>
  <c r="H454" i="3"/>
  <c r="K453" i="3"/>
  <c r="L453" i="3" s="1"/>
  <c r="H453" i="3"/>
  <c r="K452" i="3"/>
  <c r="L452" i="3" s="1"/>
  <c r="H452" i="3"/>
  <c r="K451" i="3"/>
  <c r="L451" i="3" s="1"/>
  <c r="H451" i="3"/>
  <c r="K450" i="3"/>
  <c r="L450" i="3" s="1"/>
  <c r="H450" i="3"/>
  <c r="K449" i="3"/>
  <c r="L449" i="3" s="1"/>
  <c r="H449" i="3"/>
  <c r="K448" i="3"/>
  <c r="L448" i="3" s="1"/>
  <c r="H448" i="3"/>
  <c r="K447" i="3"/>
  <c r="L447" i="3" s="1"/>
  <c r="H447" i="3"/>
  <c r="K446" i="3"/>
  <c r="L446" i="3" s="1"/>
  <c r="H446" i="3"/>
  <c r="K445" i="3"/>
  <c r="L445" i="3" s="1"/>
  <c r="H445" i="3"/>
  <c r="K444" i="3"/>
  <c r="L444" i="3" s="1"/>
  <c r="H444" i="3"/>
  <c r="K443" i="3"/>
  <c r="L443" i="3" s="1"/>
  <c r="H443" i="3"/>
  <c r="K442" i="3"/>
  <c r="L442" i="3" s="1"/>
  <c r="H442" i="3"/>
  <c r="K441" i="3"/>
  <c r="L441" i="3" s="1"/>
  <c r="H441" i="3"/>
  <c r="K440" i="3"/>
  <c r="L440" i="3" s="1"/>
  <c r="H440" i="3"/>
  <c r="K439" i="3"/>
  <c r="L439" i="3" s="1"/>
  <c r="H439" i="3"/>
  <c r="K438" i="3"/>
  <c r="L438" i="3" s="1"/>
  <c r="H438" i="3"/>
  <c r="K437" i="3"/>
  <c r="L437" i="3" s="1"/>
  <c r="H437" i="3"/>
  <c r="K436" i="3"/>
  <c r="L436" i="3" s="1"/>
  <c r="H436" i="3"/>
  <c r="K435" i="3"/>
  <c r="L435" i="3" s="1"/>
  <c r="H435" i="3"/>
  <c r="K434" i="3"/>
  <c r="L434" i="3" s="1"/>
  <c r="H434" i="3"/>
  <c r="K433" i="3"/>
  <c r="L433" i="3" s="1"/>
  <c r="H433" i="3"/>
  <c r="K432" i="3"/>
  <c r="L432" i="3" s="1"/>
  <c r="H432" i="3"/>
  <c r="K431" i="3"/>
  <c r="L431" i="3" s="1"/>
  <c r="H431" i="3"/>
  <c r="K430" i="3"/>
  <c r="L430" i="3" s="1"/>
  <c r="H430" i="3"/>
  <c r="K429" i="3"/>
  <c r="L429" i="3" s="1"/>
  <c r="H429" i="3"/>
  <c r="K428" i="3"/>
  <c r="L428" i="3" s="1"/>
  <c r="H428" i="3"/>
  <c r="K427" i="3"/>
  <c r="L427" i="3" s="1"/>
  <c r="H427" i="3"/>
  <c r="K426" i="3"/>
  <c r="L426" i="3" s="1"/>
  <c r="H426" i="3"/>
  <c r="K425" i="3"/>
  <c r="L425" i="3" s="1"/>
  <c r="H425" i="3"/>
  <c r="K424" i="3"/>
  <c r="L424" i="3" s="1"/>
  <c r="H424" i="3"/>
  <c r="K423" i="3"/>
  <c r="L423" i="3" s="1"/>
  <c r="H423" i="3"/>
  <c r="K422" i="3"/>
  <c r="L422" i="3" s="1"/>
  <c r="H422" i="3"/>
  <c r="K421" i="3"/>
  <c r="L421" i="3" s="1"/>
  <c r="H421" i="3"/>
  <c r="K420" i="3"/>
  <c r="L420" i="3" s="1"/>
  <c r="H420" i="3"/>
  <c r="K419" i="3"/>
  <c r="L419" i="3" s="1"/>
  <c r="H419" i="3"/>
  <c r="K418" i="3"/>
  <c r="L418" i="3" s="1"/>
  <c r="H418" i="3"/>
  <c r="K417" i="3"/>
  <c r="L417" i="3" s="1"/>
  <c r="H417" i="3"/>
  <c r="K416" i="3"/>
  <c r="L416" i="3" s="1"/>
  <c r="H416" i="3"/>
  <c r="K415" i="3"/>
  <c r="L415" i="3" s="1"/>
  <c r="H415" i="3"/>
  <c r="K414" i="3"/>
  <c r="L414" i="3" s="1"/>
  <c r="H414" i="3"/>
  <c r="K413" i="3"/>
  <c r="L413" i="3" s="1"/>
  <c r="H413" i="3"/>
  <c r="K412" i="3"/>
  <c r="L412" i="3" s="1"/>
  <c r="H412" i="3"/>
  <c r="K411" i="3"/>
  <c r="L411" i="3" s="1"/>
  <c r="H411" i="3"/>
  <c r="K410" i="3"/>
  <c r="L410" i="3" s="1"/>
  <c r="H410" i="3"/>
  <c r="K409" i="3"/>
  <c r="L409" i="3" s="1"/>
  <c r="H409" i="3"/>
  <c r="K408" i="3"/>
  <c r="L408" i="3" s="1"/>
  <c r="H408" i="3"/>
  <c r="K407" i="3"/>
  <c r="L407" i="3" s="1"/>
  <c r="H407" i="3"/>
  <c r="K406" i="3"/>
  <c r="L406" i="3" s="1"/>
  <c r="H406" i="3"/>
  <c r="K405" i="3"/>
  <c r="L405" i="3" s="1"/>
  <c r="H405" i="3"/>
  <c r="K404" i="3"/>
  <c r="L404" i="3" s="1"/>
  <c r="H404" i="3"/>
  <c r="K403" i="3"/>
  <c r="L403" i="3" s="1"/>
  <c r="H403" i="3"/>
  <c r="K402" i="3"/>
  <c r="L402" i="3" s="1"/>
  <c r="H402" i="3"/>
  <c r="K401" i="3"/>
  <c r="L401" i="3" s="1"/>
  <c r="H401" i="3"/>
  <c r="K400" i="3"/>
  <c r="L400" i="3" s="1"/>
  <c r="H400" i="3"/>
  <c r="K399" i="3"/>
  <c r="L399" i="3" s="1"/>
  <c r="H399" i="3"/>
  <c r="K398" i="3"/>
  <c r="L398" i="3" s="1"/>
  <c r="H398" i="3"/>
  <c r="K397" i="3"/>
  <c r="L397" i="3" s="1"/>
  <c r="H397" i="3"/>
  <c r="K396" i="3"/>
  <c r="L396" i="3" s="1"/>
  <c r="H396" i="3"/>
  <c r="K395" i="3"/>
  <c r="L395" i="3" s="1"/>
  <c r="H395" i="3"/>
  <c r="K394" i="3"/>
  <c r="L394" i="3" s="1"/>
  <c r="H394" i="3"/>
  <c r="K393" i="3"/>
  <c r="L393" i="3" s="1"/>
  <c r="H393" i="3"/>
  <c r="K392" i="3"/>
  <c r="L392" i="3" s="1"/>
  <c r="H392" i="3"/>
  <c r="K391" i="3"/>
  <c r="L391" i="3" s="1"/>
  <c r="H391" i="3"/>
  <c r="K390" i="3"/>
  <c r="L390" i="3" s="1"/>
  <c r="H390" i="3"/>
  <c r="K389" i="3"/>
  <c r="L389" i="3" s="1"/>
  <c r="H389" i="3"/>
  <c r="K388" i="3"/>
  <c r="L388" i="3" s="1"/>
  <c r="H388" i="3"/>
  <c r="K387" i="3"/>
  <c r="L387" i="3" s="1"/>
  <c r="H387" i="3"/>
  <c r="K386" i="3"/>
  <c r="L386" i="3" s="1"/>
  <c r="H386" i="3"/>
  <c r="K385" i="3"/>
  <c r="L385" i="3" s="1"/>
  <c r="H385" i="3"/>
  <c r="K384" i="3"/>
  <c r="L384" i="3" s="1"/>
  <c r="H384" i="3"/>
  <c r="K383" i="3"/>
  <c r="L383" i="3" s="1"/>
  <c r="H383" i="3"/>
  <c r="K382" i="3"/>
  <c r="L382" i="3" s="1"/>
  <c r="H382" i="3"/>
  <c r="K381" i="3"/>
  <c r="L381" i="3" s="1"/>
  <c r="H381" i="3"/>
  <c r="K380" i="3"/>
  <c r="L380" i="3" s="1"/>
  <c r="H380" i="3"/>
  <c r="K379" i="3"/>
  <c r="L379" i="3" s="1"/>
  <c r="H379" i="3"/>
  <c r="K378" i="3"/>
  <c r="L378" i="3" s="1"/>
  <c r="H378" i="3"/>
  <c r="K377" i="3"/>
  <c r="L377" i="3" s="1"/>
  <c r="H377" i="3"/>
  <c r="K376" i="3"/>
  <c r="L376" i="3" s="1"/>
  <c r="H376" i="3"/>
  <c r="K375" i="3"/>
  <c r="L375" i="3" s="1"/>
  <c r="H375" i="3"/>
  <c r="K374" i="3"/>
  <c r="L374" i="3" s="1"/>
  <c r="H374" i="3"/>
  <c r="K373" i="3"/>
  <c r="L373" i="3" s="1"/>
  <c r="H373" i="3"/>
  <c r="K372" i="3"/>
  <c r="L372" i="3" s="1"/>
  <c r="H372" i="3"/>
  <c r="K371" i="3"/>
  <c r="L371" i="3" s="1"/>
  <c r="H371" i="3"/>
  <c r="K370" i="3"/>
  <c r="L370" i="3" s="1"/>
  <c r="H370" i="3"/>
  <c r="K369" i="3"/>
  <c r="L369" i="3" s="1"/>
  <c r="H369" i="3"/>
  <c r="K368" i="3"/>
  <c r="L368" i="3" s="1"/>
  <c r="H368" i="3"/>
  <c r="K367" i="3"/>
  <c r="L367" i="3" s="1"/>
  <c r="H367" i="3"/>
  <c r="K366" i="3"/>
  <c r="L366" i="3" s="1"/>
  <c r="H366" i="3"/>
  <c r="K365" i="3"/>
  <c r="L365" i="3" s="1"/>
  <c r="H365" i="3"/>
  <c r="K364" i="3"/>
  <c r="L364" i="3" s="1"/>
  <c r="H364" i="3"/>
  <c r="K363" i="3"/>
  <c r="L363" i="3" s="1"/>
  <c r="H363" i="3"/>
  <c r="K362" i="3"/>
  <c r="L362" i="3" s="1"/>
  <c r="H362" i="3"/>
  <c r="K361" i="3"/>
  <c r="L361" i="3" s="1"/>
  <c r="H361" i="3"/>
  <c r="K360" i="3"/>
  <c r="L360" i="3" s="1"/>
  <c r="H360" i="3"/>
  <c r="K359" i="3"/>
  <c r="L359" i="3" s="1"/>
  <c r="H359" i="3"/>
  <c r="K358" i="3"/>
  <c r="L358" i="3" s="1"/>
  <c r="H358" i="3"/>
  <c r="K357" i="3"/>
  <c r="L357" i="3" s="1"/>
  <c r="H357" i="3"/>
  <c r="K356" i="3"/>
  <c r="L356" i="3" s="1"/>
  <c r="H356" i="3"/>
  <c r="K355" i="3"/>
  <c r="L355" i="3" s="1"/>
  <c r="H355" i="3"/>
  <c r="K354" i="3"/>
  <c r="L354" i="3" s="1"/>
  <c r="H354" i="3"/>
  <c r="K353" i="3"/>
  <c r="L353" i="3" s="1"/>
  <c r="H353" i="3"/>
  <c r="K352" i="3"/>
  <c r="L352" i="3" s="1"/>
  <c r="H352" i="3"/>
  <c r="K351" i="3"/>
  <c r="L351" i="3" s="1"/>
  <c r="H351" i="3"/>
  <c r="K350" i="3"/>
  <c r="L350" i="3" s="1"/>
  <c r="H350" i="3"/>
  <c r="K349" i="3"/>
  <c r="L349" i="3" s="1"/>
  <c r="H349" i="3"/>
  <c r="K348" i="3"/>
  <c r="L348" i="3" s="1"/>
  <c r="H348" i="3"/>
  <c r="K347" i="3"/>
  <c r="L347" i="3" s="1"/>
  <c r="H347" i="3"/>
  <c r="K346" i="3"/>
  <c r="L346" i="3" s="1"/>
  <c r="H346" i="3"/>
  <c r="K345" i="3"/>
  <c r="L345" i="3" s="1"/>
  <c r="H345" i="3"/>
  <c r="K344" i="3"/>
  <c r="L344" i="3" s="1"/>
  <c r="H344" i="3"/>
  <c r="K343" i="3"/>
  <c r="L343" i="3" s="1"/>
  <c r="H343" i="3"/>
  <c r="K342" i="3"/>
  <c r="L342" i="3" s="1"/>
  <c r="H342" i="3"/>
  <c r="K341" i="3"/>
  <c r="L341" i="3" s="1"/>
  <c r="H341" i="3"/>
  <c r="K340" i="3"/>
  <c r="L340" i="3" s="1"/>
  <c r="H340" i="3"/>
  <c r="K339" i="3"/>
  <c r="L339" i="3" s="1"/>
  <c r="H339" i="3"/>
  <c r="K338" i="3"/>
  <c r="L338" i="3" s="1"/>
  <c r="H338" i="3"/>
  <c r="K337" i="3"/>
  <c r="L337" i="3" s="1"/>
  <c r="H337" i="3"/>
  <c r="K336" i="3"/>
  <c r="L336" i="3" s="1"/>
  <c r="H336" i="3"/>
  <c r="K335" i="3"/>
  <c r="L335" i="3" s="1"/>
  <c r="H335" i="3"/>
  <c r="K334" i="3"/>
  <c r="L334" i="3" s="1"/>
  <c r="H334" i="3"/>
  <c r="K333" i="3"/>
  <c r="L333" i="3" s="1"/>
  <c r="H333" i="3"/>
  <c r="K332" i="3"/>
  <c r="L332" i="3" s="1"/>
  <c r="H332" i="3"/>
  <c r="K331" i="3"/>
  <c r="L331" i="3" s="1"/>
  <c r="H331" i="3"/>
  <c r="K330" i="3"/>
  <c r="L330" i="3" s="1"/>
  <c r="H330" i="3"/>
  <c r="K329" i="3"/>
  <c r="L329" i="3" s="1"/>
  <c r="H329" i="3"/>
  <c r="K328" i="3"/>
  <c r="L328" i="3" s="1"/>
  <c r="H328" i="3"/>
  <c r="K327" i="3"/>
  <c r="L327" i="3" s="1"/>
  <c r="H327" i="3"/>
  <c r="K326" i="3"/>
  <c r="L326" i="3" s="1"/>
  <c r="H326" i="3"/>
  <c r="K325" i="3"/>
  <c r="L325" i="3" s="1"/>
  <c r="H325" i="3"/>
  <c r="K324" i="3"/>
  <c r="L324" i="3" s="1"/>
  <c r="H324" i="3"/>
  <c r="K323" i="3"/>
  <c r="L323" i="3" s="1"/>
  <c r="H323" i="3"/>
  <c r="K322" i="3"/>
  <c r="L322" i="3" s="1"/>
  <c r="H322" i="3"/>
  <c r="K321" i="3"/>
  <c r="L321" i="3" s="1"/>
  <c r="H321" i="3"/>
  <c r="K320" i="3"/>
  <c r="L320" i="3" s="1"/>
  <c r="H320" i="3"/>
  <c r="K319" i="3"/>
  <c r="L319" i="3" s="1"/>
  <c r="H319" i="3"/>
  <c r="K318" i="3"/>
  <c r="L318" i="3" s="1"/>
  <c r="H318" i="3"/>
  <c r="K317" i="3"/>
  <c r="L317" i="3" s="1"/>
  <c r="H317" i="3"/>
  <c r="K316" i="3"/>
  <c r="L316" i="3" s="1"/>
  <c r="H316" i="3"/>
  <c r="K315" i="3"/>
  <c r="L315" i="3" s="1"/>
  <c r="H315" i="3"/>
  <c r="K314" i="3"/>
  <c r="L314" i="3" s="1"/>
  <c r="H314" i="3"/>
  <c r="K313" i="3"/>
  <c r="L313" i="3" s="1"/>
  <c r="H313" i="3"/>
  <c r="K312" i="3"/>
  <c r="L312" i="3" s="1"/>
  <c r="H312" i="3"/>
  <c r="K311" i="3"/>
  <c r="L311" i="3" s="1"/>
  <c r="H311" i="3"/>
  <c r="K310" i="3"/>
  <c r="L310" i="3" s="1"/>
  <c r="H310" i="3"/>
  <c r="K309" i="3"/>
  <c r="L309" i="3" s="1"/>
  <c r="H309" i="3"/>
  <c r="K308" i="3"/>
  <c r="L308" i="3" s="1"/>
  <c r="H308" i="3"/>
  <c r="K307" i="3"/>
  <c r="L307" i="3" s="1"/>
  <c r="H307" i="3"/>
  <c r="K306" i="3"/>
  <c r="L306" i="3" s="1"/>
  <c r="H306" i="3"/>
  <c r="K305" i="3"/>
  <c r="L305" i="3" s="1"/>
  <c r="H305" i="3"/>
  <c r="K304" i="3"/>
  <c r="L304" i="3" s="1"/>
  <c r="H304" i="3"/>
  <c r="K303" i="3"/>
  <c r="L303" i="3" s="1"/>
  <c r="H303" i="3"/>
  <c r="K302" i="3"/>
  <c r="L302" i="3" s="1"/>
  <c r="H302" i="3"/>
  <c r="K301" i="3"/>
  <c r="L301" i="3" s="1"/>
  <c r="H301" i="3"/>
  <c r="K300" i="3"/>
  <c r="L300" i="3" s="1"/>
  <c r="H300" i="3"/>
  <c r="K299" i="3"/>
  <c r="L299" i="3" s="1"/>
  <c r="H299" i="3"/>
  <c r="K298" i="3"/>
  <c r="L298" i="3" s="1"/>
  <c r="H298" i="3"/>
  <c r="K297" i="3"/>
  <c r="L297" i="3" s="1"/>
  <c r="H297" i="3"/>
  <c r="K296" i="3"/>
  <c r="L296" i="3" s="1"/>
  <c r="H296" i="3"/>
  <c r="K295" i="3"/>
  <c r="L295" i="3" s="1"/>
  <c r="H295" i="3"/>
  <c r="K294" i="3"/>
  <c r="L294" i="3" s="1"/>
  <c r="H294" i="3"/>
  <c r="K293" i="3"/>
  <c r="L293" i="3" s="1"/>
  <c r="H293" i="3"/>
  <c r="K292" i="3"/>
  <c r="L292" i="3" s="1"/>
  <c r="H292" i="3"/>
  <c r="K291" i="3"/>
  <c r="L291" i="3" s="1"/>
  <c r="H291" i="3"/>
  <c r="K290" i="3"/>
  <c r="L290" i="3" s="1"/>
  <c r="H290" i="3"/>
  <c r="K289" i="3"/>
  <c r="L289" i="3" s="1"/>
  <c r="H289" i="3"/>
  <c r="K288" i="3"/>
  <c r="L288" i="3" s="1"/>
  <c r="H288" i="3"/>
  <c r="K287" i="3"/>
  <c r="L287" i="3" s="1"/>
  <c r="H287" i="3"/>
  <c r="K286" i="3"/>
  <c r="L286" i="3" s="1"/>
  <c r="H286" i="3"/>
  <c r="K285" i="3"/>
  <c r="L285" i="3" s="1"/>
  <c r="H285" i="3"/>
  <c r="K284" i="3"/>
  <c r="L284" i="3" s="1"/>
  <c r="H284" i="3"/>
  <c r="K283" i="3"/>
  <c r="L283" i="3" s="1"/>
  <c r="H283" i="3"/>
  <c r="K282" i="3"/>
  <c r="L282" i="3" s="1"/>
  <c r="H282" i="3"/>
  <c r="K281" i="3"/>
  <c r="L281" i="3" s="1"/>
  <c r="H281" i="3"/>
  <c r="K280" i="3"/>
  <c r="L280" i="3" s="1"/>
  <c r="H280" i="3"/>
  <c r="K279" i="3"/>
  <c r="L279" i="3" s="1"/>
  <c r="H279" i="3"/>
  <c r="K278" i="3"/>
  <c r="L278" i="3" s="1"/>
  <c r="H278" i="3"/>
  <c r="K277" i="3"/>
  <c r="L277" i="3" s="1"/>
  <c r="H277" i="3"/>
  <c r="K276" i="3"/>
  <c r="L276" i="3" s="1"/>
  <c r="H276" i="3"/>
  <c r="K275" i="3"/>
  <c r="L275" i="3" s="1"/>
  <c r="H275" i="3"/>
  <c r="K274" i="3"/>
  <c r="L274" i="3" s="1"/>
  <c r="H274" i="3"/>
  <c r="K273" i="3"/>
  <c r="L273" i="3" s="1"/>
  <c r="H273" i="3"/>
  <c r="K272" i="3"/>
  <c r="L272" i="3" s="1"/>
  <c r="H272" i="3"/>
  <c r="K271" i="3"/>
  <c r="L271" i="3" s="1"/>
  <c r="H271" i="3"/>
  <c r="K270" i="3"/>
  <c r="L270" i="3" s="1"/>
  <c r="H270" i="3"/>
  <c r="K269" i="3"/>
  <c r="L269" i="3" s="1"/>
  <c r="H269" i="3"/>
  <c r="K268" i="3"/>
  <c r="L268" i="3" s="1"/>
  <c r="H268" i="3"/>
  <c r="K267" i="3"/>
  <c r="L267" i="3" s="1"/>
  <c r="H267" i="3"/>
  <c r="K266" i="3"/>
  <c r="L266" i="3" s="1"/>
  <c r="H266" i="3"/>
  <c r="K265" i="3"/>
  <c r="L265" i="3" s="1"/>
  <c r="H265" i="3"/>
  <c r="K264" i="3"/>
  <c r="L264" i="3" s="1"/>
  <c r="H264" i="3"/>
  <c r="K263" i="3"/>
  <c r="L263" i="3" s="1"/>
  <c r="H263" i="3"/>
  <c r="K262" i="3"/>
  <c r="L262" i="3" s="1"/>
  <c r="H262" i="3"/>
  <c r="K261" i="3"/>
  <c r="L261" i="3" s="1"/>
  <c r="H261" i="3"/>
  <c r="K260" i="3"/>
  <c r="L260" i="3" s="1"/>
  <c r="H260" i="3"/>
  <c r="K259" i="3"/>
  <c r="L259" i="3" s="1"/>
  <c r="H259" i="3"/>
  <c r="K258" i="3"/>
  <c r="L258" i="3" s="1"/>
  <c r="H258" i="3"/>
  <c r="K257" i="3"/>
  <c r="L257" i="3" s="1"/>
  <c r="H257" i="3"/>
  <c r="K256" i="3"/>
  <c r="L256" i="3" s="1"/>
  <c r="H256" i="3"/>
  <c r="K255" i="3"/>
  <c r="L255" i="3" s="1"/>
  <c r="H255" i="3"/>
  <c r="K254" i="3"/>
  <c r="L254" i="3" s="1"/>
  <c r="H254" i="3"/>
  <c r="K253" i="3"/>
  <c r="L253" i="3" s="1"/>
  <c r="H253" i="3"/>
  <c r="K252" i="3"/>
  <c r="L252" i="3" s="1"/>
  <c r="H252" i="3"/>
  <c r="K251" i="3"/>
  <c r="L251" i="3" s="1"/>
  <c r="H251" i="3"/>
  <c r="K250" i="3"/>
  <c r="L250" i="3" s="1"/>
  <c r="H250" i="3"/>
  <c r="K249" i="3"/>
  <c r="L249" i="3" s="1"/>
  <c r="H249" i="3"/>
  <c r="K248" i="3"/>
  <c r="L248" i="3" s="1"/>
  <c r="H248" i="3"/>
  <c r="K247" i="3"/>
  <c r="L247" i="3" s="1"/>
  <c r="H247" i="3"/>
  <c r="K246" i="3"/>
  <c r="L246" i="3" s="1"/>
  <c r="H246" i="3"/>
  <c r="K245" i="3"/>
  <c r="L245" i="3" s="1"/>
  <c r="H245" i="3"/>
  <c r="K244" i="3"/>
  <c r="L244" i="3" s="1"/>
  <c r="H244" i="3"/>
  <c r="K243" i="3"/>
  <c r="L243" i="3" s="1"/>
  <c r="H243" i="3"/>
  <c r="K242" i="3"/>
  <c r="L242" i="3" s="1"/>
  <c r="H242" i="3"/>
  <c r="K241" i="3"/>
  <c r="L241" i="3" s="1"/>
  <c r="H241" i="3"/>
  <c r="K240" i="3"/>
  <c r="L240" i="3" s="1"/>
  <c r="H240" i="3"/>
  <c r="K239" i="3"/>
  <c r="L239" i="3" s="1"/>
  <c r="H239" i="3"/>
  <c r="K238" i="3"/>
  <c r="L238" i="3" s="1"/>
  <c r="H238" i="3"/>
  <c r="K237" i="3"/>
  <c r="L237" i="3" s="1"/>
  <c r="H237" i="3"/>
  <c r="K236" i="3"/>
  <c r="L236" i="3" s="1"/>
  <c r="H236" i="3"/>
  <c r="K235" i="3"/>
  <c r="L235" i="3" s="1"/>
  <c r="H235" i="3"/>
  <c r="K234" i="3"/>
  <c r="L234" i="3" s="1"/>
  <c r="H234" i="3"/>
  <c r="K230" i="3"/>
  <c r="L230" i="3" s="1"/>
  <c r="H230" i="3"/>
  <c r="K229" i="3"/>
  <c r="L229" i="3" s="1"/>
  <c r="H229" i="3"/>
  <c r="K228" i="3"/>
  <c r="L228" i="3" s="1"/>
  <c r="H228" i="3"/>
  <c r="K227" i="3"/>
  <c r="L227" i="3" s="1"/>
  <c r="H227" i="3"/>
  <c r="K226" i="3"/>
  <c r="L226" i="3" s="1"/>
  <c r="H226" i="3"/>
  <c r="K225" i="3"/>
  <c r="L225" i="3" s="1"/>
  <c r="H225" i="3"/>
  <c r="K224" i="3"/>
  <c r="L224" i="3" s="1"/>
  <c r="H224" i="3"/>
  <c r="K223" i="3"/>
  <c r="L223" i="3" s="1"/>
  <c r="H223" i="3"/>
  <c r="K222" i="3"/>
  <c r="L222" i="3" s="1"/>
  <c r="H222" i="3"/>
  <c r="K221" i="3"/>
  <c r="L221" i="3" s="1"/>
  <c r="H221" i="3"/>
  <c r="K220" i="3"/>
  <c r="L220" i="3" s="1"/>
  <c r="H220" i="3"/>
  <c r="K219" i="3"/>
  <c r="L219" i="3" s="1"/>
  <c r="H219" i="3"/>
  <c r="K218" i="3"/>
  <c r="L218" i="3" s="1"/>
  <c r="H218" i="3"/>
  <c r="K217" i="3"/>
  <c r="L217" i="3" s="1"/>
  <c r="H217" i="3"/>
  <c r="K216" i="3"/>
  <c r="L216" i="3" s="1"/>
  <c r="H216" i="3"/>
  <c r="K215" i="3"/>
  <c r="L215" i="3" s="1"/>
  <c r="H215" i="3"/>
  <c r="K214" i="3"/>
  <c r="L214" i="3" s="1"/>
  <c r="H214" i="3"/>
  <c r="K213" i="3"/>
  <c r="L213" i="3" s="1"/>
  <c r="H213" i="3"/>
  <c r="K212" i="3"/>
  <c r="L212" i="3" s="1"/>
  <c r="H212" i="3"/>
  <c r="K211" i="3"/>
  <c r="L211" i="3" s="1"/>
  <c r="H211" i="3"/>
  <c r="K210" i="3"/>
  <c r="L210" i="3" s="1"/>
  <c r="H210" i="3"/>
  <c r="K209" i="3"/>
  <c r="L209" i="3" s="1"/>
  <c r="H209" i="3"/>
  <c r="K208" i="3"/>
  <c r="L208" i="3" s="1"/>
  <c r="H208" i="3"/>
  <c r="K207" i="3"/>
  <c r="L207" i="3" s="1"/>
  <c r="H207" i="3"/>
  <c r="K206" i="3"/>
  <c r="L206" i="3" s="1"/>
  <c r="H206" i="3"/>
  <c r="K205" i="3"/>
  <c r="L205" i="3" s="1"/>
  <c r="H205" i="3"/>
  <c r="K204" i="3"/>
  <c r="L204" i="3" s="1"/>
  <c r="H204" i="3"/>
  <c r="K203" i="3"/>
  <c r="L203" i="3" s="1"/>
  <c r="H203" i="3"/>
  <c r="K202" i="3"/>
  <c r="L202" i="3" s="1"/>
  <c r="H202" i="3"/>
  <c r="K201" i="3"/>
  <c r="L201" i="3" s="1"/>
  <c r="H201" i="3"/>
  <c r="K200" i="3"/>
  <c r="L200" i="3" s="1"/>
  <c r="H200" i="3"/>
  <c r="K199" i="3"/>
  <c r="L199" i="3" s="1"/>
  <c r="H199" i="3"/>
  <c r="K198" i="3"/>
  <c r="L198" i="3" s="1"/>
  <c r="H198" i="3"/>
  <c r="K197" i="3"/>
  <c r="L197" i="3" s="1"/>
  <c r="H197" i="3"/>
  <c r="K196" i="3"/>
  <c r="L196" i="3" s="1"/>
  <c r="H196" i="3"/>
  <c r="K195" i="3"/>
  <c r="L195" i="3" s="1"/>
  <c r="H195" i="3"/>
  <c r="K194" i="3"/>
  <c r="L194" i="3" s="1"/>
  <c r="H194" i="3"/>
  <c r="K193" i="3"/>
  <c r="L193" i="3" s="1"/>
  <c r="H193" i="3"/>
  <c r="K192" i="3"/>
  <c r="L192" i="3" s="1"/>
  <c r="H192" i="3"/>
  <c r="K191" i="3"/>
  <c r="L191" i="3" s="1"/>
  <c r="H191" i="3"/>
  <c r="K190" i="3"/>
  <c r="L190" i="3" s="1"/>
  <c r="H190" i="3"/>
  <c r="K189" i="3"/>
  <c r="L189" i="3" s="1"/>
  <c r="H189" i="3"/>
  <c r="K188" i="3"/>
  <c r="L188" i="3" s="1"/>
  <c r="H188" i="3"/>
  <c r="K187" i="3"/>
  <c r="L187" i="3" s="1"/>
  <c r="H187" i="3"/>
  <c r="K186" i="3"/>
  <c r="L186" i="3" s="1"/>
  <c r="H186" i="3"/>
  <c r="K185" i="3"/>
  <c r="L185" i="3" s="1"/>
  <c r="H185" i="3"/>
  <c r="K184" i="3"/>
  <c r="L184" i="3" s="1"/>
  <c r="H184" i="3"/>
  <c r="K183" i="3"/>
  <c r="L183" i="3" s="1"/>
  <c r="H183" i="3"/>
  <c r="K182" i="3"/>
  <c r="L182" i="3" s="1"/>
  <c r="H182" i="3"/>
  <c r="K181" i="3"/>
  <c r="L181" i="3" s="1"/>
  <c r="H181" i="3"/>
  <c r="K180" i="3"/>
  <c r="L180" i="3" s="1"/>
  <c r="H180" i="3"/>
  <c r="K179" i="3"/>
  <c r="L179" i="3" s="1"/>
  <c r="H179" i="3"/>
  <c r="K178" i="3"/>
  <c r="L178" i="3" s="1"/>
  <c r="H178" i="3"/>
  <c r="K177" i="3"/>
  <c r="L177" i="3" s="1"/>
  <c r="H177" i="3"/>
  <c r="K176" i="3"/>
  <c r="L176" i="3" s="1"/>
  <c r="H176" i="3"/>
  <c r="K175" i="3"/>
  <c r="L175" i="3" s="1"/>
  <c r="H175" i="3"/>
  <c r="K174" i="3"/>
  <c r="L174" i="3" s="1"/>
  <c r="H174" i="3"/>
  <c r="K173" i="3"/>
  <c r="L173" i="3" s="1"/>
  <c r="H173" i="3"/>
  <c r="K172" i="3"/>
  <c r="L172" i="3" s="1"/>
  <c r="H172" i="3"/>
  <c r="K171" i="3"/>
  <c r="L171" i="3" s="1"/>
  <c r="H171" i="3"/>
  <c r="K170" i="3"/>
  <c r="L170" i="3" s="1"/>
  <c r="H170" i="3"/>
  <c r="K169" i="3"/>
  <c r="L169" i="3" s="1"/>
  <c r="H169" i="3"/>
  <c r="K168" i="3"/>
  <c r="L168" i="3" s="1"/>
  <c r="H168" i="3"/>
  <c r="K167" i="3"/>
  <c r="L167" i="3" s="1"/>
  <c r="H167" i="3"/>
  <c r="K166" i="3"/>
  <c r="L166" i="3" s="1"/>
  <c r="H166" i="3"/>
  <c r="K165" i="3"/>
  <c r="L165" i="3" s="1"/>
  <c r="H165" i="3"/>
  <c r="K164" i="3"/>
  <c r="L164" i="3" s="1"/>
  <c r="H164" i="3"/>
  <c r="K163" i="3"/>
  <c r="L163" i="3" s="1"/>
  <c r="H163" i="3"/>
  <c r="K162" i="3"/>
  <c r="L162" i="3" s="1"/>
  <c r="H162" i="3"/>
  <c r="K161" i="3"/>
  <c r="L161" i="3" s="1"/>
  <c r="H161" i="3"/>
  <c r="K160" i="3"/>
  <c r="L160" i="3" s="1"/>
  <c r="H160" i="3"/>
  <c r="K159" i="3"/>
  <c r="L159" i="3" s="1"/>
  <c r="H159" i="3"/>
  <c r="K158" i="3"/>
  <c r="L158" i="3" s="1"/>
  <c r="H158" i="3"/>
  <c r="K157" i="3"/>
  <c r="L157" i="3" s="1"/>
  <c r="H157" i="3"/>
  <c r="K156" i="3"/>
  <c r="L156" i="3" s="1"/>
  <c r="H156" i="3"/>
  <c r="K155" i="3"/>
  <c r="L155" i="3" s="1"/>
  <c r="H155" i="3"/>
  <c r="K154" i="3"/>
  <c r="L154" i="3" s="1"/>
  <c r="H154" i="3"/>
  <c r="K153" i="3"/>
  <c r="L153" i="3" s="1"/>
  <c r="H153" i="3"/>
  <c r="K152" i="3"/>
  <c r="L152" i="3" s="1"/>
  <c r="H152" i="3"/>
  <c r="K151" i="3"/>
  <c r="L151" i="3" s="1"/>
  <c r="H151" i="3"/>
  <c r="K150" i="3"/>
  <c r="L150" i="3" s="1"/>
  <c r="H150" i="3"/>
  <c r="K149" i="3"/>
  <c r="L149" i="3" s="1"/>
  <c r="H149" i="3"/>
  <c r="K148" i="3"/>
  <c r="L148" i="3" s="1"/>
  <c r="H148" i="3"/>
  <c r="K147" i="3"/>
  <c r="L147" i="3" s="1"/>
  <c r="H147" i="3"/>
  <c r="K146" i="3"/>
  <c r="L146" i="3" s="1"/>
  <c r="H146" i="3"/>
  <c r="K145" i="3"/>
  <c r="L145" i="3" s="1"/>
  <c r="H145" i="3"/>
  <c r="K144" i="3"/>
  <c r="L144" i="3" s="1"/>
  <c r="H144" i="3"/>
  <c r="K143" i="3"/>
  <c r="L143" i="3" s="1"/>
  <c r="H143" i="3"/>
  <c r="K142" i="3"/>
  <c r="L142" i="3" s="1"/>
  <c r="H142" i="3"/>
  <c r="K141" i="3"/>
  <c r="L141" i="3" s="1"/>
  <c r="H141" i="3"/>
  <c r="K140" i="3"/>
  <c r="L140" i="3" s="1"/>
  <c r="H140" i="3"/>
  <c r="K139" i="3"/>
  <c r="L139" i="3" s="1"/>
  <c r="H139" i="3"/>
  <c r="K138" i="3"/>
  <c r="L138" i="3" s="1"/>
  <c r="H138" i="3"/>
  <c r="K137" i="3"/>
  <c r="L137" i="3" s="1"/>
  <c r="H137" i="3"/>
  <c r="K136" i="3"/>
  <c r="L136" i="3" s="1"/>
  <c r="H136" i="3"/>
  <c r="K135" i="3"/>
  <c r="L135" i="3" s="1"/>
  <c r="H135" i="3"/>
  <c r="K134" i="3"/>
  <c r="L134" i="3" s="1"/>
  <c r="H134" i="3"/>
  <c r="K133" i="3"/>
  <c r="L133" i="3" s="1"/>
  <c r="H133" i="3"/>
  <c r="K132" i="3"/>
  <c r="L132" i="3" s="1"/>
  <c r="H132" i="3"/>
  <c r="K131" i="3"/>
  <c r="L131" i="3" s="1"/>
  <c r="H131" i="3"/>
  <c r="K130" i="3"/>
  <c r="L130" i="3" s="1"/>
  <c r="H130" i="3"/>
  <c r="K129" i="3"/>
  <c r="L129" i="3" s="1"/>
  <c r="H129" i="3"/>
  <c r="K128" i="3"/>
  <c r="L128" i="3" s="1"/>
  <c r="H128" i="3"/>
  <c r="K127" i="3"/>
  <c r="L127" i="3" s="1"/>
  <c r="H127" i="3"/>
  <c r="K126" i="3"/>
  <c r="L126" i="3" s="1"/>
  <c r="H126" i="3"/>
  <c r="K125" i="3"/>
  <c r="L125" i="3" s="1"/>
  <c r="H125" i="3"/>
  <c r="K124" i="3"/>
  <c r="L124" i="3" s="1"/>
  <c r="H124" i="3"/>
  <c r="K123" i="3"/>
  <c r="L123" i="3" s="1"/>
  <c r="H123" i="3"/>
  <c r="K122" i="3"/>
  <c r="L122" i="3" s="1"/>
  <c r="H122" i="3"/>
  <c r="K121" i="3"/>
  <c r="L121" i="3" s="1"/>
  <c r="H121" i="3"/>
  <c r="K120" i="3"/>
  <c r="L120" i="3" s="1"/>
  <c r="H120" i="3"/>
  <c r="K119" i="3"/>
  <c r="L119" i="3" s="1"/>
  <c r="H119" i="3"/>
  <c r="K118" i="3"/>
  <c r="L118" i="3" s="1"/>
  <c r="H118" i="3"/>
  <c r="K117" i="3"/>
  <c r="L117" i="3" s="1"/>
  <c r="H117" i="3"/>
  <c r="K116" i="3"/>
  <c r="L116" i="3" s="1"/>
  <c r="H116" i="3"/>
  <c r="K115" i="3"/>
  <c r="L115" i="3" s="1"/>
  <c r="H115" i="3"/>
  <c r="K114" i="3"/>
  <c r="L114" i="3" s="1"/>
  <c r="H114" i="3"/>
  <c r="K113" i="3"/>
  <c r="L113" i="3" s="1"/>
  <c r="H113" i="3"/>
  <c r="K112" i="3"/>
  <c r="L112" i="3" s="1"/>
  <c r="H112" i="3"/>
  <c r="K111" i="3"/>
  <c r="L111" i="3" s="1"/>
  <c r="H111" i="3"/>
  <c r="K110" i="3"/>
  <c r="L110" i="3" s="1"/>
  <c r="H110" i="3"/>
  <c r="K109" i="3"/>
  <c r="L109" i="3" s="1"/>
  <c r="H109" i="3"/>
  <c r="K108" i="3"/>
  <c r="L108" i="3" s="1"/>
  <c r="H108" i="3"/>
  <c r="K107" i="3"/>
  <c r="L107" i="3" s="1"/>
  <c r="H107" i="3"/>
  <c r="K106" i="3"/>
  <c r="L106" i="3" s="1"/>
  <c r="H106" i="3"/>
  <c r="K105" i="3"/>
  <c r="L105" i="3" s="1"/>
  <c r="H105" i="3"/>
  <c r="K104" i="3"/>
  <c r="L104" i="3" s="1"/>
  <c r="H104" i="3"/>
  <c r="K103" i="3"/>
  <c r="L103" i="3" s="1"/>
  <c r="H103" i="3"/>
  <c r="K102" i="3"/>
  <c r="L102" i="3" s="1"/>
  <c r="H102" i="3"/>
  <c r="K101" i="3"/>
  <c r="L101" i="3" s="1"/>
  <c r="H101" i="3"/>
  <c r="K100" i="3"/>
  <c r="L100" i="3" s="1"/>
  <c r="H100" i="3"/>
  <c r="K99" i="3"/>
  <c r="L99" i="3" s="1"/>
  <c r="H99" i="3"/>
  <c r="K98" i="3"/>
  <c r="L98" i="3" s="1"/>
  <c r="H98" i="3"/>
  <c r="K97" i="3"/>
  <c r="L97" i="3" s="1"/>
  <c r="H97" i="3"/>
  <c r="K96" i="3"/>
  <c r="L96" i="3" s="1"/>
  <c r="H96" i="3"/>
  <c r="K95" i="3"/>
  <c r="L95" i="3" s="1"/>
  <c r="H95" i="3"/>
  <c r="K94" i="3"/>
  <c r="L94" i="3" s="1"/>
  <c r="H94" i="3"/>
  <c r="K93" i="3"/>
  <c r="L93" i="3" s="1"/>
  <c r="H93" i="3"/>
  <c r="K92" i="3"/>
  <c r="L92" i="3" s="1"/>
  <c r="H92" i="3"/>
  <c r="K91" i="3"/>
  <c r="L91" i="3" s="1"/>
  <c r="H91" i="3"/>
  <c r="K90" i="3"/>
  <c r="L90" i="3" s="1"/>
  <c r="H90" i="3"/>
  <c r="K89" i="3"/>
  <c r="L89" i="3" s="1"/>
  <c r="H89" i="3"/>
  <c r="K88" i="3"/>
  <c r="L88" i="3" s="1"/>
  <c r="H88" i="3"/>
  <c r="K87" i="3"/>
  <c r="L87" i="3" s="1"/>
  <c r="H87" i="3"/>
  <c r="K86" i="3"/>
  <c r="L86" i="3" s="1"/>
  <c r="H86" i="3"/>
  <c r="K85" i="3"/>
  <c r="L85" i="3" s="1"/>
  <c r="H85" i="3"/>
  <c r="K84" i="3"/>
  <c r="L84" i="3" s="1"/>
  <c r="H84" i="3"/>
  <c r="K83" i="3"/>
  <c r="L83" i="3" s="1"/>
  <c r="H83" i="3"/>
  <c r="K82" i="3"/>
  <c r="L82" i="3" s="1"/>
  <c r="H82" i="3"/>
  <c r="K81" i="3"/>
  <c r="L81" i="3" s="1"/>
  <c r="H81" i="3"/>
  <c r="K80" i="3"/>
  <c r="L80" i="3" s="1"/>
  <c r="H80" i="3"/>
  <c r="K79" i="3"/>
  <c r="L79" i="3" s="1"/>
  <c r="H79" i="3"/>
  <c r="K78" i="3"/>
  <c r="L78" i="3" s="1"/>
  <c r="H78" i="3"/>
  <c r="K77" i="3"/>
  <c r="L77" i="3" s="1"/>
  <c r="H77" i="3"/>
  <c r="K76" i="3"/>
  <c r="L76" i="3" s="1"/>
  <c r="H76" i="3"/>
  <c r="K75" i="3"/>
  <c r="L75" i="3" s="1"/>
  <c r="H75" i="3"/>
  <c r="K74" i="3"/>
  <c r="L74" i="3" s="1"/>
  <c r="H74" i="3"/>
  <c r="K73" i="3"/>
  <c r="L73" i="3" s="1"/>
  <c r="H73" i="3"/>
  <c r="K72" i="3"/>
  <c r="L72" i="3" s="1"/>
  <c r="H72" i="3"/>
  <c r="K71" i="3"/>
  <c r="L71" i="3" s="1"/>
  <c r="H71" i="3"/>
  <c r="K70" i="3"/>
  <c r="L70" i="3" s="1"/>
  <c r="H70" i="3"/>
  <c r="K69" i="3"/>
  <c r="L69" i="3" s="1"/>
  <c r="H69" i="3"/>
  <c r="K68" i="3"/>
  <c r="L68" i="3" s="1"/>
  <c r="H68" i="3"/>
  <c r="K67" i="3"/>
  <c r="L67" i="3" s="1"/>
  <c r="H67" i="3"/>
  <c r="K66" i="3"/>
  <c r="L66" i="3" s="1"/>
  <c r="H66" i="3"/>
  <c r="K65" i="3"/>
  <c r="L65" i="3" s="1"/>
  <c r="H65" i="3"/>
  <c r="K64" i="3"/>
  <c r="L64" i="3" s="1"/>
  <c r="H64" i="3"/>
  <c r="K63" i="3"/>
  <c r="L63" i="3" s="1"/>
  <c r="H63" i="3"/>
  <c r="K62" i="3"/>
  <c r="L62" i="3" s="1"/>
  <c r="H62" i="3"/>
  <c r="K61" i="3"/>
  <c r="L61" i="3" s="1"/>
  <c r="H61" i="3"/>
  <c r="K60" i="3"/>
  <c r="L60" i="3" s="1"/>
  <c r="H60" i="3"/>
  <c r="K59" i="3"/>
  <c r="L59" i="3" s="1"/>
  <c r="H59" i="3"/>
  <c r="K58" i="3"/>
  <c r="L58" i="3" s="1"/>
  <c r="H58" i="3"/>
  <c r="K57" i="3"/>
  <c r="L57" i="3" s="1"/>
  <c r="H57" i="3"/>
  <c r="K56" i="3"/>
  <c r="L56" i="3" s="1"/>
  <c r="H56" i="3"/>
  <c r="K55" i="3"/>
  <c r="L55" i="3" s="1"/>
  <c r="H55" i="3"/>
  <c r="K54" i="3"/>
  <c r="L54" i="3" s="1"/>
  <c r="H54" i="3"/>
  <c r="K53" i="3"/>
  <c r="L53" i="3" s="1"/>
  <c r="H53" i="3"/>
  <c r="K52" i="3"/>
  <c r="L52" i="3" s="1"/>
  <c r="H52" i="3"/>
  <c r="K51" i="3"/>
  <c r="L51" i="3" s="1"/>
  <c r="H51" i="3"/>
  <c r="K50" i="3"/>
  <c r="L50" i="3" s="1"/>
  <c r="H50" i="3"/>
  <c r="K49" i="3"/>
  <c r="L49" i="3" s="1"/>
  <c r="H49" i="3"/>
  <c r="K48" i="3"/>
  <c r="L48" i="3" s="1"/>
  <c r="H48" i="3"/>
  <c r="K47" i="3"/>
  <c r="L47" i="3" s="1"/>
  <c r="H47" i="3"/>
  <c r="K46" i="3"/>
  <c r="L46" i="3" s="1"/>
  <c r="H46" i="3"/>
  <c r="K45" i="3"/>
  <c r="L45" i="3" s="1"/>
  <c r="H45" i="3"/>
  <c r="K44" i="3"/>
  <c r="L44" i="3" s="1"/>
  <c r="H44" i="3"/>
  <c r="K43" i="3"/>
  <c r="L43" i="3" s="1"/>
  <c r="H43" i="3"/>
  <c r="K42" i="3"/>
  <c r="L42" i="3" s="1"/>
  <c r="H42" i="3"/>
  <c r="K41" i="3"/>
  <c r="L41" i="3" s="1"/>
  <c r="H41" i="3"/>
  <c r="K40" i="3"/>
  <c r="L40" i="3" s="1"/>
  <c r="H40" i="3"/>
  <c r="K39" i="3"/>
  <c r="L39" i="3" s="1"/>
  <c r="H39" i="3"/>
  <c r="K38" i="3"/>
  <c r="L38" i="3" s="1"/>
  <c r="H38" i="3"/>
  <c r="K37" i="3"/>
  <c r="L37" i="3" s="1"/>
  <c r="H37" i="3"/>
  <c r="K36" i="3"/>
  <c r="L36" i="3" s="1"/>
  <c r="H36" i="3"/>
  <c r="K35" i="3"/>
  <c r="L35" i="3" s="1"/>
  <c r="H35" i="3"/>
  <c r="K34" i="3"/>
  <c r="L34" i="3" s="1"/>
  <c r="H34" i="3"/>
  <c r="K33" i="3"/>
  <c r="L33" i="3" s="1"/>
  <c r="H33" i="3"/>
  <c r="K32" i="3"/>
  <c r="L32" i="3" s="1"/>
  <c r="H32" i="3"/>
  <c r="K31" i="3"/>
  <c r="L31" i="3" s="1"/>
  <c r="H31" i="3"/>
  <c r="K30" i="3"/>
  <c r="L30" i="3" s="1"/>
  <c r="H30" i="3"/>
  <c r="K29" i="3"/>
  <c r="L29" i="3" s="1"/>
  <c r="H29" i="3"/>
  <c r="K28" i="3"/>
  <c r="L28" i="3" s="1"/>
  <c r="H28" i="3"/>
  <c r="K27" i="3"/>
  <c r="L27" i="3" s="1"/>
  <c r="H27" i="3"/>
  <c r="K26" i="3"/>
  <c r="L26" i="3" s="1"/>
  <c r="H26" i="3"/>
  <c r="K25" i="3"/>
  <c r="L25" i="3" s="1"/>
  <c r="H25" i="3"/>
  <c r="K24" i="3"/>
  <c r="L24" i="3" s="1"/>
  <c r="H24" i="3"/>
  <c r="K23" i="3"/>
  <c r="L23" i="3" s="1"/>
  <c r="H23" i="3"/>
  <c r="K22" i="3"/>
  <c r="L22" i="3" s="1"/>
  <c r="H22" i="3"/>
  <c r="K21" i="3"/>
  <c r="L21" i="3" s="1"/>
  <c r="H21" i="3"/>
  <c r="K20" i="3"/>
  <c r="L20" i="3" s="1"/>
  <c r="H20" i="3"/>
  <c r="K19" i="3"/>
  <c r="L19" i="3" s="1"/>
  <c r="H19" i="3"/>
  <c r="K18" i="3"/>
  <c r="L18" i="3" s="1"/>
  <c r="H18" i="3"/>
  <c r="K17" i="3"/>
  <c r="L17" i="3" s="1"/>
  <c r="H17" i="3"/>
  <c r="K16" i="3"/>
  <c r="L16" i="3" s="1"/>
  <c r="H16" i="3"/>
  <c r="K15" i="3"/>
  <c r="L15" i="3" s="1"/>
  <c r="H15" i="3"/>
  <c r="K14" i="3"/>
  <c r="L14" i="3" s="1"/>
  <c r="H14" i="3"/>
  <c r="K13" i="3"/>
  <c r="L13" i="3" s="1"/>
  <c r="H13" i="3"/>
  <c r="K12" i="3"/>
  <c r="L12" i="3" s="1"/>
  <c r="H12" i="3"/>
  <c r="K11" i="3"/>
  <c r="L11" i="3" s="1"/>
  <c r="H11" i="3"/>
  <c r="K10" i="3"/>
  <c r="L10" i="3" s="1"/>
  <c r="H10" i="3"/>
  <c r="K9" i="3"/>
  <c r="L9" i="3" s="1"/>
  <c r="H9" i="3"/>
  <c r="K8" i="3"/>
  <c r="L8" i="3" s="1"/>
  <c r="H8" i="3"/>
  <c r="K7" i="3"/>
  <c r="L7" i="3" s="1"/>
  <c r="H7" i="3"/>
  <c r="K6" i="3"/>
  <c r="L6" i="3" s="1"/>
  <c r="H6" i="3"/>
  <c r="K5" i="3"/>
  <c r="L5" i="3" s="1"/>
  <c r="H5" i="3"/>
  <c r="K4" i="3"/>
  <c r="L4" i="3" s="1"/>
  <c r="H4" i="3"/>
  <c r="K3" i="3"/>
  <c r="L3" i="3" s="1"/>
  <c r="H3" i="3"/>
  <c r="K2" i="3"/>
  <c r="L2" i="3" s="1"/>
  <c r="H2" i="3"/>
  <c r="J440" i="2"/>
  <c r="G440" i="2"/>
  <c r="J439" i="2"/>
  <c r="L439" i="2" s="1"/>
  <c r="G439" i="2"/>
  <c r="J438" i="2"/>
  <c r="G438" i="2"/>
  <c r="J437" i="2"/>
  <c r="L437" i="2" s="1"/>
  <c r="G437" i="2"/>
  <c r="J436" i="2"/>
  <c r="G436" i="2"/>
  <c r="B436" i="2"/>
  <c r="A436" i="2"/>
  <c r="J435" i="2"/>
  <c r="L435" i="2" s="1"/>
  <c r="G435" i="2"/>
  <c r="A435" i="2"/>
  <c r="J434" i="2"/>
  <c r="K434" i="2" s="1"/>
  <c r="G434" i="2"/>
  <c r="A434" i="2"/>
  <c r="J433" i="2"/>
  <c r="G433" i="2"/>
  <c r="A433" i="2"/>
  <c r="J432" i="2"/>
  <c r="K432" i="2" s="1"/>
  <c r="G432" i="2"/>
  <c r="A432" i="2"/>
  <c r="J431" i="2"/>
  <c r="L431" i="2" s="1"/>
  <c r="G431" i="2"/>
  <c r="A431" i="2"/>
  <c r="J430" i="2"/>
  <c r="L430" i="2" s="1"/>
  <c r="G430" i="2"/>
  <c r="A430" i="2"/>
  <c r="J429" i="2"/>
  <c r="L429" i="2" s="1"/>
  <c r="G429" i="2"/>
  <c r="A429" i="2"/>
  <c r="J428" i="2"/>
  <c r="G428" i="2"/>
  <c r="A428" i="2"/>
  <c r="J427" i="2"/>
  <c r="L427" i="2" s="1"/>
  <c r="G427" i="2"/>
  <c r="A427" i="2"/>
  <c r="J426" i="2"/>
  <c r="K426" i="2" s="1"/>
  <c r="G426" i="2"/>
  <c r="A426" i="2"/>
  <c r="J425" i="2"/>
  <c r="G425" i="2"/>
  <c r="A425" i="2"/>
  <c r="J424" i="2"/>
  <c r="K424" i="2" s="1"/>
  <c r="G424" i="2"/>
  <c r="A424" i="2"/>
  <c r="J423" i="2"/>
  <c r="L423" i="2" s="1"/>
  <c r="G423" i="2"/>
  <c r="A423" i="2"/>
  <c r="J422" i="2"/>
  <c r="L422" i="2" s="1"/>
  <c r="G422" i="2"/>
  <c r="A422" i="2"/>
  <c r="J421" i="2"/>
  <c r="L421" i="2" s="1"/>
  <c r="G421" i="2"/>
  <c r="A421" i="2"/>
  <c r="J420" i="2"/>
  <c r="L420" i="2" s="1"/>
  <c r="G420" i="2"/>
  <c r="A420" i="2"/>
  <c r="J419" i="2"/>
  <c r="L419" i="2" s="1"/>
  <c r="G419" i="2"/>
  <c r="A419" i="2"/>
  <c r="J418" i="2"/>
  <c r="K418" i="2" s="1"/>
  <c r="G418" i="2"/>
  <c r="A418" i="2"/>
  <c r="J417" i="2"/>
  <c r="G417" i="2"/>
  <c r="J416" i="2"/>
  <c r="L416" i="2" s="1"/>
  <c r="G416" i="2"/>
  <c r="B416" i="2"/>
  <c r="A416" i="2"/>
  <c r="J415" i="2"/>
  <c r="L415" i="2" s="1"/>
  <c r="G415" i="2"/>
  <c r="B415" i="2"/>
  <c r="A415" i="2"/>
  <c r="J414" i="2"/>
  <c r="G414" i="2"/>
  <c r="J413" i="2"/>
  <c r="K413" i="2" s="1"/>
  <c r="G413" i="2"/>
  <c r="J412" i="2"/>
  <c r="L412" i="2" s="1"/>
  <c r="G412" i="2"/>
  <c r="J411" i="2"/>
  <c r="K411" i="2" s="1"/>
  <c r="G411" i="2"/>
  <c r="J410" i="2"/>
  <c r="L410" i="2" s="1"/>
  <c r="G410" i="2"/>
  <c r="J409" i="2"/>
  <c r="L409" i="2" s="1"/>
  <c r="G409" i="2"/>
  <c r="J408" i="2"/>
  <c r="L408" i="2" s="1"/>
  <c r="G408" i="2"/>
  <c r="J407" i="2"/>
  <c r="L407" i="2" s="1"/>
  <c r="G407" i="2"/>
  <c r="A407" i="2"/>
  <c r="J406" i="2"/>
  <c r="K406" i="2" s="1"/>
  <c r="G406" i="2"/>
  <c r="A406" i="2"/>
  <c r="J405" i="2"/>
  <c r="G405" i="2"/>
  <c r="A405" i="2"/>
  <c r="J404" i="2"/>
  <c r="K404" i="2" s="1"/>
  <c r="G404" i="2"/>
  <c r="A404" i="2"/>
  <c r="J403" i="2"/>
  <c r="L403" i="2" s="1"/>
  <c r="G403" i="2"/>
  <c r="A403" i="2"/>
  <c r="J402" i="2"/>
  <c r="L402" i="2" s="1"/>
  <c r="G402" i="2"/>
  <c r="A402" i="2"/>
  <c r="J401" i="2"/>
  <c r="L401" i="2" s="1"/>
  <c r="G401" i="2"/>
  <c r="A401" i="2"/>
  <c r="J400" i="2"/>
  <c r="L400" i="2" s="1"/>
  <c r="G400" i="2"/>
  <c r="A400" i="2"/>
  <c r="J399" i="2"/>
  <c r="L399" i="2" s="1"/>
  <c r="G399" i="2"/>
  <c r="A399" i="2"/>
  <c r="J398" i="2"/>
  <c r="K398" i="2" s="1"/>
  <c r="G398" i="2"/>
  <c r="A398" i="2"/>
  <c r="J397" i="2"/>
  <c r="G397" i="2"/>
  <c r="A397" i="2"/>
  <c r="J396" i="2"/>
  <c r="K396" i="2" s="1"/>
  <c r="G396" i="2"/>
  <c r="A396" i="2"/>
  <c r="J395" i="2"/>
  <c r="L395" i="2" s="1"/>
  <c r="G395" i="2"/>
  <c r="A395" i="2"/>
  <c r="J394" i="2"/>
  <c r="L394" i="2" s="1"/>
  <c r="G394" i="2"/>
  <c r="A394" i="2"/>
  <c r="J393" i="2"/>
  <c r="L393" i="2" s="1"/>
  <c r="G393" i="2"/>
  <c r="A393" i="2"/>
  <c r="J392" i="2"/>
  <c r="L392" i="2" s="1"/>
  <c r="G392" i="2"/>
  <c r="A392" i="2"/>
  <c r="J391" i="2"/>
  <c r="L391" i="2" s="1"/>
  <c r="G391" i="2"/>
  <c r="A391" i="2"/>
  <c r="J390" i="2"/>
  <c r="K390" i="2" s="1"/>
  <c r="G390" i="2"/>
  <c r="A390" i="2"/>
  <c r="J389" i="2"/>
  <c r="G389" i="2"/>
  <c r="A389" i="2"/>
  <c r="J388" i="2"/>
  <c r="K388" i="2" s="1"/>
  <c r="G388" i="2"/>
  <c r="A388" i="2"/>
  <c r="J387" i="2"/>
  <c r="L387" i="2" s="1"/>
  <c r="G387" i="2"/>
  <c r="A387" i="2"/>
  <c r="J386" i="2"/>
  <c r="L386" i="2" s="1"/>
  <c r="G386" i="2"/>
  <c r="A386" i="2"/>
  <c r="J385" i="2"/>
  <c r="L385" i="2" s="1"/>
  <c r="G385" i="2"/>
  <c r="A385" i="2"/>
  <c r="J384" i="2"/>
  <c r="L384" i="2" s="1"/>
  <c r="G384" i="2"/>
  <c r="A384" i="2"/>
  <c r="J383" i="2"/>
  <c r="L383" i="2" s="1"/>
  <c r="G383" i="2"/>
  <c r="A383" i="2"/>
  <c r="J382" i="2"/>
  <c r="K382" i="2" s="1"/>
  <c r="G382" i="2"/>
  <c r="A382" i="2"/>
  <c r="J381" i="2"/>
  <c r="G381" i="2"/>
  <c r="A381" i="2"/>
  <c r="J380" i="2"/>
  <c r="K380" i="2" s="1"/>
  <c r="G380" i="2"/>
  <c r="A380" i="2"/>
  <c r="J379" i="2"/>
  <c r="L379" i="2" s="1"/>
  <c r="G379" i="2"/>
  <c r="A379" i="2"/>
  <c r="J378" i="2"/>
  <c r="L378" i="2" s="1"/>
  <c r="G378" i="2"/>
  <c r="A378" i="2"/>
  <c r="J377" i="2"/>
  <c r="L377" i="2" s="1"/>
  <c r="G377" i="2"/>
  <c r="A377" i="2"/>
  <c r="J376" i="2"/>
  <c r="L376" i="2" s="1"/>
  <c r="G376" i="2"/>
  <c r="A376" i="2"/>
  <c r="J375" i="2"/>
  <c r="L375" i="2" s="1"/>
  <c r="G375" i="2"/>
  <c r="A375" i="2"/>
  <c r="J374" i="2"/>
  <c r="K374" i="2" s="1"/>
  <c r="G374" i="2"/>
  <c r="A374" i="2"/>
  <c r="J373" i="2"/>
  <c r="G373" i="2"/>
  <c r="A373" i="2"/>
  <c r="J372" i="2"/>
  <c r="K372" i="2" s="1"/>
  <c r="G372" i="2"/>
  <c r="A372" i="2"/>
  <c r="J371" i="2"/>
  <c r="L371" i="2" s="1"/>
  <c r="G371" i="2"/>
  <c r="A371" i="2"/>
  <c r="J370" i="2"/>
  <c r="L370" i="2" s="1"/>
  <c r="G370" i="2"/>
  <c r="A370" i="2"/>
  <c r="J369" i="2"/>
  <c r="K369" i="2" s="1"/>
  <c r="G369" i="2"/>
  <c r="A369" i="2"/>
  <c r="J368" i="2"/>
  <c r="L368" i="2" s="1"/>
  <c r="G368" i="2"/>
  <c r="A368" i="2"/>
  <c r="J367" i="2"/>
  <c r="L367" i="2" s="1"/>
  <c r="G367" i="2"/>
  <c r="B367" i="2"/>
  <c r="A367" i="2"/>
  <c r="J366" i="2"/>
  <c r="K366" i="2" s="1"/>
  <c r="G366" i="2"/>
  <c r="A366" i="2"/>
  <c r="J365" i="2"/>
  <c r="K365" i="2" s="1"/>
  <c r="G365" i="2"/>
  <c r="B365" i="2"/>
  <c r="A365" i="2"/>
  <c r="J364" i="2"/>
  <c r="G364" i="2"/>
  <c r="A364" i="2"/>
  <c r="J363" i="2"/>
  <c r="K363" i="2" s="1"/>
  <c r="G363" i="2"/>
  <c r="C363" i="2"/>
  <c r="B363" i="2"/>
  <c r="A363" i="2"/>
  <c r="J362" i="2"/>
  <c r="L362" i="2" s="1"/>
  <c r="G362" i="2"/>
  <c r="C362" i="2"/>
  <c r="B362" i="2"/>
  <c r="A362" i="2"/>
  <c r="J361" i="2"/>
  <c r="K361" i="2" s="1"/>
  <c r="G361" i="2"/>
  <c r="A361" i="2"/>
  <c r="J360" i="2"/>
  <c r="G360" i="2"/>
  <c r="B360" i="2"/>
  <c r="A360" i="2"/>
  <c r="J359" i="2"/>
  <c r="L359" i="2" s="1"/>
  <c r="G359" i="2"/>
  <c r="A359" i="2"/>
  <c r="J358" i="2"/>
  <c r="K358" i="2" s="1"/>
  <c r="G358" i="2"/>
  <c r="A358" i="2"/>
  <c r="J357" i="2"/>
  <c r="G357" i="2"/>
  <c r="B357" i="2"/>
  <c r="A357" i="2"/>
  <c r="J356" i="2"/>
  <c r="L356" i="2" s="1"/>
  <c r="G356" i="2"/>
  <c r="A356" i="2"/>
  <c r="J355" i="2"/>
  <c r="K355" i="2" s="1"/>
  <c r="G355" i="2"/>
  <c r="A355" i="2"/>
  <c r="J354" i="2"/>
  <c r="G354" i="2"/>
  <c r="C354" i="2"/>
  <c r="B354" i="2"/>
  <c r="A354" i="2"/>
  <c r="J353" i="2"/>
  <c r="L353" i="2" s="1"/>
  <c r="G353" i="2"/>
  <c r="A353" i="2"/>
  <c r="J352" i="2"/>
  <c r="L352" i="2" s="1"/>
  <c r="G352" i="2"/>
  <c r="A352" i="2"/>
  <c r="J351" i="2"/>
  <c r="L351" i="2" s="1"/>
  <c r="G351" i="2"/>
  <c r="A351" i="2"/>
  <c r="J350" i="2"/>
  <c r="L350" i="2" s="1"/>
  <c r="G350" i="2"/>
  <c r="A350" i="2"/>
  <c r="J349" i="2"/>
  <c r="K349" i="2" s="1"/>
  <c r="G349" i="2"/>
  <c r="C349" i="2"/>
  <c r="B349" i="2"/>
  <c r="A349" i="2"/>
  <c r="J348" i="2"/>
  <c r="L348" i="2" s="1"/>
  <c r="G348" i="2"/>
  <c r="A348" i="2"/>
  <c r="J347" i="2"/>
  <c r="L347" i="2" s="1"/>
  <c r="G347" i="2"/>
  <c r="C347" i="2"/>
  <c r="B347" i="2"/>
  <c r="A347" i="2"/>
  <c r="J346" i="2"/>
  <c r="K346" i="2" s="1"/>
  <c r="G346" i="2"/>
  <c r="C346" i="2"/>
  <c r="B346" i="2"/>
  <c r="A346" i="2"/>
  <c r="J345" i="2"/>
  <c r="L345" i="2" s="1"/>
  <c r="G345" i="2"/>
  <c r="A345" i="2"/>
  <c r="J344" i="2"/>
  <c r="K344" i="2" s="1"/>
  <c r="G344" i="2"/>
  <c r="A344" i="2"/>
  <c r="J343" i="2"/>
  <c r="L343" i="2" s="1"/>
  <c r="G343" i="2"/>
  <c r="A343" i="2"/>
  <c r="J342" i="2"/>
  <c r="K342" i="2" s="1"/>
  <c r="G342" i="2"/>
  <c r="A342" i="2"/>
  <c r="J341" i="2"/>
  <c r="L341" i="2" s="1"/>
  <c r="G341" i="2"/>
  <c r="A341" i="2"/>
  <c r="J340" i="2"/>
  <c r="K340" i="2" s="1"/>
  <c r="G340" i="2"/>
  <c r="A340" i="2"/>
  <c r="J339" i="2"/>
  <c r="K339" i="2" s="1"/>
  <c r="G339" i="2"/>
  <c r="C339" i="2"/>
  <c r="B339" i="2"/>
  <c r="A339" i="2"/>
  <c r="J338" i="2"/>
  <c r="K338" i="2" s="1"/>
  <c r="G338" i="2"/>
  <c r="C338" i="2"/>
  <c r="B338" i="2"/>
  <c r="A338" i="2"/>
  <c r="J337" i="2"/>
  <c r="L337" i="2" s="1"/>
  <c r="G337" i="2"/>
  <c r="C337" i="2"/>
  <c r="B337" i="2"/>
  <c r="A337" i="2"/>
  <c r="J336" i="2"/>
  <c r="G336" i="2"/>
  <c r="C336" i="2"/>
  <c r="B336" i="2"/>
  <c r="A336" i="2"/>
  <c r="J335" i="2"/>
  <c r="L335" i="2" s="1"/>
  <c r="G335" i="2"/>
  <c r="C335" i="2"/>
  <c r="B335" i="2"/>
  <c r="A335" i="2"/>
  <c r="J334" i="2"/>
  <c r="K334" i="2" s="1"/>
  <c r="G334" i="2"/>
  <c r="A334" i="2"/>
  <c r="J333" i="2"/>
  <c r="K333" i="2" s="1"/>
  <c r="G333" i="2"/>
  <c r="A333" i="2"/>
  <c r="J332" i="2"/>
  <c r="G332" i="2"/>
  <c r="A332" i="2"/>
  <c r="J331" i="2"/>
  <c r="L331" i="2" s="1"/>
  <c r="G331" i="2"/>
  <c r="C331" i="2"/>
  <c r="B331" i="2"/>
  <c r="A331" i="2"/>
  <c r="J330" i="2"/>
  <c r="L330" i="2" s="1"/>
  <c r="G330" i="2"/>
  <c r="A330" i="2"/>
  <c r="J329" i="2"/>
  <c r="K329" i="2" s="1"/>
  <c r="G329" i="2"/>
  <c r="A329" i="2"/>
  <c r="J328" i="2"/>
  <c r="L328" i="2" s="1"/>
  <c r="G328" i="2"/>
  <c r="A328" i="2"/>
  <c r="J327" i="2"/>
  <c r="L327" i="2" s="1"/>
  <c r="G327" i="2"/>
  <c r="A327" i="2"/>
  <c r="J326" i="2"/>
  <c r="L326" i="2" s="1"/>
  <c r="G326" i="2"/>
  <c r="A326" i="2"/>
  <c r="J325" i="2"/>
  <c r="K325" i="2" s="1"/>
  <c r="G325" i="2"/>
  <c r="C325" i="2"/>
  <c r="B325" i="2"/>
  <c r="A325" i="2"/>
  <c r="J324" i="2"/>
  <c r="K324" i="2" s="1"/>
  <c r="G324" i="2"/>
  <c r="A324" i="2"/>
  <c r="J323" i="2"/>
  <c r="K323" i="2" s="1"/>
  <c r="G323" i="2"/>
  <c r="A323" i="2"/>
  <c r="J322" i="2"/>
  <c r="G322" i="2"/>
  <c r="A322" i="2"/>
  <c r="J321" i="2"/>
  <c r="L321" i="2" s="1"/>
  <c r="G321" i="2"/>
  <c r="A321" i="2"/>
  <c r="J320" i="2"/>
  <c r="L320" i="2" s="1"/>
  <c r="G320" i="2"/>
  <c r="A320" i="2"/>
  <c r="J319" i="2"/>
  <c r="L319" i="2" s="1"/>
  <c r="G319" i="2"/>
  <c r="A319" i="2"/>
  <c r="J318" i="2"/>
  <c r="L318" i="2" s="1"/>
  <c r="G318" i="2"/>
  <c r="A318" i="2"/>
  <c r="J317" i="2"/>
  <c r="L317" i="2" s="1"/>
  <c r="G317" i="2"/>
  <c r="A317" i="2"/>
  <c r="J316" i="2"/>
  <c r="L316" i="2" s="1"/>
  <c r="G316" i="2"/>
  <c r="A316" i="2"/>
  <c r="J315" i="2"/>
  <c r="L315" i="2" s="1"/>
  <c r="G315" i="2"/>
  <c r="A315" i="2"/>
  <c r="J314" i="2"/>
  <c r="L314" i="2" s="1"/>
  <c r="G314" i="2"/>
  <c r="A314" i="2"/>
  <c r="J313" i="2"/>
  <c r="L313" i="2" s="1"/>
  <c r="G313" i="2"/>
  <c r="A313" i="2"/>
  <c r="J312" i="2"/>
  <c r="K312" i="2" s="1"/>
  <c r="G312" i="2"/>
  <c r="A312" i="2"/>
  <c r="J311" i="2"/>
  <c r="L311" i="2" s="1"/>
  <c r="G311" i="2"/>
  <c r="A311" i="2"/>
  <c r="J310" i="2"/>
  <c r="G310" i="2"/>
  <c r="A310" i="2"/>
  <c r="J309" i="2"/>
  <c r="L309" i="2" s="1"/>
  <c r="G309" i="2"/>
  <c r="A309" i="2"/>
  <c r="J308" i="2"/>
  <c r="L308" i="2" s="1"/>
  <c r="G308" i="2"/>
  <c r="A308" i="2"/>
  <c r="J307" i="2"/>
  <c r="K307" i="2" s="1"/>
  <c r="G307" i="2"/>
  <c r="A307" i="2"/>
  <c r="J306" i="2"/>
  <c r="L306" i="2" s="1"/>
  <c r="G306" i="2"/>
  <c r="A306" i="2"/>
  <c r="J305" i="2"/>
  <c r="K305" i="2" s="1"/>
  <c r="G305" i="2"/>
  <c r="A305" i="2"/>
  <c r="J304" i="2"/>
  <c r="L304" i="2" s="1"/>
  <c r="G304" i="2"/>
  <c r="A304" i="2"/>
  <c r="J303" i="2"/>
  <c r="G303" i="2"/>
  <c r="A303" i="2"/>
  <c r="J302" i="2"/>
  <c r="L302" i="2" s="1"/>
  <c r="G302" i="2"/>
  <c r="A302" i="2"/>
  <c r="J301" i="2"/>
  <c r="L301" i="2" s="1"/>
  <c r="G301" i="2"/>
  <c r="A301" i="2"/>
  <c r="J300" i="2"/>
  <c r="L300" i="2" s="1"/>
  <c r="G300" i="2"/>
  <c r="A300" i="2"/>
  <c r="J299" i="2"/>
  <c r="L299" i="2" s="1"/>
  <c r="G299" i="2"/>
  <c r="A299" i="2"/>
  <c r="J298" i="2"/>
  <c r="L298" i="2" s="1"/>
  <c r="G298" i="2"/>
  <c r="A298" i="2"/>
  <c r="J297" i="2"/>
  <c r="L297" i="2" s="1"/>
  <c r="G297" i="2"/>
  <c r="C297" i="2"/>
  <c r="B297" i="2"/>
  <c r="A297" i="2"/>
  <c r="J296" i="2"/>
  <c r="K296" i="2" s="1"/>
  <c r="G296" i="2"/>
  <c r="B296" i="2"/>
  <c r="A296" i="2"/>
  <c r="J295" i="2"/>
  <c r="L295" i="2" s="1"/>
  <c r="G295" i="2"/>
  <c r="C295" i="2"/>
  <c r="B295" i="2"/>
  <c r="A295" i="2"/>
  <c r="J294" i="2"/>
  <c r="L294" i="2" s="1"/>
  <c r="G294" i="2"/>
  <c r="C294" i="2"/>
  <c r="B294" i="2"/>
  <c r="A294" i="2"/>
  <c r="J293" i="2"/>
  <c r="L293" i="2" s="1"/>
  <c r="G293" i="2"/>
  <c r="C293" i="2"/>
  <c r="B293" i="2"/>
  <c r="A293" i="2"/>
  <c r="J292" i="2"/>
  <c r="L292" i="2" s="1"/>
  <c r="G292" i="2"/>
  <c r="C292" i="2"/>
  <c r="A292" i="2"/>
  <c r="J291" i="2"/>
  <c r="L291" i="2" s="1"/>
  <c r="G291" i="2"/>
  <c r="C291" i="2"/>
  <c r="B291" i="2"/>
  <c r="A291" i="2"/>
  <c r="J290" i="2"/>
  <c r="K290" i="2" s="1"/>
  <c r="G290" i="2"/>
  <c r="C290" i="2"/>
  <c r="B290" i="2"/>
  <c r="A290" i="2"/>
  <c r="J289" i="2"/>
  <c r="L289" i="2" s="1"/>
  <c r="G289" i="2"/>
  <c r="A289" i="2"/>
  <c r="J288" i="2"/>
  <c r="L288" i="2" s="1"/>
  <c r="G288" i="2"/>
  <c r="C288" i="2"/>
  <c r="B288" i="2"/>
  <c r="A288" i="2"/>
  <c r="J287" i="2"/>
  <c r="G287" i="2"/>
  <c r="C287" i="2"/>
  <c r="B287" i="2"/>
  <c r="A287" i="2"/>
  <c r="J286" i="2"/>
  <c r="G286" i="2"/>
  <c r="A286" i="2"/>
  <c r="J285" i="2"/>
  <c r="L285" i="2" s="1"/>
  <c r="G285" i="2"/>
  <c r="A285" i="2"/>
  <c r="J284" i="2"/>
  <c r="L284" i="2" s="1"/>
  <c r="G284" i="2"/>
  <c r="A284" i="2"/>
  <c r="J283" i="2"/>
  <c r="L283" i="2" s="1"/>
  <c r="G283" i="2"/>
  <c r="A283" i="2"/>
  <c r="J282" i="2"/>
  <c r="L282" i="2" s="1"/>
  <c r="G282" i="2"/>
  <c r="A282" i="2"/>
  <c r="J281" i="2"/>
  <c r="L281" i="2" s="1"/>
  <c r="G281" i="2"/>
  <c r="A281" i="2"/>
  <c r="J280" i="2"/>
  <c r="G280" i="2"/>
  <c r="A280" i="2"/>
  <c r="J279" i="2"/>
  <c r="K279" i="2" s="1"/>
  <c r="G279" i="2"/>
  <c r="A279" i="2"/>
  <c r="J278" i="2"/>
  <c r="L278" i="2" s="1"/>
  <c r="G278" i="2"/>
  <c r="A278" i="2"/>
  <c r="J277" i="2"/>
  <c r="G277" i="2"/>
  <c r="A277" i="2"/>
  <c r="J276" i="2"/>
  <c r="L276" i="2" s="1"/>
  <c r="G276" i="2"/>
  <c r="A276" i="2"/>
  <c r="J275" i="2"/>
  <c r="L275" i="2" s="1"/>
  <c r="G275" i="2"/>
  <c r="A275" i="2"/>
  <c r="J274" i="2"/>
  <c r="L274" i="2" s="1"/>
  <c r="G274" i="2"/>
  <c r="A274" i="2"/>
  <c r="J273" i="2"/>
  <c r="L273" i="2" s="1"/>
  <c r="G273" i="2"/>
  <c r="C273" i="2"/>
  <c r="B273" i="2"/>
  <c r="A273" i="2"/>
  <c r="J272" i="2"/>
  <c r="L272" i="2" s="1"/>
  <c r="G272" i="2"/>
  <c r="A272" i="2"/>
  <c r="J271" i="2"/>
  <c r="L271" i="2" s="1"/>
  <c r="G271" i="2"/>
  <c r="A271" i="2"/>
  <c r="J270" i="2"/>
  <c r="K270" i="2" s="1"/>
  <c r="G270" i="2"/>
  <c r="A270" i="2"/>
  <c r="J269" i="2"/>
  <c r="K269" i="2" s="1"/>
  <c r="G269" i="2"/>
  <c r="A269" i="2"/>
  <c r="J268" i="2"/>
  <c r="L268" i="2" s="1"/>
  <c r="G268" i="2"/>
  <c r="A268" i="2"/>
  <c r="J267" i="2"/>
  <c r="K267" i="2" s="1"/>
  <c r="G267" i="2"/>
  <c r="A267" i="2"/>
  <c r="J266" i="2"/>
  <c r="L266" i="2" s="1"/>
  <c r="G266" i="2"/>
  <c r="A266" i="2"/>
  <c r="J265" i="2"/>
  <c r="L265" i="2" s="1"/>
  <c r="G265" i="2"/>
  <c r="A265" i="2"/>
  <c r="J264" i="2"/>
  <c r="L264" i="2" s="1"/>
  <c r="G264" i="2"/>
  <c r="A264" i="2"/>
  <c r="J263" i="2"/>
  <c r="G263" i="2"/>
  <c r="A263" i="2"/>
  <c r="J262" i="2"/>
  <c r="L262" i="2" s="1"/>
  <c r="G262" i="2"/>
  <c r="A262" i="2"/>
  <c r="J261" i="2"/>
  <c r="K261" i="2" s="1"/>
  <c r="G261" i="2"/>
  <c r="A261" i="2"/>
  <c r="J260" i="2"/>
  <c r="L260" i="2" s="1"/>
  <c r="G260" i="2"/>
  <c r="A260" i="2"/>
  <c r="J259" i="2"/>
  <c r="L259" i="2" s="1"/>
  <c r="G259" i="2"/>
  <c r="C259" i="2"/>
  <c r="B259" i="2"/>
  <c r="A259" i="2"/>
  <c r="J258" i="2"/>
  <c r="K258" i="2" s="1"/>
  <c r="G258" i="2"/>
  <c r="C258" i="2"/>
  <c r="B258" i="2"/>
  <c r="A258" i="2"/>
  <c r="J257" i="2"/>
  <c r="L257" i="2" s="1"/>
  <c r="G257" i="2"/>
  <c r="C257" i="2"/>
  <c r="B257" i="2"/>
  <c r="A257" i="2"/>
  <c r="J256" i="2"/>
  <c r="L256" i="2" s="1"/>
  <c r="G256" i="2"/>
  <c r="A256" i="2"/>
  <c r="J255" i="2"/>
  <c r="G255" i="2"/>
  <c r="A255" i="2"/>
  <c r="J254" i="2"/>
  <c r="L254" i="2" s="1"/>
  <c r="G254" i="2"/>
  <c r="A254" i="2"/>
  <c r="J253" i="2"/>
  <c r="L253" i="2" s="1"/>
  <c r="G253" i="2"/>
  <c r="A253" i="2"/>
  <c r="J252" i="2"/>
  <c r="G252" i="2"/>
  <c r="A252" i="2"/>
  <c r="J251" i="2"/>
  <c r="L251" i="2" s="1"/>
  <c r="G251" i="2"/>
  <c r="A251" i="2"/>
  <c r="J250" i="2"/>
  <c r="K250" i="2" s="1"/>
  <c r="G250" i="2"/>
  <c r="A250" i="2"/>
  <c r="J249" i="2"/>
  <c r="L249" i="2" s="1"/>
  <c r="G249" i="2"/>
  <c r="A249" i="2"/>
  <c r="J248" i="2"/>
  <c r="K248" i="2" s="1"/>
  <c r="G248" i="2"/>
  <c r="A248" i="2"/>
  <c r="J247" i="2"/>
  <c r="K247" i="2" s="1"/>
  <c r="G247" i="2"/>
  <c r="A247" i="2"/>
  <c r="J246" i="2"/>
  <c r="L246" i="2" s="1"/>
  <c r="G246" i="2"/>
  <c r="A246" i="2"/>
  <c r="J245" i="2"/>
  <c r="K245" i="2" s="1"/>
  <c r="G245" i="2"/>
  <c r="A245" i="2"/>
  <c r="J244" i="2"/>
  <c r="K244" i="2" s="1"/>
  <c r="G244" i="2"/>
  <c r="A244" i="2"/>
  <c r="J243" i="2"/>
  <c r="L243" i="2" s="1"/>
  <c r="G243" i="2"/>
  <c r="A243" i="2"/>
  <c r="J242" i="2"/>
  <c r="K242" i="2" s="1"/>
  <c r="G242" i="2"/>
  <c r="A242" i="2"/>
  <c r="J241" i="2"/>
  <c r="K241" i="2" s="1"/>
  <c r="G241" i="2"/>
  <c r="J240" i="2"/>
  <c r="L240" i="2" s="1"/>
  <c r="G240" i="2"/>
  <c r="J239" i="2"/>
  <c r="K239" i="2" s="1"/>
  <c r="G239" i="2"/>
  <c r="J238" i="2"/>
  <c r="L238" i="2" s="1"/>
  <c r="G238" i="2"/>
  <c r="B238" i="2"/>
  <c r="A238" i="2"/>
  <c r="J237" i="2"/>
  <c r="L237" i="2" s="1"/>
  <c r="G237" i="2"/>
  <c r="B237" i="2"/>
  <c r="A237" i="2"/>
  <c r="J236" i="2"/>
  <c r="L236" i="2" s="1"/>
  <c r="G236" i="2"/>
  <c r="C236" i="2"/>
  <c r="B236" i="2"/>
  <c r="A236" i="2"/>
  <c r="J235" i="2"/>
  <c r="K235" i="2" s="1"/>
  <c r="G235" i="2"/>
  <c r="C235" i="2"/>
  <c r="B235" i="2"/>
  <c r="A235" i="2"/>
  <c r="J234" i="2"/>
  <c r="K234" i="2" s="1"/>
  <c r="G234" i="2"/>
  <c r="C234" i="2"/>
  <c r="B234" i="2"/>
  <c r="A234" i="2"/>
  <c r="J233" i="2"/>
  <c r="G233" i="2"/>
  <c r="C233" i="2"/>
  <c r="B233" i="2"/>
  <c r="A233" i="2"/>
  <c r="J232" i="2"/>
  <c r="G232" i="2"/>
  <c r="J231" i="2"/>
  <c r="K231" i="2" s="1"/>
  <c r="G231" i="2"/>
  <c r="J230" i="2"/>
  <c r="G230" i="2"/>
  <c r="J229" i="2"/>
  <c r="K229" i="2" s="1"/>
  <c r="G229" i="2"/>
  <c r="J228" i="2"/>
  <c r="G228" i="2"/>
  <c r="J227" i="2"/>
  <c r="K227" i="2" s="1"/>
  <c r="G227" i="2"/>
  <c r="J226" i="2"/>
  <c r="K226" i="2" s="1"/>
  <c r="G226" i="2"/>
  <c r="C226" i="2"/>
  <c r="B226" i="2"/>
  <c r="A226" i="2"/>
  <c r="J225" i="2"/>
  <c r="G225" i="2"/>
  <c r="C225" i="2"/>
  <c r="B225" i="2"/>
  <c r="A225" i="2"/>
  <c r="J224" i="2"/>
  <c r="L224" i="2" s="1"/>
  <c r="G224" i="2"/>
  <c r="C224" i="2"/>
  <c r="B224" i="2"/>
  <c r="A224" i="2"/>
  <c r="J223" i="2"/>
  <c r="L223" i="2" s="1"/>
  <c r="G223" i="2"/>
  <c r="C223" i="2"/>
  <c r="B223" i="2"/>
  <c r="A223" i="2"/>
  <c r="J222" i="2"/>
  <c r="L222" i="2" s="1"/>
  <c r="G222" i="2"/>
  <c r="C222" i="2"/>
  <c r="B222" i="2"/>
  <c r="A222" i="2"/>
  <c r="J221" i="2"/>
  <c r="K221" i="2" s="1"/>
  <c r="G221" i="2"/>
  <c r="C221" i="2"/>
  <c r="B221" i="2"/>
  <c r="A221" i="2"/>
  <c r="J220" i="2"/>
  <c r="L220" i="2" s="1"/>
  <c r="G220" i="2"/>
  <c r="C220" i="2"/>
  <c r="B220" i="2"/>
  <c r="A220" i="2"/>
  <c r="J219" i="2"/>
  <c r="L219" i="2" s="1"/>
  <c r="G219" i="2"/>
  <c r="J218" i="2"/>
  <c r="K218" i="2" s="1"/>
  <c r="G218" i="2"/>
  <c r="J217" i="2"/>
  <c r="L217" i="2" s="1"/>
  <c r="G217" i="2"/>
  <c r="J216" i="2"/>
  <c r="L216" i="2" s="1"/>
  <c r="G216" i="2"/>
  <c r="J215" i="2"/>
  <c r="L215" i="2" s="1"/>
  <c r="G215" i="2"/>
  <c r="J214" i="2"/>
  <c r="L214" i="2" s="1"/>
  <c r="G214" i="2"/>
  <c r="J213" i="2"/>
  <c r="L213" i="2" s="1"/>
  <c r="G213" i="2"/>
  <c r="J212" i="2"/>
  <c r="L212" i="2" s="1"/>
  <c r="G212" i="2"/>
  <c r="J211" i="2"/>
  <c r="L211" i="2" s="1"/>
  <c r="G211" i="2"/>
  <c r="J210" i="2"/>
  <c r="L210" i="2" s="1"/>
  <c r="G210" i="2"/>
  <c r="J209" i="2"/>
  <c r="L209" i="2" s="1"/>
  <c r="G209" i="2"/>
  <c r="J208" i="2"/>
  <c r="L208" i="2" s="1"/>
  <c r="G208" i="2"/>
  <c r="J207" i="2"/>
  <c r="K207" i="2" s="1"/>
  <c r="G207" i="2"/>
  <c r="C207" i="2"/>
  <c r="J206" i="2"/>
  <c r="L206" i="2" s="1"/>
  <c r="G206" i="2"/>
  <c r="C206" i="2"/>
  <c r="B206" i="2"/>
  <c r="J205" i="2"/>
  <c r="K205" i="2" s="1"/>
  <c r="G205" i="2"/>
  <c r="C205" i="2"/>
  <c r="J204" i="2"/>
  <c r="K204" i="2" s="1"/>
  <c r="G204" i="2"/>
  <c r="C204" i="2"/>
  <c r="B204" i="2"/>
  <c r="J203" i="2"/>
  <c r="K203" i="2" s="1"/>
  <c r="G203" i="2"/>
  <c r="C203" i="2"/>
  <c r="B203" i="2"/>
  <c r="J202" i="2"/>
  <c r="G202" i="2"/>
  <c r="C202" i="2"/>
  <c r="J201" i="2"/>
  <c r="L201" i="2" s="1"/>
  <c r="G201" i="2"/>
  <c r="C201" i="2"/>
  <c r="B201" i="2"/>
  <c r="J200" i="2"/>
  <c r="L200" i="2" s="1"/>
  <c r="G200" i="2"/>
  <c r="C200" i="2"/>
  <c r="B200" i="2"/>
  <c r="J199" i="2"/>
  <c r="K199" i="2" s="1"/>
  <c r="G199" i="2"/>
  <c r="J198" i="2"/>
  <c r="L198" i="2" s="1"/>
  <c r="G198" i="2"/>
  <c r="J197" i="2"/>
  <c r="L197" i="2" s="1"/>
  <c r="G197" i="2"/>
  <c r="J196" i="2"/>
  <c r="L196" i="2" s="1"/>
  <c r="G196" i="2"/>
  <c r="J195" i="2"/>
  <c r="L195" i="2" s="1"/>
  <c r="G195" i="2"/>
  <c r="C195" i="2"/>
  <c r="B195" i="2"/>
  <c r="A195" i="2"/>
  <c r="J194" i="2"/>
  <c r="G194" i="2"/>
  <c r="C194" i="2"/>
  <c r="B194" i="2"/>
  <c r="A194" i="2"/>
  <c r="J193" i="2"/>
  <c r="K193" i="2" s="1"/>
  <c r="G193" i="2"/>
  <c r="C193" i="2"/>
  <c r="B193" i="2"/>
  <c r="A193" i="2"/>
  <c r="J192" i="2"/>
  <c r="K192" i="2" s="1"/>
  <c r="G192" i="2"/>
  <c r="J191" i="2"/>
  <c r="K191" i="2" s="1"/>
  <c r="G191" i="2"/>
  <c r="J190" i="2"/>
  <c r="G190" i="2"/>
  <c r="J189" i="2"/>
  <c r="K189" i="2" s="1"/>
  <c r="G189" i="2"/>
  <c r="J188" i="2"/>
  <c r="G188" i="2"/>
  <c r="J187" i="2"/>
  <c r="K187" i="2" s="1"/>
  <c r="G187" i="2"/>
  <c r="J186" i="2"/>
  <c r="G186" i="2"/>
  <c r="J185" i="2"/>
  <c r="K185" i="2" s="1"/>
  <c r="G185" i="2"/>
  <c r="J184" i="2"/>
  <c r="L184" i="2" s="1"/>
  <c r="G184" i="2"/>
  <c r="A184" i="2"/>
  <c r="J183" i="2"/>
  <c r="L183" i="2" s="1"/>
  <c r="G183" i="2"/>
  <c r="A183" i="2"/>
  <c r="J182" i="2"/>
  <c r="L182" i="2" s="1"/>
  <c r="G182" i="2"/>
  <c r="A182" i="2"/>
  <c r="J181" i="2"/>
  <c r="G181" i="2"/>
  <c r="A181" i="2"/>
  <c r="J180" i="2"/>
  <c r="L180" i="2" s="1"/>
  <c r="G180" i="2"/>
  <c r="A180" i="2"/>
  <c r="J179" i="2"/>
  <c r="K179" i="2" s="1"/>
  <c r="G179" i="2"/>
  <c r="A179" i="2"/>
  <c r="J178" i="2"/>
  <c r="G178" i="2"/>
  <c r="J177" i="2"/>
  <c r="K177" i="2" s="1"/>
  <c r="G177" i="2"/>
  <c r="J176" i="2"/>
  <c r="G176" i="2"/>
  <c r="J175" i="2"/>
  <c r="K175" i="2" s="1"/>
  <c r="G175" i="2"/>
  <c r="J174" i="2"/>
  <c r="G174" i="2"/>
  <c r="J173" i="2"/>
  <c r="K173" i="2" s="1"/>
  <c r="G173" i="2"/>
  <c r="J172" i="2"/>
  <c r="L172" i="2" s="1"/>
  <c r="G172" i="2"/>
  <c r="J171" i="2"/>
  <c r="L171" i="2" s="1"/>
  <c r="G171" i="2"/>
  <c r="J170" i="2"/>
  <c r="L170" i="2" s="1"/>
  <c r="G170" i="2"/>
  <c r="J169" i="2"/>
  <c r="L169" i="2" s="1"/>
  <c r="G169" i="2"/>
  <c r="J168" i="2"/>
  <c r="K168" i="2" s="1"/>
  <c r="G168" i="2"/>
  <c r="J167" i="2"/>
  <c r="L167" i="2" s="1"/>
  <c r="G167" i="2"/>
  <c r="J166" i="2"/>
  <c r="K166" i="2" s="1"/>
  <c r="G166" i="2"/>
  <c r="J165" i="2"/>
  <c r="L165" i="2" s="1"/>
  <c r="G165" i="2"/>
  <c r="J164" i="2"/>
  <c r="L164" i="2" s="1"/>
  <c r="G164" i="2"/>
  <c r="J163" i="2"/>
  <c r="L163" i="2" s="1"/>
  <c r="G163" i="2"/>
  <c r="J162" i="2"/>
  <c r="K162" i="2" s="1"/>
  <c r="G162" i="2"/>
  <c r="J161" i="2"/>
  <c r="L161" i="2" s="1"/>
  <c r="G161" i="2"/>
  <c r="A161" i="2"/>
  <c r="J160" i="2"/>
  <c r="K160" i="2" s="1"/>
  <c r="G160" i="2"/>
  <c r="A160" i="2"/>
  <c r="J159" i="2"/>
  <c r="L159" i="2" s="1"/>
  <c r="G159" i="2"/>
  <c r="C159" i="2"/>
  <c r="B159" i="2"/>
  <c r="A159" i="2"/>
  <c r="J158" i="2"/>
  <c r="G158" i="2"/>
  <c r="B158" i="2"/>
  <c r="A158" i="2"/>
  <c r="J157" i="2"/>
  <c r="L157" i="2" s="1"/>
  <c r="G157" i="2"/>
  <c r="J156" i="2"/>
  <c r="K156" i="2" s="1"/>
  <c r="G156" i="2"/>
  <c r="J155" i="2"/>
  <c r="L155" i="2" s="1"/>
  <c r="G155" i="2"/>
  <c r="J154" i="2"/>
  <c r="K154" i="2" s="1"/>
  <c r="G154" i="2"/>
  <c r="J153" i="2"/>
  <c r="L153" i="2" s="1"/>
  <c r="G153" i="2"/>
  <c r="J152" i="2"/>
  <c r="K152" i="2" s="1"/>
  <c r="G152" i="2"/>
  <c r="J151" i="2"/>
  <c r="L151" i="2" s="1"/>
  <c r="G151" i="2"/>
  <c r="J150" i="2"/>
  <c r="K150" i="2" s="1"/>
  <c r="G150" i="2"/>
  <c r="J149" i="2"/>
  <c r="L149" i="2" s="1"/>
  <c r="G149" i="2"/>
  <c r="J148" i="2"/>
  <c r="K148" i="2" s="1"/>
  <c r="G148" i="2"/>
  <c r="J147" i="2"/>
  <c r="L147" i="2" s="1"/>
  <c r="G147" i="2"/>
  <c r="J146" i="2"/>
  <c r="K146" i="2" s="1"/>
  <c r="G146" i="2"/>
  <c r="J145" i="2"/>
  <c r="L145" i="2" s="1"/>
  <c r="G145" i="2"/>
  <c r="J144" i="2"/>
  <c r="K144" i="2" s="1"/>
  <c r="G144" i="2"/>
  <c r="J143" i="2"/>
  <c r="L143" i="2" s="1"/>
  <c r="G143" i="2"/>
  <c r="J142" i="2"/>
  <c r="L142" i="2" s="1"/>
  <c r="G142" i="2"/>
  <c r="C142" i="2"/>
  <c r="B142" i="2"/>
  <c r="A142" i="2"/>
  <c r="J141" i="2"/>
  <c r="K141" i="2" s="1"/>
  <c r="G141" i="2"/>
  <c r="C141" i="2"/>
  <c r="B141" i="2"/>
  <c r="A141" i="2"/>
  <c r="J140" i="2"/>
  <c r="K140" i="2" s="1"/>
  <c r="G140" i="2"/>
  <c r="C140" i="2"/>
  <c r="B140" i="2"/>
  <c r="A140" i="2"/>
  <c r="J139" i="2"/>
  <c r="G139" i="2"/>
  <c r="C139" i="2"/>
  <c r="B139" i="2"/>
  <c r="A139" i="2"/>
  <c r="J138" i="2"/>
  <c r="K138" i="2" s="1"/>
  <c r="G138" i="2"/>
  <c r="C138" i="2"/>
  <c r="B138" i="2"/>
  <c r="A138" i="2"/>
  <c r="J137" i="2"/>
  <c r="L137" i="2" s="1"/>
  <c r="G137" i="2"/>
  <c r="C137" i="2"/>
  <c r="B137" i="2"/>
  <c r="A137" i="2"/>
  <c r="J136" i="2"/>
  <c r="L136" i="2" s="1"/>
  <c r="G136" i="2"/>
  <c r="A136" i="2"/>
  <c r="J135" i="2"/>
  <c r="K135" i="2" s="1"/>
  <c r="G135" i="2"/>
  <c r="A135" i="2"/>
  <c r="J134" i="2"/>
  <c r="L134" i="2" s="1"/>
  <c r="G134" i="2"/>
  <c r="A134" i="2"/>
  <c r="J133" i="2"/>
  <c r="K133" i="2" s="1"/>
  <c r="G133" i="2"/>
  <c r="C133" i="2"/>
  <c r="B133" i="2"/>
  <c r="A133" i="2"/>
  <c r="J132" i="2"/>
  <c r="L132" i="2" s="1"/>
  <c r="G132" i="2"/>
  <c r="A132" i="2"/>
  <c r="J131" i="2"/>
  <c r="G131" i="2"/>
  <c r="C131" i="2"/>
  <c r="B131" i="2"/>
  <c r="A131" i="2"/>
  <c r="J130" i="2"/>
  <c r="K130" i="2" s="1"/>
  <c r="G130" i="2"/>
  <c r="C130" i="2"/>
  <c r="B130" i="2"/>
  <c r="A130" i="2"/>
  <c r="J129" i="2"/>
  <c r="L129" i="2" s="1"/>
  <c r="G129" i="2"/>
  <c r="A129" i="2"/>
  <c r="J128" i="2"/>
  <c r="L128" i="2" s="1"/>
  <c r="G128" i="2"/>
  <c r="A128" i="2"/>
  <c r="J127" i="2"/>
  <c r="G127" i="2"/>
  <c r="A127" i="2"/>
  <c r="J126" i="2"/>
  <c r="L126" i="2" s="1"/>
  <c r="G126" i="2"/>
  <c r="A126" i="2"/>
  <c r="J125" i="2"/>
  <c r="K125" i="2" s="1"/>
  <c r="G125" i="2"/>
  <c r="C125" i="2"/>
  <c r="B125" i="2"/>
  <c r="A125" i="2"/>
  <c r="J124" i="2"/>
  <c r="L124" i="2" s="1"/>
  <c r="G124" i="2"/>
  <c r="A124" i="2"/>
  <c r="J123" i="2"/>
  <c r="L123" i="2" s="1"/>
  <c r="G123" i="2"/>
  <c r="C123" i="2"/>
  <c r="B123" i="2"/>
  <c r="A123" i="2"/>
  <c r="J122" i="2"/>
  <c r="L122" i="2" s="1"/>
  <c r="G122" i="2"/>
  <c r="C122" i="2"/>
  <c r="B122" i="2"/>
  <c r="A122" i="2"/>
  <c r="J121" i="2"/>
  <c r="L121" i="2" s="1"/>
  <c r="G121" i="2"/>
  <c r="C121" i="2"/>
  <c r="B121" i="2"/>
  <c r="A121" i="2"/>
  <c r="J120" i="2"/>
  <c r="L120" i="2" s="1"/>
  <c r="G120" i="2"/>
  <c r="C120" i="2"/>
  <c r="B120" i="2"/>
  <c r="A120" i="2"/>
  <c r="J119" i="2"/>
  <c r="L119" i="2" s="1"/>
  <c r="G119" i="2"/>
  <c r="J118" i="2"/>
  <c r="L118" i="2" s="1"/>
  <c r="G118" i="2"/>
  <c r="J117" i="2"/>
  <c r="L117" i="2" s="1"/>
  <c r="G117" i="2"/>
  <c r="J116" i="2"/>
  <c r="K116" i="2" s="1"/>
  <c r="G116" i="2"/>
  <c r="J115" i="2"/>
  <c r="L115" i="2" s="1"/>
  <c r="G115" i="2"/>
  <c r="J114" i="2"/>
  <c r="L114" i="2" s="1"/>
  <c r="G114" i="2"/>
  <c r="J113" i="2"/>
  <c r="L113" i="2" s="1"/>
  <c r="G113" i="2"/>
  <c r="J112" i="2"/>
  <c r="L112" i="2" s="1"/>
  <c r="G112" i="2"/>
  <c r="J111" i="2"/>
  <c r="L111" i="2" s="1"/>
  <c r="G111" i="2"/>
  <c r="C111" i="2"/>
  <c r="B111" i="2"/>
  <c r="A111" i="2"/>
  <c r="J110" i="2"/>
  <c r="L110" i="2" s="1"/>
  <c r="G110" i="2"/>
  <c r="C110" i="2"/>
  <c r="B110" i="2"/>
  <c r="A110" i="2"/>
  <c r="J109" i="2"/>
  <c r="K109" i="2" s="1"/>
  <c r="G109" i="2"/>
  <c r="C109" i="2"/>
  <c r="B109" i="2"/>
  <c r="A109" i="2"/>
  <c r="J108" i="2"/>
  <c r="K108" i="2" s="1"/>
  <c r="G108" i="2"/>
  <c r="C108" i="2"/>
  <c r="B108" i="2"/>
  <c r="A108" i="2"/>
  <c r="J107" i="2"/>
  <c r="K107" i="2" s="1"/>
  <c r="G107" i="2"/>
  <c r="C107" i="2"/>
  <c r="B107" i="2"/>
  <c r="A107" i="2"/>
  <c r="J106" i="2"/>
  <c r="L106" i="2" s="1"/>
  <c r="G106" i="2"/>
  <c r="B106" i="2"/>
  <c r="A106" i="2"/>
  <c r="J105" i="2"/>
  <c r="L105" i="2" s="1"/>
  <c r="G105" i="2"/>
  <c r="C105" i="2"/>
  <c r="B105" i="2"/>
  <c r="A105" i="2"/>
  <c r="J104" i="2"/>
  <c r="L104" i="2" s="1"/>
  <c r="G104" i="2"/>
  <c r="J103" i="2"/>
  <c r="K103" i="2" s="1"/>
  <c r="G103" i="2"/>
  <c r="J102" i="2"/>
  <c r="L102" i="2" s="1"/>
  <c r="G102" i="2"/>
  <c r="J101" i="2"/>
  <c r="K101" i="2" s="1"/>
  <c r="G101" i="2"/>
  <c r="A101" i="2"/>
  <c r="J100" i="2"/>
  <c r="K100" i="2" s="1"/>
  <c r="G100" i="2"/>
  <c r="A100" i="2"/>
  <c r="J99" i="2"/>
  <c r="K99" i="2" s="1"/>
  <c r="G99" i="2"/>
  <c r="A99" i="2"/>
  <c r="J98" i="2"/>
  <c r="L98" i="2" s="1"/>
  <c r="G98" i="2"/>
  <c r="A98" i="2"/>
  <c r="J97" i="2"/>
  <c r="L97" i="2" s="1"/>
  <c r="G97" i="2"/>
  <c r="A97" i="2"/>
  <c r="J96" i="2"/>
  <c r="L96" i="2" s="1"/>
  <c r="G96" i="2"/>
  <c r="A96" i="2"/>
  <c r="J95" i="2"/>
  <c r="G95" i="2"/>
  <c r="A95" i="2"/>
  <c r="J94" i="2"/>
  <c r="L94" i="2" s="1"/>
  <c r="G94" i="2"/>
  <c r="A94" i="2"/>
  <c r="J93" i="2"/>
  <c r="K93" i="2" s="1"/>
  <c r="G93" i="2"/>
  <c r="A93" i="2"/>
  <c r="J92" i="2"/>
  <c r="L92" i="2" s="1"/>
  <c r="G92" i="2"/>
  <c r="A92" i="2"/>
  <c r="J91" i="2"/>
  <c r="K91" i="2" s="1"/>
  <c r="G91" i="2"/>
  <c r="A91" i="2"/>
  <c r="J90" i="2"/>
  <c r="L90" i="2" s="1"/>
  <c r="G90" i="2"/>
  <c r="A90" i="2"/>
  <c r="J89" i="2"/>
  <c r="L89" i="2" s="1"/>
  <c r="G89" i="2"/>
  <c r="A89" i="2"/>
  <c r="J88" i="2"/>
  <c r="L88" i="2" s="1"/>
  <c r="G88" i="2"/>
  <c r="A88" i="2"/>
  <c r="J87" i="2"/>
  <c r="G87" i="2"/>
  <c r="A87" i="2"/>
  <c r="J86" i="2"/>
  <c r="L86" i="2" s="1"/>
  <c r="G86" i="2"/>
  <c r="A86" i="2"/>
  <c r="J85" i="2"/>
  <c r="L85" i="2" s="1"/>
  <c r="G85" i="2"/>
  <c r="A85" i="2"/>
  <c r="J84" i="2"/>
  <c r="G84" i="2"/>
  <c r="C84" i="2"/>
  <c r="B84" i="2"/>
  <c r="A84" i="2"/>
  <c r="J83" i="2"/>
  <c r="K83" i="2" s="1"/>
  <c r="G83" i="2"/>
  <c r="A83" i="2"/>
  <c r="J82" i="2"/>
  <c r="K82" i="2" s="1"/>
  <c r="G82" i="2"/>
  <c r="A82" i="2"/>
  <c r="J81" i="2"/>
  <c r="L81" i="2" s="1"/>
  <c r="G81" i="2"/>
  <c r="A81" i="2"/>
  <c r="J80" i="2"/>
  <c r="L80" i="2" s="1"/>
  <c r="G80" i="2"/>
  <c r="A80" i="2"/>
  <c r="J79" i="2"/>
  <c r="L79" i="2" s="1"/>
  <c r="G79" i="2"/>
  <c r="C79" i="2"/>
  <c r="B79" i="2"/>
  <c r="A79" i="2"/>
  <c r="J78" i="2"/>
  <c r="K78" i="2" s="1"/>
  <c r="G78" i="2"/>
  <c r="C78" i="2"/>
  <c r="B78" i="2"/>
  <c r="A78" i="2"/>
  <c r="J77" i="2"/>
  <c r="L77" i="2" s="1"/>
  <c r="G77" i="2"/>
  <c r="A77" i="2"/>
  <c r="J76" i="2"/>
  <c r="L76" i="2" s="1"/>
  <c r="G76" i="2"/>
  <c r="C76" i="2"/>
  <c r="B76" i="2"/>
  <c r="A76" i="2"/>
  <c r="J75" i="2"/>
  <c r="L75" i="2" s="1"/>
  <c r="G75" i="2"/>
  <c r="C75" i="2"/>
  <c r="B75" i="2"/>
  <c r="A75" i="2"/>
  <c r="J74" i="2"/>
  <c r="L74" i="2" s="1"/>
  <c r="G74" i="2"/>
  <c r="A74" i="2"/>
  <c r="J73" i="2"/>
  <c r="K73" i="2" s="1"/>
  <c r="G73" i="2"/>
  <c r="A73" i="2"/>
  <c r="J72" i="2"/>
  <c r="L72" i="2" s="1"/>
  <c r="G72" i="2"/>
  <c r="A72" i="2"/>
  <c r="J71" i="2"/>
  <c r="K71" i="2" s="1"/>
  <c r="G71" i="2"/>
  <c r="C71" i="2"/>
  <c r="B71" i="2"/>
  <c r="A71" i="2"/>
  <c r="J70" i="2"/>
  <c r="K70" i="2" s="1"/>
  <c r="G70" i="2"/>
  <c r="A70" i="2"/>
  <c r="J69" i="2"/>
  <c r="G69" i="2"/>
  <c r="A69" i="2"/>
  <c r="J68" i="2"/>
  <c r="L68" i="2" s="1"/>
  <c r="G68" i="2"/>
  <c r="A68" i="2"/>
  <c r="J67" i="2"/>
  <c r="K67" i="2" s="1"/>
  <c r="G67" i="2"/>
  <c r="C67" i="2"/>
  <c r="B67" i="2"/>
  <c r="A67" i="2"/>
  <c r="J66" i="2"/>
  <c r="L66" i="2" s="1"/>
  <c r="G66" i="2"/>
  <c r="C66" i="2"/>
  <c r="B66" i="2"/>
  <c r="A66" i="2"/>
  <c r="J65" i="2"/>
  <c r="G65" i="2"/>
  <c r="C65" i="2"/>
  <c r="B65" i="2"/>
  <c r="A65" i="2"/>
  <c r="J64" i="2"/>
  <c r="L64" i="2" s="1"/>
  <c r="G64" i="2"/>
  <c r="A64" i="2"/>
  <c r="J63" i="2"/>
  <c r="K63" i="2" s="1"/>
  <c r="G63" i="2"/>
  <c r="A63" i="2"/>
  <c r="J62" i="2"/>
  <c r="L62" i="2" s="1"/>
  <c r="G62" i="2"/>
  <c r="C62" i="2"/>
  <c r="A62" i="2"/>
  <c r="J61" i="2"/>
  <c r="K61" i="2" s="1"/>
  <c r="G61" i="2"/>
  <c r="C61" i="2"/>
  <c r="B61" i="2"/>
  <c r="A61" i="2"/>
  <c r="J60" i="2"/>
  <c r="L60" i="2" s="1"/>
  <c r="G60" i="2"/>
  <c r="C60" i="2"/>
  <c r="B60" i="2"/>
  <c r="A60" i="2"/>
  <c r="J59" i="2"/>
  <c r="L59" i="2" s="1"/>
  <c r="G59" i="2"/>
  <c r="C59" i="2"/>
  <c r="B59" i="2"/>
  <c r="A59" i="2"/>
  <c r="J58" i="2"/>
  <c r="L58" i="2" s="1"/>
  <c r="G58" i="2"/>
  <c r="A58" i="2"/>
  <c r="J57" i="2"/>
  <c r="L57" i="2" s="1"/>
  <c r="G57" i="2"/>
  <c r="C57" i="2"/>
  <c r="B57" i="2"/>
  <c r="A57" i="2"/>
  <c r="J56" i="2"/>
  <c r="K56" i="2" s="1"/>
  <c r="G56" i="2"/>
  <c r="A56" i="2"/>
  <c r="J55" i="2"/>
  <c r="L55" i="2" s="1"/>
  <c r="G55" i="2"/>
  <c r="A55" i="2"/>
  <c r="J54" i="2"/>
  <c r="K54" i="2" s="1"/>
  <c r="G54" i="2"/>
  <c r="C54" i="2"/>
  <c r="B54" i="2"/>
  <c r="A54" i="2"/>
  <c r="J53" i="2"/>
  <c r="K53" i="2" s="1"/>
  <c r="G53" i="2"/>
  <c r="A53" i="2"/>
  <c r="J52" i="2"/>
  <c r="L52" i="2" s="1"/>
  <c r="G52" i="2"/>
  <c r="A52" i="2"/>
  <c r="J51" i="2"/>
  <c r="K51" i="2" s="1"/>
  <c r="G51" i="2"/>
  <c r="B51" i="2"/>
  <c r="A51" i="2"/>
  <c r="J50" i="2"/>
  <c r="L50" i="2" s="1"/>
  <c r="G50" i="2"/>
  <c r="C50" i="2"/>
  <c r="B50" i="2"/>
  <c r="A50" i="2"/>
  <c r="J49" i="2"/>
  <c r="L49" i="2" s="1"/>
  <c r="G49" i="2"/>
  <c r="A49" i="2"/>
  <c r="J48" i="2"/>
  <c r="L48" i="2" s="1"/>
  <c r="G48" i="2"/>
  <c r="C48" i="2"/>
  <c r="B48" i="2"/>
  <c r="A48" i="2"/>
  <c r="J47" i="2"/>
  <c r="L47" i="2" s="1"/>
  <c r="G47" i="2"/>
  <c r="C47" i="2"/>
  <c r="B47" i="2"/>
  <c r="A47" i="2"/>
  <c r="J46" i="2"/>
  <c r="L46" i="2" s="1"/>
  <c r="G46" i="2"/>
  <c r="A46" i="2"/>
  <c r="J45" i="2"/>
  <c r="L45" i="2" s="1"/>
  <c r="G45" i="2"/>
  <c r="A45" i="2"/>
  <c r="J44" i="2"/>
  <c r="L44" i="2" s="1"/>
  <c r="G44" i="2"/>
  <c r="A44" i="2"/>
  <c r="J43" i="2"/>
  <c r="K43" i="2" s="1"/>
  <c r="G43" i="2"/>
  <c r="A43" i="2"/>
  <c r="J42" i="2"/>
  <c r="L42" i="2" s="1"/>
  <c r="G42" i="2"/>
  <c r="A42" i="2"/>
  <c r="J41" i="2"/>
  <c r="L41" i="2" s="1"/>
  <c r="G41" i="2"/>
  <c r="A41" i="2"/>
  <c r="J40" i="2"/>
  <c r="L40" i="2" s="1"/>
  <c r="G40" i="2"/>
  <c r="A40" i="2"/>
  <c r="J39" i="2"/>
  <c r="G39" i="2"/>
  <c r="A39" i="2"/>
  <c r="J38" i="2"/>
  <c r="L38" i="2" s="1"/>
  <c r="G38" i="2"/>
  <c r="A38" i="2"/>
  <c r="J37" i="2"/>
  <c r="K37" i="2" s="1"/>
  <c r="G37" i="2"/>
  <c r="A37" i="2"/>
  <c r="J36" i="2"/>
  <c r="L36" i="2" s="1"/>
  <c r="G36" i="2"/>
  <c r="A36" i="2"/>
  <c r="J35" i="2"/>
  <c r="K35" i="2" s="1"/>
  <c r="G35" i="2"/>
  <c r="A35" i="2"/>
  <c r="J34" i="2"/>
  <c r="L34" i="2" s="1"/>
  <c r="G34" i="2"/>
  <c r="A34" i="2"/>
  <c r="J33" i="2"/>
  <c r="L33" i="2" s="1"/>
  <c r="G33" i="2"/>
  <c r="A33" i="2"/>
  <c r="J32" i="2"/>
  <c r="L32" i="2" s="1"/>
  <c r="G32" i="2"/>
  <c r="A32" i="2"/>
  <c r="J31" i="2"/>
  <c r="L31" i="2" s="1"/>
  <c r="G31" i="2"/>
  <c r="C31" i="2"/>
  <c r="B31" i="2"/>
  <c r="A31" i="2"/>
  <c r="J30" i="2"/>
  <c r="G30" i="2"/>
  <c r="A30" i="2"/>
  <c r="J29" i="2"/>
  <c r="L29" i="2" s="1"/>
  <c r="G29" i="2"/>
  <c r="A29" i="2"/>
  <c r="J28" i="2"/>
  <c r="K28" i="2" s="1"/>
  <c r="G28" i="2"/>
  <c r="A28" i="2"/>
  <c r="J27" i="2"/>
  <c r="L27" i="2" s="1"/>
  <c r="G27" i="2"/>
  <c r="A27" i="2"/>
  <c r="J26" i="2"/>
  <c r="K26" i="2" s="1"/>
  <c r="G26" i="2"/>
  <c r="A26" i="2"/>
  <c r="J25" i="2"/>
  <c r="K25" i="2" s="1"/>
  <c r="G25" i="2"/>
  <c r="A25" i="2"/>
  <c r="J24" i="2"/>
  <c r="K24" i="2" s="1"/>
  <c r="G24" i="2"/>
  <c r="A24" i="2"/>
  <c r="J23" i="2"/>
  <c r="K23" i="2" s="1"/>
  <c r="G23" i="2"/>
  <c r="A23" i="2"/>
  <c r="J22" i="2"/>
  <c r="K22" i="2" s="1"/>
  <c r="G22" i="2"/>
  <c r="C22" i="2"/>
  <c r="B22" i="2"/>
  <c r="A22" i="2"/>
  <c r="J21" i="2"/>
  <c r="G21" i="2"/>
  <c r="A21" i="2"/>
  <c r="J20" i="2"/>
  <c r="L20" i="2" s="1"/>
  <c r="G20" i="2"/>
  <c r="A20" i="2"/>
  <c r="J19" i="2"/>
  <c r="K19" i="2" s="1"/>
  <c r="G19" i="2"/>
  <c r="C19" i="2"/>
  <c r="B19" i="2"/>
  <c r="A19" i="2"/>
  <c r="J18" i="2"/>
  <c r="L18" i="2" s="1"/>
  <c r="G18" i="2"/>
  <c r="A18" i="2"/>
  <c r="J17" i="2"/>
  <c r="L17" i="2" s="1"/>
  <c r="G17" i="2"/>
  <c r="A17" i="2"/>
  <c r="J16" i="2"/>
  <c r="L16" i="2" s="1"/>
  <c r="G16" i="2"/>
  <c r="A16" i="2"/>
  <c r="J15" i="2"/>
  <c r="G15" i="2"/>
  <c r="A15" i="2"/>
  <c r="J14" i="2"/>
  <c r="L14" i="2" s="1"/>
  <c r="G14" i="2"/>
  <c r="A14" i="2"/>
  <c r="J13" i="2"/>
  <c r="K13" i="2" s="1"/>
  <c r="G13" i="2"/>
  <c r="A13" i="2"/>
  <c r="J12" i="2"/>
  <c r="K12" i="2" s="1"/>
  <c r="G12" i="2"/>
  <c r="A12" i="2"/>
  <c r="J11" i="2"/>
  <c r="K11" i="2" s="1"/>
  <c r="G11" i="2"/>
  <c r="A11" i="2"/>
  <c r="J10" i="2"/>
  <c r="K10" i="2" s="1"/>
  <c r="G10" i="2"/>
  <c r="A10" i="2"/>
  <c r="J9" i="2"/>
  <c r="L9" i="2" s="1"/>
  <c r="G9" i="2"/>
  <c r="A9" i="2"/>
  <c r="J8" i="2"/>
  <c r="K8" i="2" s="1"/>
  <c r="G8" i="2"/>
  <c r="A8" i="2"/>
  <c r="J7" i="2"/>
  <c r="G7" i="2"/>
  <c r="C7" i="2"/>
  <c r="B7" i="2"/>
  <c r="A7" i="2"/>
  <c r="J6" i="2"/>
  <c r="L6" i="2" s="1"/>
  <c r="G6" i="2"/>
  <c r="C6" i="2"/>
  <c r="B6" i="2"/>
  <c r="A6" i="2"/>
  <c r="J5" i="2"/>
  <c r="L5" i="2" s="1"/>
  <c r="G5" i="2"/>
  <c r="C5" i="2"/>
  <c r="B5" i="2"/>
  <c r="A5" i="2"/>
  <c r="J4" i="2"/>
  <c r="L4" i="2" s="1"/>
  <c r="G4" i="2"/>
  <c r="C4" i="2"/>
  <c r="B4" i="2"/>
  <c r="A4" i="2"/>
  <c r="J3" i="2"/>
  <c r="K3" i="2" s="1"/>
  <c r="G3" i="2"/>
  <c r="A3" i="2"/>
  <c r="J2" i="2"/>
  <c r="L2" i="2" s="1"/>
  <c r="G2" i="2"/>
  <c r="A2" i="2"/>
  <c r="K76" i="1"/>
  <c r="L76" i="1" s="1"/>
  <c r="H76" i="1"/>
  <c r="K75" i="1"/>
  <c r="L75" i="1" s="1"/>
  <c r="H75" i="1"/>
  <c r="K74" i="1"/>
  <c r="L74" i="1" s="1"/>
  <c r="H74" i="1"/>
  <c r="K73" i="1"/>
  <c r="L73" i="1" s="1"/>
  <c r="H73" i="1"/>
  <c r="K72" i="1"/>
  <c r="L72" i="1" s="1"/>
  <c r="H72" i="1"/>
  <c r="K71" i="1"/>
  <c r="L71" i="1" s="1"/>
  <c r="H71" i="1"/>
  <c r="K70" i="1"/>
  <c r="L70" i="1" s="1"/>
  <c r="H70" i="1"/>
  <c r="K69" i="1"/>
  <c r="L69" i="1" s="1"/>
  <c r="H69" i="1"/>
  <c r="K68" i="1"/>
  <c r="L68" i="1" s="1"/>
  <c r="H68" i="1"/>
  <c r="K67" i="1"/>
  <c r="L67" i="1" s="1"/>
  <c r="H67" i="1"/>
  <c r="K66" i="1"/>
  <c r="L66" i="1" s="1"/>
  <c r="H66" i="1"/>
  <c r="K65" i="1"/>
  <c r="L65" i="1" s="1"/>
  <c r="H65" i="1"/>
  <c r="K64" i="1"/>
  <c r="L64" i="1" s="1"/>
  <c r="H64" i="1"/>
  <c r="K63" i="1"/>
  <c r="L63" i="1" s="1"/>
  <c r="H63" i="1"/>
  <c r="K62" i="1"/>
  <c r="L62" i="1" s="1"/>
  <c r="H62" i="1"/>
  <c r="K61" i="1"/>
  <c r="L61" i="1" s="1"/>
  <c r="H61" i="1"/>
  <c r="K60" i="1"/>
  <c r="L60" i="1" s="1"/>
  <c r="H60" i="1"/>
  <c r="K59" i="1"/>
  <c r="L59" i="1" s="1"/>
  <c r="H59" i="1"/>
  <c r="L58" i="1"/>
  <c r="K58" i="1"/>
  <c r="H58" i="1"/>
  <c r="K57" i="1"/>
  <c r="L57" i="1" s="1"/>
  <c r="H57" i="1"/>
  <c r="K56" i="1"/>
  <c r="L56" i="1" s="1"/>
  <c r="H56" i="1"/>
  <c r="K55" i="1"/>
  <c r="L55" i="1" s="1"/>
  <c r="H55" i="1"/>
  <c r="K54" i="1"/>
  <c r="L54" i="1" s="1"/>
  <c r="H54" i="1"/>
  <c r="K53" i="1"/>
  <c r="L53" i="1" s="1"/>
  <c r="H53" i="1"/>
  <c r="K52" i="1"/>
  <c r="L52" i="1" s="1"/>
  <c r="H52" i="1"/>
  <c r="K51" i="1"/>
  <c r="L51" i="1" s="1"/>
  <c r="H51" i="1"/>
  <c r="K50" i="1"/>
  <c r="L50" i="1" s="1"/>
  <c r="H50" i="1"/>
  <c r="K49" i="1"/>
  <c r="L49" i="1" s="1"/>
  <c r="H49" i="1"/>
  <c r="K48" i="1"/>
  <c r="L48" i="1" s="1"/>
  <c r="H48" i="1"/>
  <c r="K47" i="1"/>
  <c r="L47" i="1" s="1"/>
  <c r="H47" i="1"/>
  <c r="K46" i="1"/>
  <c r="L46" i="1" s="1"/>
  <c r="H46" i="1"/>
  <c r="K45" i="1"/>
  <c r="L45" i="1" s="1"/>
  <c r="H45" i="1"/>
  <c r="K44" i="1"/>
  <c r="L44" i="1" s="1"/>
  <c r="H44" i="1"/>
  <c r="K43" i="1"/>
  <c r="L43" i="1" s="1"/>
  <c r="H43" i="1"/>
  <c r="K42" i="1"/>
  <c r="L42" i="1" s="1"/>
  <c r="H42" i="1"/>
  <c r="K41" i="1"/>
  <c r="L41" i="1" s="1"/>
  <c r="H41" i="1"/>
  <c r="K40" i="1"/>
  <c r="L40" i="1" s="1"/>
  <c r="H40" i="1"/>
  <c r="K39" i="1"/>
  <c r="L39" i="1" s="1"/>
  <c r="H39" i="1"/>
  <c r="K38" i="1"/>
  <c r="L38" i="1" s="1"/>
  <c r="H38" i="1"/>
  <c r="K37" i="1"/>
  <c r="L37" i="1" s="1"/>
  <c r="H37" i="1"/>
  <c r="K36" i="1"/>
  <c r="L36" i="1" s="1"/>
  <c r="H36" i="1"/>
  <c r="K35" i="1"/>
  <c r="L35" i="1" s="1"/>
  <c r="H35" i="1"/>
  <c r="K34" i="1"/>
  <c r="L34" i="1" s="1"/>
  <c r="H34" i="1"/>
  <c r="K33" i="1"/>
  <c r="L33" i="1" s="1"/>
  <c r="H33" i="1"/>
  <c r="K32" i="1"/>
  <c r="L32" i="1" s="1"/>
  <c r="H32" i="1"/>
  <c r="K31" i="1"/>
  <c r="L31" i="1" s="1"/>
  <c r="H31" i="1"/>
  <c r="K30" i="1"/>
  <c r="L30" i="1" s="1"/>
  <c r="H30" i="1"/>
  <c r="K29" i="1"/>
  <c r="L29" i="1" s="1"/>
  <c r="H29" i="1"/>
  <c r="K28" i="1"/>
  <c r="L28" i="1" s="1"/>
  <c r="H28" i="1"/>
  <c r="K27" i="1"/>
  <c r="L27" i="1" s="1"/>
  <c r="H27" i="1"/>
  <c r="K26" i="1"/>
  <c r="L26" i="1" s="1"/>
  <c r="H26" i="1"/>
  <c r="K25" i="1"/>
  <c r="L25" i="1" s="1"/>
  <c r="H25" i="1"/>
  <c r="K24" i="1"/>
  <c r="L24" i="1" s="1"/>
  <c r="H24" i="1"/>
  <c r="K23" i="1"/>
  <c r="L23" i="1" s="1"/>
  <c r="H23" i="1"/>
  <c r="K22" i="1"/>
  <c r="L22" i="1" s="1"/>
  <c r="H22" i="1"/>
  <c r="K21" i="1"/>
  <c r="L21" i="1" s="1"/>
  <c r="H21" i="1"/>
  <c r="K20" i="1"/>
  <c r="L20" i="1" s="1"/>
  <c r="H20" i="1"/>
  <c r="K19" i="1"/>
  <c r="L19" i="1" s="1"/>
  <c r="H19" i="1"/>
  <c r="K18" i="1"/>
  <c r="L18" i="1" s="1"/>
  <c r="H18" i="1"/>
  <c r="K17" i="1"/>
  <c r="L17" i="1" s="1"/>
  <c r="H17" i="1"/>
  <c r="K16" i="1"/>
  <c r="L16" i="1" s="1"/>
  <c r="H16" i="1"/>
  <c r="K15" i="1"/>
  <c r="L15" i="1" s="1"/>
  <c r="H15" i="1"/>
  <c r="K14" i="1"/>
  <c r="L14" i="1" s="1"/>
  <c r="H14" i="1"/>
  <c r="K13" i="1"/>
  <c r="L13" i="1" s="1"/>
  <c r="H13" i="1"/>
  <c r="K12" i="1"/>
  <c r="L12" i="1" s="1"/>
  <c r="H12" i="1"/>
  <c r="K11" i="1"/>
  <c r="L11" i="1" s="1"/>
  <c r="H11" i="1"/>
  <c r="K10" i="1"/>
  <c r="L10" i="1" s="1"/>
  <c r="H10" i="1"/>
  <c r="K9" i="1"/>
  <c r="L9" i="1" s="1"/>
  <c r="H9" i="1"/>
  <c r="K8" i="1"/>
  <c r="L8" i="1" s="1"/>
  <c r="H8" i="1"/>
  <c r="K7" i="1"/>
  <c r="L7" i="1" s="1"/>
  <c r="H7" i="1"/>
  <c r="K6" i="1"/>
  <c r="L6" i="1" s="1"/>
  <c r="H6" i="1"/>
  <c r="K5" i="1"/>
  <c r="L5" i="1" s="1"/>
  <c r="H5" i="1"/>
  <c r="K4" i="1"/>
  <c r="L4" i="1" s="1"/>
  <c r="H4" i="1"/>
  <c r="K3" i="1"/>
  <c r="L3" i="1" s="1"/>
  <c r="H3" i="1"/>
  <c r="K2" i="1"/>
  <c r="L2" i="1" s="1"/>
  <c r="H2" i="1"/>
  <c r="G14" i="11" l="1"/>
  <c r="J48" i="11"/>
  <c r="K48" i="11" s="1"/>
  <c r="G109" i="11"/>
  <c r="J120" i="11"/>
  <c r="K120" i="11" s="1"/>
  <c r="J278" i="11"/>
  <c r="K278" i="11" s="1"/>
  <c r="J68" i="11"/>
  <c r="K68" i="11" s="1"/>
  <c r="J69" i="11"/>
  <c r="K69" i="11" s="1"/>
  <c r="G27" i="11"/>
  <c r="G31" i="11"/>
  <c r="G38" i="11"/>
  <c r="G45" i="11"/>
  <c r="G105" i="11"/>
  <c r="G116" i="11"/>
  <c r="G136" i="11"/>
  <c r="G197" i="11"/>
  <c r="J248" i="11"/>
  <c r="K248" i="11" s="1"/>
  <c r="G255" i="11"/>
  <c r="G112" i="11"/>
  <c r="G121" i="11"/>
  <c r="J24" i="11"/>
  <c r="K24" i="11" s="1"/>
  <c r="G36" i="11"/>
  <c r="J52" i="11"/>
  <c r="K52" i="11" s="1"/>
  <c r="G122" i="11"/>
  <c r="G137" i="11"/>
  <c r="J241" i="11"/>
  <c r="K241" i="11" s="1"/>
  <c r="G11" i="11"/>
  <c r="J32" i="11"/>
  <c r="K32" i="11" s="1"/>
  <c r="G50" i="11"/>
  <c r="J57" i="11"/>
  <c r="K57" i="11" s="1"/>
  <c r="J110" i="11"/>
  <c r="K110" i="11" s="1"/>
  <c r="G114" i="11"/>
  <c r="G314" i="11"/>
  <c r="G331" i="11"/>
  <c r="G254" i="11"/>
  <c r="J21" i="11"/>
  <c r="K21" i="11" s="1"/>
  <c r="G54" i="11"/>
  <c r="J58" i="11"/>
  <c r="K58" i="11" s="1"/>
  <c r="J223" i="11"/>
  <c r="K223" i="11" s="1"/>
  <c r="J277" i="11"/>
  <c r="K277" i="11" s="1"/>
  <c r="L344" i="2"/>
  <c r="K114" i="2"/>
  <c r="L12" i="2"/>
  <c r="L71" i="2"/>
  <c r="L193" i="2"/>
  <c r="K18" i="2"/>
  <c r="L218" i="2"/>
  <c r="L185" i="2"/>
  <c r="K289" i="2"/>
  <c r="L365" i="2"/>
  <c r="K410" i="2"/>
  <c r="K429" i="2"/>
  <c r="L342" i="2"/>
  <c r="L324" i="2"/>
  <c r="K16" i="2"/>
  <c r="L140" i="2"/>
  <c r="L191" i="2"/>
  <c r="K200" i="2"/>
  <c r="L234" i="2"/>
  <c r="L250" i="2"/>
  <c r="L130" i="2"/>
  <c r="L338" i="2"/>
  <c r="L8" i="2"/>
  <c r="L23" i="2"/>
  <c r="L53" i="2"/>
  <c r="L70" i="2"/>
  <c r="K79" i="2"/>
  <c r="K81" i="2"/>
  <c r="L83" i="2"/>
  <c r="L116" i="2"/>
  <c r="L388" i="2"/>
  <c r="L413" i="2"/>
  <c r="K253" i="2"/>
  <c r="L43" i="2"/>
  <c r="K62" i="2"/>
  <c r="K134" i="2"/>
  <c r="L154" i="2"/>
  <c r="L261" i="2"/>
  <c r="L418" i="2"/>
  <c r="L10" i="2"/>
  <c r="L187" i="2"/>
  <c r="L221" i="2"/>
  <c r="L358" i="2"/>
  <c r="L108" i="2"/>
  <c r="L305" i="2"/>
  <c r="K142" i="2"/>
  <c r="K2" i="2"/>
  <c r="L24" i="2"/>
  <c r="L56" i="2"/>
  <c r="K284" i="2"/>
  <c r="K352" i="2"/>
  <c r="L369" i="2"/>
  <c r="K371" i="2"/>
  <c r="L133" i="2"/>
  <c r="K195" i="2"/>
  <c r="L205" i="2"/>
  <c r="K31" i="2"/>
  <c r="L54" i="2"/>
  <c r="L61" i="2"/>
  <c r="L78" i="2"/>
  <c r="L100" i="2"/>
  <c r="K170" i="2"/>
  <c r="L173" i="2"/>
  <c r="K236" i="2"/>
  <c r="L245" i="2"/>
  <c r="K257" i="2"/>
  <c r="K319" i="2"/>
  <c r="L334" i="2"/>
  <c r="K337" i="2"/>
  <c r="K350" i="2"/>
  <c r="L361" i="2"/>
  <c r="K368" i="2"/>
  <c r="K408" i="2"/>
  <c r="L138" i="2"/>
  <c r="L146" i="2"/>
  <c r="K164" i="2"/>
  <c r="L199" i="2"/>
  <c r="L241" i="2"/>
  <c r="L247" i="2"/>
  <c r="K256" i="2"/>
  <c r="L269" i="2"/>
  <c r="K294" i="2"/>
  <c r="K431" i="2"/>
  <c r="K223" i="2"/>
  <c r="L226" i="2"/>
  <c r="L229" i="2"/>
  <c r="K276" i="2"/>
  <c r="K278" i="2"/>
  <c r="K288" i="2"/>
  <c r="K375" i="2"/>
  <c r="K106" i="2"/>
  <c r="L168" i="2"/>
  <c r="K293" i="2"/>
  <c r="L396" i="2"/>
  <c r="K50" i="2"/>
  <c r="K52" i="2"/>
  <c r="L99" i="2"/>
  <c r="L239" i="2"/>
  <c r="K246" i="2"/>
  <c r="L296" i="2"/>
  <c r="L307" i="2"/>
  <c r="K311" i="2"/>
  <c r="L363" i="2"/>
  <c r="L404" i="2"/>
  <c r="K92" i="2"/>
  <c r="L109" i="2"/>
  <c r="L160" i="2"/>
  <c r="L175" i="2"/>
  <c r="L192" i="2"/>
  <c r="K264" i="2"/>
  <c r="K266" i="2"/>
  <c r="L329" i="2"/>
  <c r="L22" i="2"/>
  <c r="K72" i="2"/>
  <c r="L166" i="2"/>
  <c r="K362" i="2"/>
  <c r="L432" i="2"/>
  <c r="L11" i="2"/>
  <c r="L67" i="2"/>
  <c r="K88" i="2"/>
  <c r="K90" i="2"/>
  <c r="K96" i="2"/>
  <c r="K98" i="2"/>
  <c r="L107" i="2"/>
  <c r="K132" i="2"/>
  <c r="L135" i="2"/>
  <c r="L148" i="2"/>
  <c r="K159" i="2"/>
  <c r="K197" i="2"/>
  <c r="K206" i="2"/>
  <c r="L231" i="2"/>
  <c r="K243" i="2"/>
  <c r="L248" i="2"/>
  <c r="K260" i="2"/>
  <c r="K268" i="2"/>
  <c r="K302" i="2"/>
  <c r="K304" i="2"/>
  <c r="K313" i="2"/>
  <c r="L340" i="2"/>
  <c r="L390" i="2"/>
  <c r="K412" i="2"/>
  <c r="K423" i="2"/>
  <c r="L3" i="2"/>
  <c r="K6" i="2"/>
  <c r="L13" i="2"/>
  <c r="L26" i="2"/>
  <c r="L35" i="2"/>
  <c r="K57" i="2"/>
  <c r="L63" i="2"/>
  <c r="K66" i="2"/>
  <c r="L141" i="2"/>
  <c r="K161" i="2"/>
  <c r="K163" i="2"/>
  <c r="L203" i="2"/>
  <c r="K208" i="2"/>
  <c r="K210" i="2"/>
  <c r="K212" i="2"/>
  <c r="K214" i="2"/>
  <c r="K216" i="2"/>
  <c r="L270" i="2"/>
  <c r="K298" i="2"/>
  <c r="L325" i="2"/>
  <c r="L382" i="2"/>
  <c r="K401" i="2"/>
  <c r="K403" i="2"/>
  <c r="K416" i="2"/>
  <c r="K421" i="2"/>
  <c r="K439" i="2"/>
  <c r="L19" i="2"/>
  <c r="L28" i="2"/>
  <c r="L37" i="2"/>
  <c r="K45" i="2"/>
  <c r="L51" i="2"/>
  <c r="L73" i="2"/>
  <c r="L125" i="2"/>
  <c r="L152" i="2"/>
  <c r="K316" i="2"/>
  <c r="L366" i="2"/>
  <c r="L380" i="2"/>
  <c r="K393" i="2"/>
  <c r="K395" i="2"/>
  <c r="L434" i="2"/>
  <c r="L103" i="2"/>
  <c r="K105" i="2"/>
  <c r="K112" i="2"/>
  <c r="K124" i="2"/>
  <c r="L179" i="2"/>
  <c r="K285" i="2"/>
  <c r="K301" i="2"/>
  <c r="K330" i="2"/>
  <c r="K331" i="2"/>
  <c r="L333" i="2"/>
  <c r="L346" i="2"/>
  <c r="L349" i="2"/>
  <c r="L355" i="2"/>
  <c r="L374" i="2"/>
  <c r="K415" i="2"/>
  <c r="L25" i="2"/>
  <c r="K32" i="2"/>
  <c r="K34" i="2"/>
  <c r="K40" i="2"/>
  <c r="K42" i="2"/>
  <c r="K77" i="2"/>
  <c r="K85" i="2"/>
  <c r="K128" i="2"/>
  <c r="L156" i="2"/>
  <c r="L177" i="2"/>
  <c r="L189" i="2"/>
  <c r="L242" i="2"/>
  <c r="K249" i="2"/>
  <c r="L279" i="2"/>
  <c r="L312" i="2"/>
  <c r="L339" i="2"/>
  <c r="K345" i="2"/>
  <c r="K348" i="2"/>
  <c r="L372" i="2"/>
  <c r="K385" i="2"/>
  <c r="K387" i="2"/>
  <c r="L426" i="2"/>
  <c r="K437" i="2"/>
  <c r="K27" i="2"/>
  <c r="K36" i="2"/>
  <c r="K44" i="2"/>
  <c r="K49" i="2"/>
  <c r="K64" i="2"/>
  <c r="L91" i="2"/>
  <c r="K118" i="2"/>
  <c r="L150" i="2"/>
  <c r="K172" i="2"/>
  <c r="K182" i="2"/>
  <c r="K184" i="2"/>
  <c r="L207" i="2"/>
  <c r="K209" i="2"/>
  <c r="K211" i="2"/>
  <c r="K213" i="2"/>
  <c r="K215" i="2"/>
  <c r="K217" i="2"/>
  <c r="K219" i="2"/>
  <c r="K220" i="2"/>
  <c r="K224" i="2"/>
  <c r="L235" i="2"/>
  <c r="K238" i="2"/>
  <c r="L244" i="2"/>
  <c r="K379" i="2"/>
  <c r="K383" i="2"/>
  <c r="K400" i="2"/>
  <c r="L406" i="2"/>
  <c r="L411" i="2"/>
  <c r="L424" i="2"/>
  <c r="L82" i="2"/>
  <c r="L93" i="2"/>
  <c r="L101" i="2"/>
  <c r="L144" i="2"/>
  <c r="L162" i="2"/>
  <c r="L204" i="2"/>
  <c r="L227" i="2"/>
  <c r="L258" i="2"/>
  <c r="L290" i="2"/>
  <c r="L323" i="2"/>
  <c r="K377" i="2"/>
  <c r="L398" i="2"/>
  <c r="L252" i="2"/>
  <c r="K252" i="2"/>
  <c r="L280" i="2"/>
  <c r="K280" i="2"/>
  <c r="J337" i="11"/>
  <c r="K337" i="11" s="1"/>
  <c r="G337" i="11"/>
  <c r="L21" i="2"/>
  <c r="K21" i="2"/>
  <c r="L30" i="2"/>
  <c r="K30" i="2"/>
  <c r="L39" i="2"/>
  <c r="K39" i="2"/>
  <c r="L84" i="2"/>
  <c r="K84" i="2"/>
  <c r="L127" i="2"/>
  <c r="K127" i="2"/>
  <c r="L228" i="2"/>
  <c r="K228" i="2"/>
  <c r="L233" i="2"/>
  <c r="K233" i="2"/>
  <c r="L176" i="2"/>
  <c r="K176" i="2"/>
  <c r="L181" i="2"/>
  <c r="K181" i="2"/>
  <c r="L188" i="2"/>
  <c r="K188" i="2"/>
  <c r="L436" i="2"/>
  <c r="K436" i="2"/>
  <c r="L158" i="2"/>
  <c r="K158" i="2"/>
  <c r="L232" i="2"/>
  <c r="K232" i="2"/>
  <c r="L310" i="2"/>
  <c r="K310" i="2"/>
  <c r="L428" i="2"/>
  <c r="K428" i="2"/>
  <c r="L7" i="2"/>
  <c r="K7" i="2"/>
  <c r="L65" i="2"/>
  <c r="K65" i="2"/>
  <c r="L225" i="2"/>
  <c r="K225" i="2"/>
  <c r="L255" i="2"/>
  <c r="K255" i="2"/>
  <c r="L263" i="2"/>
  <c r="K263" i="2"/>
  <c r="L417" i="2"/>
  <c r="K417" i="2"/>
  <c r="L15" i="2"/>
  <c r="K15" i="2"/>
  <c r="L87" i="2"/>
  <c r="K87" i="2"/>
  <c r="L95" i="2"/>
  <c r="K95" i="2"/>
  <c r="L131" i="2"/>
  <c r="K131" i="2"/>
  <c r="L139" i="2"/>
  <c r="K139" i="2"/>
  <c r="L174" i="2"/>
  <c r="K174" i="2"/>
  <c r="L186" i="2"/>
  <c r="K186" i="2"/>
  <c r="L194" i="2"/>
  <c r="K194" i="2"/>
  <c r="L202" i="2"/>
  <c r="K202" i="2"/>
  <c r="L287" i="2"/>
  <c r="K287" i="2"/>
  <c r="L389" i="2"/>
  <c r="K389" i="2"/>
  <c r="L230" i="2"/>
  <c r="K230" i="2"/>
  <c r="L381" i="2"/>
  <c r="K381" i="2"/>
  <c r="L69" i="2"/>
  <c r="K69" i="2"/>
  <c r="L178" i="2"/>
  <c r="K178" i="2"/>
  <c r="L190" i="2"/>
  <c r="K190" i="2"/>
  <c r="L322" i="2"/>
  <c r="K322" i="2"/>
  <c r="L336" i="2"/>
  <c r="K336" i="2"/>
  <c r="L354" i="2"/>
  <c r="K354" i="2"/>
  <c r="L373" i="2"/>
  <c r="K373" i="2"/>
  <c r="L303" i="2"/>
  <c r="K303" i="2"/>
  <c r="L364" i="2"/>
  <c r="K364" i="2"/>
  <c r="L440" i="2"/>
  <c r="K440" i="2"/>
  <c r="K5" i="2"/>
  <c r="K9" i="2"/>
  <c r="K17" i="2"/>
  <c r="K33" i="2"/>
  <c r="K41" i="2"/>
  <c r="K48" i="2"/>
  <c r="K55" i="2"/>
  <c r="K60" i="2"/>
  <c r="K76" i="2"/>
  <c r="K80" i="2"/>
  <c r="K89" i="2"/>
  <c r="K97" i="2"/>
  <c r="K102" i="2"/>
  <c r="K104" i="2"/>
  <c r="K111" i="2"/>
  <c r="K121" i="2"/>
  <c r="K123" i="2"/>
  <c r="K129" i="2"/>
  <c r="K137" i="2"/>
  <c r="K143" i="2"/>
  <c r="K145" i="2"/>
  <c r="K147" i="2"/>
  <c r="K149" i="2"/>
  <c r="K151" i="2"/>
  <c r="K153" i="2"/>
  <c r="K155" i="2"/>
  <c r="K157" i="2"/>
  <c r="K183" i="2"/>
  <c r="K240" i="2"/>
  <c r="K265" i="2"/>
  <c r="K273" i="2"/>
  <c r="K275" i="2"/>
  <c r="L286" i="2"/>
  <c r="K286" i="2"/>
  <c r="K392" i="2"/>
  <c r="L414" i="2"/>
  <c r="K414" i="2"/>
  <c r="K420" i="2"/>
  <c r="K4" i="2"/>
  <c r="K14" i="2"/>
  <c r="K20" i="2"/>
  <c r="K29" i="2"/>
  <c r="K38" i="2"/>
  <c r="K46" i="2"/>
  <c r="K47" i="2"/>
  <c r="K58" i="2"/>
  <c r="K59" i="2"/>
  <c r="K68" i="2"/>
  <c r="K74" i="2"/>
  <c r="K75" i="2"/>
  <c r="K86" i="2"/>
  <c r="K94" i="2"/>
  <c r="K110" i="2"/>
  <c r="K113" i="2"/>
  <c r="K115" i="2"/>
  <c r="K117" i="2"/>
  <c r="K119" i="2"/>
  <c r="K120" i="2"/>
  <c r="K122" i="2"/>
  <c r="K126" i="2"/>
  <c r="K136" i="2"/>
  <c r="K165" i="2"/>
  <c r="K167" i="2"/>
  <c r="K169" i="2"/>
  <c r="K171" i="2"/>
  <c r="K180" i="2"/>
  <c r="K196" i="2"/>
  <c r="K198" i="2"/>
  <c r="K201" i="2"/>
  <c r="K222" i="2"/>
  <c r="K237" i="2"/>
  <c r="K251" i="2"/>
  <c r="K254" i="2"/>
  <c r="K259" i="2"/>
  <c r="K262" i="2"/>
  <c r="K272" i="2"/>
  <c r="L277" i="2"/>
  <c r="K277" i="2"/>
  <c r="K326" i="2"/>
  <c r="K341" i="2"/>
  <c r="L357" i="2"/>
  <c r="K357" i="2"/>
  <c r="K384" i="2"/>
  <c r="L267" i="2"/>
  <c r="K281" i="2"/>
  <c r="K283" i="2"/>
  <c r="K292" i="2"/>
  <c r="K351" i="2"/>
  <c r="K376" i="2"/>
  <c r="L433" i="2"/>
  <c r="K433" i="2"/>
  <c r="L438" i="2"/>
  <c r="K438" i="2"/>
  <c r="L405" i="2"/>
  <c r="K405" i="2"/>
  <c r="L425" i="2"/>
  <c r="K425" i="2"/>
  <c r="K271" i="2"/>
  <c r="L332" i="2"/>
  <c r="K332" i="2"/>
  <c r="L360" i="2"/>
  <c r="K360" i="2"/>
  <c r="L397" i="2"/>
  <c r="K397" i="2"/>
  <c r="J46" i="11"/>
  <c r="K46" i="11" s="1"/>
  <c r="G46" i="11"/>
  <c r="K274" i="2"/>
  <c r="K282" i="2"/>
  <c r="K291" i="2"/>
  <c r="K297" i="2"/>
  <c r="K300" i="2"/>
  <c r="K306" i="2"/>
  <c r="K309" i="2"/>
  <c r="K315" i="2"/>
  <c r="K318" i="2"/>
  <c r="K321" i="2"/>
  <c r="K328" i="2"/>
  <c r="K335" i="2"/>
  <c r="K343" i="2"/>
  <c r="K347" i="2"/>
  <c r="K353" i="2"/>
  <c r="K367" i="2"/>
  <c r="K370" i="2"/>
  <c r="K378" i="2"/>
  <c r="K386" i="2"/>
  <c r="K394" i="2"/>
  <c r="K402" i="2"/>
  <c r="K422" i="2"/>
  <c r="K430" i="2"/>
  <c r="K356" i="2"/>
  <c r="K359" i="2"/>
  <c r="K391" i="2"/>
  <c r="K399" i="2"/>
  <c r="K407" i="2"/>
  <c r="K409" i="2"/>
  <c r="K419" i="2"/>
  <c r="K427" i="2"/>
  <c r="K435" i="2"/>
  <c r="K295" i="2"/>
  <c r="K299" i="2"/>
  <c r="K308" i="2"/>
  <c r="K314" i="2"/>
  <c r="K317" i="2"/>
  <c r="K320" i="2"/>
  <c r="K327" i="2"/>
  <c r="J44" i="11"/>
  <c r="K44" i="11" s="1"/>
  <c r="G44" i="11"/>
  <c r="J128" i="11"/>
  <c r="K128" i="11" s="1"/>
  <c r="G128" i="11"/>
  <c r="G3" i="11"/>
  <c r="G23" i="11"/>
  <c r="G53" i="11"/>
  <c r="J66" i="11"/>
  <c r="K66" i="11" s="1"/>
  <c r="G66" i="11"/>
  <c r="J102" i="11"/>
  <c r="K102" i="11" s="1"/>
  <c r="G102" i="11"/>
  <c r="J247" i="11"/>
  <c r="K247" i="11" s="1"/>
  <c r="G247" i="11"/>
  <c r="J284" i="11"/>
  <c r="K284" i="11" s="1"/>
  <c r="G284" i="11"/>
  <c r="J322" i="11"/>
  <c r="K322" i="11" s="1"/>
  <c r="G322" i="11"/>
  <c r="G6" i="11"/>
  <c r="G15" i="11"/>
  <c r="G17" i="11"/>
  <c r="G26" i="11"/>
  <c r="G28" i="11"/>
  <c r="G35" i="11"/>
  <c r="G37" i="11"/>
  <c r="G39" i="11"/>
  <c r="G41" i="11"/>
  <c r="J126" i="11"/>
  <c r="K126" i="11" s="1"/>
  <c r="G126" i="11"/>
  <c r="G60" i="11"/>
  <c r="G62" i="11"/>
  <c r="G113" i="11"/>
  <c r="G115" i="11"/>
  <c r="G117" i="11"/>
  <c r="G252" i="11"/>
  <c r="G152" i="11"/>
  <c r="G157" i="11"/>
  <c r="G243" i="11"/>
  <c r="G313" i="11"/>
  <c r="G65" i="11"/>
  <c r="G127" i="11"/>
  <c r="G61" i="11"/>
  <c r="G63" i="11"/>
  <c r="G80" i="11"/>
</calcChain>
</file>

<file path=xl/sharedStrings.xml><?xml version="1.0" encoding="utf-8"?>
<sst xmlns="http://schemas.openxmlformats.org/spreadsheetml/2006/main" count="7009" uniqueCount="3225">
  <si>
    <t>Manufacturer</t>
  </si>
  <si>
    <t>Product Number</t>
  </si>
  <si>
    <t>Product Name</t>
  </si>
  <si>
    <t>UOM</t>
  </si>
  <si>
    <t>MSRP</t>
  </si>
  <si>
    <t>Catalyst</t>
  </si>
  <si>
    <t>TeleDynamics</t>
  </si>
  <si>
    <t>margin</t>
  </si>
  <si>
    <t>discount</t>
  </si>
  <si>
    <t>sell</t>
  </si>
  <si>
    <t>Polycom</t>
  </si>
  <si>
    <t>POL-2200-40250-025</t>
  </si>
  <si>
    <t>VVX 101 1-line Desktop Phone with single 10/100, PoE only</t>
  </si>
  <si>
    <t>each</t>
  </si>
  <si>
    <t>POL-2200-40450-019</t>
  </si>
  <si>
    <t>VVX SKYPE 201 2-Line IP Phone PoE</t>
  </si>
  <si>
    <t>POL-2200-40450-025</t>
  </si>
  <si>
    <t>VVX 201 2-line Desktop Phone with dual 10/100, PoE only</t>
  </si>
  <si>
    <t>POL-2200-44500-025</t>
  </si>
  <si>
    <t>VVX 500 IP Business PoE Telephone</t>
  </si>
  <si>
    <t>POL-2200-46300-025</t>
  </si>
  <si>
    <t>VVX Expansion Module</t>
  </si>
  <si>
    <t>POL-2200-46350-025</t>
  </si>
  <si>
    <t>VVX Color Expansion Module</t>
  </si>
  <si>
    <t>POL-2200-48300-001</t>
  </si>
  <si>
    <t>VVX 301 6-line Desktop Phone with HD Voice with universal power supply</t>
  </si>
  <si>
    <t>POL-2200-48300-019</t>
  </si>
  <si>
    <t>VVX 301 Microsoft Skype for Business/Lync edition 6-line Desktop Phone</t>
  </si>
  <si>
    <t>POL-2200-48300-025</t>
  </si>
  <si>
    <t>VVX 301 6-line Desktop Phone with HD Voice, POE</t>
  </si>
  <si>
    <t>POL-2200-48350-019</t>
  </si>
  <si>
    <t>VVX 311 Microsoft Skype for Business/Lync edition 6-line Desktop Phone</t>
  </si>
  <si>
    <t>POL-2200-48350-025</t>
  </si>
  <si>
    <t>VVX 311 6-line Desktop Phone Gigabit Ethernet, poe</t>
  </si>
  <si>
    <t>POL-2200-48400-001</t>
  </si>
  <si>
    <t>VVX 401 12-line Desktop Phone with HD Voice. Ships with universal power supply</t>
  </si>
  <si>
    <t>POL-2200-48400-019</t>
  </si>
  <si>
    <t>VVX 401 Microsoft Skype for Business/Lync edition 12-line Desktop Phone</t>
  </si>
  <si>
    <t>POL-2200-48400-025</t>
  </si>
  <si>
    <t>VVX 401 12-line Desktop Phone with HD Voice, POE</t>
  </si>
  <si>
    <t>POL-2200-48450-001</t>
  </si>
  <si>
    <t>VVX 411 12-line Desktop Phone Gigabit Ethernet with universal power supply</t>
  </si>
  <si>
    <t>POL-2200-48450-019</t>
  </si>
  <si>
    <t>VVX 411 Microsoft Skype for Business/Lync edition 12-line Desktop Phone</t>
  </si>
  <si>
    <t>POL-2200-48450-025</t>
  </si>
  <si>
    <t>VVX 411 12-line Desktop Phone Gigabit Ethernet, poe</t>
  </si>
  <si>
    <t>POL-2200-48500-001</t>
  </si>
  <si>
    <t>VVX 501 12-line Business Media Phone with universal power supply</t>
  </si>
  <si>
    <t>POL-2200-48500-019</t>
  </si>
  <si>
    <t>VVX 501 Microsoft Skype for Business/Lync edition 12-line Desktop</t>
  </si>
  <si>
    <t>POL-2200-48500-025</t>
  </si>
  <si>
    <t>VVX 501 12-line Business Media Phone POE</t>
  </si>
  <si>
    <t>POL-2200-48600-001</t>
  </si>
  <si>
    <t>VVX 601 16-line Business Media Phone with universal power supply</t>
  </si>
  <si>
    <t>POL-2200-48600-019</t>
  </si>
  <si>
    <t>VVX 601 Microsoft Skype for Business/Lync edition 16-line Desktop Phone</t>
  </si>
  <si>
    <t>POL-2200-48600-025</t>
  </si>
  <si>
    <t>VVX 601 16-line Business Media Phone poe</t>
  </si>
  <si>
    <t>POL-2200-17821-001</t>
  </si>
  <si>
    <t>VVX D60 Base Station with Handset PoE</t>
  </si>
  <si>
    <t>POL-2200-17825-001</t>
  </si>
  <si>
    <t>VVX D60 Accessory Cordless Handset</t>
  </si>
  <si>
    <t>POL-2200-48810-025</t>
  </si>
  <si>
    <t>Polycom VVX 150 2-line IP Phone</t>
  </si>
  <si>
    <t>POL-2200-48820-025</t>
  </si>
  <si>
    <t>Polycom VVX 250 4-line IP Phone</t>
  </si>
  <si>
    <t>POL-2200-48830-025</t>
  </si>
  <si>
    <t>Polycom VVX 350 6-line IP Phone</t>
  </si>
  <si>
    <t>POL-2200-48840-025</t>
  </si>
  <si>
    <t>Polycom VVX 450 12-line IP Phone</t>
  </si>
  <si>
    <t>POL-2200-48890-025</t>
  </si>
  <si>
    <t>VVX EM50 Expansion Module for VVX 450</t>
  </si>
  <si>
    <t>POL-2200-48822-025</t>
  </si>
  <si>
    <t>OBi Edition VVX 250 4-line IP Phone</t>
  </si>
  <si>
    <t>POL-2200-48832-025</t>
  </si>
  <si>
    <t>OBi Edition VVX 350 6-line IP Phone</t>
  </si>
  <si>
    <t>POL-2200-48842-025</t>
  </si>
  <si>
    <t>OBi Edition VVX 450 12-line IP Phone</t>
  </si>
  <si>
    <t>POL-4870-40250-386</t>
  </si>
  <si>
    <t>OBi2182 IP Phone, 12 Line Keys, WiFi/BT</t>
  </si>
  <si>
    <t>POL-2200-66070-001</t>
  </si>
  <si>
    <t>Trio 8800 conference phone</t>
  </si>
  <si>
    <t>POL-2200-66070-019</t>
  </si>
  <si>
    <t>Trio 8800 conf. phone SKYPE</t>
  </si>
  <si>
    <t xml:space="preserve">POL-2200-15100-001 </t>
  </si>
  <si>
    <t xml:space="preserve">SoundStation2, non-expandable </t>
  </si>
  <si>
    <t>POL-2200-15600-001</t>
  </si>
  <si>
    <t>SoundStation IP 6000 (SIP) conference phone</t>
  </si>
  <si>
    <t xml:space="preserve">POL-2200-16000-001 </t>
  </si>
  <si>
    <t xml:space="preserve">SoundStation2, non-expandable, with display </t>
  </si>
  <si>
    <t xml:space="preserve">POL-2200-16200-001 </t>
  </si>
  <si>
    <t xml:space="preserve">SoundStation2, expandable, with display </t>
  </si>
  <si>
    <t>POL-2200-07142-001</t>
  </si>
  <si>
    <t>VTX1000 with EX mics</t>
  </si>
  <si>
    <t>POL-2200-07300-001</t>
  </si>
  <si>
    <t>VTX1000 w/o EX mics</t>
  </si>
  <si>
    <t>POL-2200-15810-025</t>
  </si>
  <si>
    <t>CX3000 IP Conference Phone for Lync</t>
  </si>
  <si>
    <t>POL-2200-17910-001</t>
  </si>
  <si>
    <t>VoiceStation 300 (analog) conference phone</t>
  </si>
  <si>
    <t>POL-2200-19000-001</t>
  </si>
  <si>
    <t>SoundStation Duo dual-mode conference phone including Power Supply</t>
  </si>
  <si>
    <t>POL-2200-30900-025</t>
  </si>
  <si>
    <t>SoundStation IP 5000 (SIP) conference phone</t>
  </si>
  <si>
    <t>POL-2200-40000-001</t>
  </si>
  <si>
    <t>SoundStation IP 7000 (SIP) conference phone poe</t>
  </si>
  <si>
    <t>POL-2200-49530-001</t>
  </si>
  <si>
    <t>OBI 300 Voice Adapter USB 1 FXS ATA</t>
  </si>
  <si>
    <t>POL-2200-49532-001</t>
  </si>
  <si>
    <t>OBI 302 Voice Adapter USB 2 FXS ATA</t>
  </si>
  <si>
    <t>POL-2200-49535-001</t>
  </si>
  <si>
    <t>OBI 312 Voice Adapter USB 1 FXS 1 FXO ATA</t>
  </si>
  <si>
    <t>POL-2200-49550-001</t>
  </si>
  <si>
    <t>OBI 504 Voice Adapter 4 FXS ATA</t>
  </si>
  <si>
    <t>POL-2200-49552-001</t>
  </si>
  <si>
    <t>OBI 508 Voice Adapter 8 FXS ATA</t>
  </si>
  <si>
    <t>POL-2200-17827-001</t>
  </si>
  <si>
    <t>VVX Spares 5 usb, 5 clips, 5 rubber feet</t>
  </si>
  <si>
    <t xml:space="preserve">POL-2200-07840-001 </t>
  </si>
  <si>
    <t>SoundStation2W-2 Ex Mics with cables</t>
  </si>
  <si>
    <t>POL-2200-15855-001</t>
  </si>
  <si>
    <t>SS DUO Exp Mics</t>
  </si>
  <si>
    <t>POL-2200-16155-001</t>
  </si>
  <si>
    <t xml:space="preserve">EX Mics SS2 – NA (Qty 2) EX Microphones for SoundStation2 </t>
  </si>
  <si>
    <t>PY-2200-17680-001</t>
  </si>
  <si>
    <t>5 PK Handsets and Cords for VVX Phones</t>
  </si>
  <si>
    <t>POL-2200-17682-001</t>
  </si>
  <si>
    <t>5-pk HD-Voice handset and cord for VVX 201</t>
  </si>
  <si>
    <t>POL-2200-17683-025</t>
  </si>
  <si>
    <t>Desk Stand/Wall Mount for use with VVX 101/201. 5-Pack.</t>
  </si>
  <si>
    <t>POL-2200-40040-001</t>
  </si>
  <si>
    <t>Expansion Microphone Kit for SoundStation IP 7000</t>
  </si>
  <si>
    <t>POL-2200-40110-001</t>
  </si>
  <si>
    <t>AC Power Kit for SoundStation IP 7000</t>
  </si>
  <si>
    <t>POL-2200-43240-001</t>
  </si>
  <si>
    <t>AC Power Kit for SoundStation IP5000</t>
  </si>
  <si>
    <t>POL-2200-44405-025</t>
  </si>
  <si>
    <t>5 pack Stand for VVX3XX/4XX/501</t>
  </si>
  <si>
    <t>POL-2200-46200-025</t>
  </si>
  <si>
    <t>VVX Camera for VVX 5xx and 6xx series</t>
  </si>
  <si>
    <t>POL-2200-48560-001</t>
  </si>
  <si>
    <t>Universal PS for 301/311/401/411/501/601</t>
  </si>
  <si>
    <t>POL-2200-48570-001</t>
  </si>
  <si>
    <t>AC Power Supply for VVX 301,311,401,411</t>
  </si>
  <si>
    <t>POL-2200-48823-001</t>
  </si>
  <si>
    <t>Wall Mount Bracket for VVX 150/250</t>
  </si>
  <si>
    <t>POL-2200-48833-001</t>
  </si>
  <si>
    <t>VVX 350 Wall Mount Bracket</t>
  </si>
  <si>
    <t>POL-2200-48843-001</t>
  </si>
  <si>
    <t>VVX 450 Wall Mount Bracket</t>
  </si>
  <si>
    <t>POL-2200-48872-001</t>
  </si>
  <si>
    <t>Universal PS for 150,250,350,450 5V3A</t>
  </si>
  <si>
    <t>POL-7200-23490-001</t>
  </si>
  <si>
    <t>Power Kit for RPTrio 8800 Trio Visual+</t>
  </si>
  <si>
    <t>POL-7200-25500-001</t>
  </si>
  <si>
    <t>Trio 8800 Collaboration Kit</t>
  </si>
  <si>
    <t>POL-7200-25500-019</t>
  </si>
  <si>
    <t>Trio 8800 Collab Kit SKYPE</t>
  </si>
  <si>
    <t>POL-2200-65790-001</t>
  </si>
  <si>
    <t>Trio 8800/8500 Expansion Mic Kit</t>
  </si>
  <si>
    <t>POL-2215-07155-001</t>
  </si>
  <si>
    <t>Expansion (EX) mic. kit for SoundStation VTX 1000 and SoundStation IP6000</t>
  </si>
  <si>
    <t>ScanSource</t>
  </si>
  <si>
    <t>Sell</t>
  </si>
  <si>
    <t>profit</t>
  </si>
  <si>
    <t>GN-6598-832-109</t>
  </si>
  <si>
    <t>JABRA EVOLVE 65t, TITANIUM BLACK</t>
  </si>
  <si>
    <t>GN-6598-832-209</t>
  </si>
  <si>
    <t>GN-6593-823-399</t>
  </si>
  <si>
    <t>JABRA EVOLVE 65 CHARGING STAND, LINK360, MONO MS</t>
  </si>
  <si>
    <t>GN-6593-823-499</t>
  </si>
  <si>
    <t>JABRA EVOLVE 65 CHARGING STAND, LINK360, MONO UC</t>
  </si>
  <si>
    <t>GN-6599-823-399</t>
  </si>
  <si>
    <t>JABRA EVOLVE 65 CHARGING STAND, LINK360, STEREO MS</t>
  </si>
  <si>
    <t>GN-6599-823-499</t>
  </si>
  <si>
    <t>JABRA EVOLVE 65 CHARGING STAND, LINK360, STEREO UC</t>
  </si>
  <si>
    <t>GN-7099-823-309</t>
  </si>
  <si>
    <t>JABRA EVOLVE 75e MS &amp; LINK 370</t>
  </si>
  <si>
    <t>GN-7099-823-409</t>
  </si>
  <si>
    <t>JABRA EVOLVE 75e UC &amp; LINK 370</t>
  </si>
  <si>
    <t>GN-7599-832-109</t>
  </si>
  <si>
    <t>JABRA EVOLVE 75 MS</t>
  </si>
  <si>
    <t>GN-7599-832-199</t>
  </si>
  <si>
    <t>JABRA EVOLVE 75 MS, CHARGING STAND, LINK 370</t>
  </si>
  <si>
    <t>GN-7599-838-109</t>
  </si>
  <si>
    <t>JABRA EVOLVE 75 UC</t>
  </si>
  <si>
    <t>GN-7599-838-199</t>
  </si>
  <si>
    <t>JABRA EVOLVE 75 UC, CHARGING STAND, LINK 370</t>
  </si>
  <si>
    <t>GN-14101-69</t>
  </si>
  <si>
    <t>JABRA EVOLVE 75e ACC. PACK</t>
  </si>
  <si>
    <t>GN-14208-01</t>
  </si>
  <si>
    <t>JABRA LINK 360 USB BLUETOOTH NANO ADAPTER UC VERSION</t>
  </si>
  <si>
    <t>GN-14208-02</t>
  </si>
  <si>
    <t>JABRA LINK 360 USB BLUETOOTH NANO ADAPTER MS VERSION</t>
  </si>
  <si>
    <t>GN-14208-07</t>
  </si>
  <si>
    <t>JABRA LINK 370 USB BT ADAPTER</t>
  </si>
  <si>
    <t>GN-14208-08</t>
  </si>
  <si>
    <t>JABRA LINK 370 USB BT ADAPTER, MS</t>
  </si>
  <si>
    <t>GN-14201-61</t>
  </si>
  <si>
    <t>JABRA EVOLVE 65 USB CABLE</t>
  </si>
  <si>
    <t>GN-9553-553-125</t>
  </si>
  <si>
    <t>JABRA ENGAGE 65 MONO</t>
  </si>
  <si>
    <t>GN-9555-553-125</t>
  </si>
  <si>
    <t>JABRA ENGAGE 65 CONVERTIBLE</t>
  </si>
  <si>
    <t>GN-9559-553-125</t>
  </si>
  <si>
    <t>JABRA ENGAGE 65 STEREO</t>
  </si>
  <si>
    <t>GN-9556-583-125</t>
  </si>
  <si>
    <t>JABRA ENGAGE 75 MONO</t>
  </si>
  <si>
    <t>GN-9555-583-125</t>
  </si>
  <si>
    <t>JABRA ENGAGE 75 CONVERTIBLE</t>
  </si>
  <si>
    <t>GN-14101-60</t>
  </si>
  <si>
    <t>JABRA ENGAGE EAR CUSHION, BLACK - 5 PAIRS FOR STEREO</t>
  </si>
  <si>
    <t>GN-14101-61</t>
  </si>
  <si>
    <t>JABRA ENGAGE EAR CUSHION, BLACK - 10 PEICES FOR MONO</t>
  </si>
  <si>
    <t>GN-14101-72</t>
  </si>
  <si>
    <t>JABRA ENGAGE EAR CUSHION, BLACK - 1 PAIR FOR STEREO</t>
  </si>
  <si>
    <t>GN-14101-73</t>
  </si>
  <si>
    <t>JABRA ENGAGE EAR CUSHION, BLACK - 2 PEICES FOR MONO</t>
  </si>
  <si>
    <t>GN-14121-34</t>
  </si>
  <si>
    <t>JABRA ENGAGE HEADBAND PADDING, BLACK 5 PIECES</t>
  </si>
  <si>
    <t>GN-14121-37</t>
  </si>
  <si>
    <t>JABRA ENGAGE NECKBAND FOR MONO</t>
  </si>
  <si>
    <t>GN-14121-38</t>
  </si>
  <si>
    <t>JABRA ENGAGE NECKBAND FOR CONVERTIBLE</t>
  </si>
  <si>
    <t>GN-14121-39</t>
  </si>
  <si>
    <t>JABRA ENGAGE HEADBAND FOR MONO</t>
  </si>
  <si>
    <t>GN-14121-40</t>
  </si>
  <si>
    <t>JABRA ENGAGE HEADBAND FOR CONVERTIBLE</t>
  </si>
  <si>
    <t>GN-14121-41</t>
  </si>
  <si>
    <t>JABRA ENGAGE CONVERTIBLE ACCESSORY EARHOOK PACK</t>
  </si>
  <si>
    <t>GN-14207-43</t>
  </si>
  <si>
    <t>JABRA ENGAGE POWER SUPPLY - NA</t>
  </si>
  <si>
    <t>GN-14401-14</t>
  </si>
  <si>
    <t>JABRA ENGAGE MONO HEADSET, INCL. EAR CUSHION &amp; HDBND</t>
  </si>
  <si>
    <t>GN-14401-15</t>
  </si>
  <si>
    <t>JABRA ENGAGE STEREO HEADSET, INCL. EAR CUSHION</t>
  </si>
  <si>
    <t>GN-14401-19</t>
  </si>
  <si>
    <t>JABRA ENGAGE CONVERTIBLE HEADSET INCL. EARHOOK ACCESSORY PACK</t>
  </si>
  <si>
    <t>GN-14151-09</t>
  </si>
  <si>
    <t>JABRA ENGAGE BATTERY PACK</t>
  </si>
  <si>
    <t>GN-9450-69-707-105</t>
  </si>
  <si>
    <t>JABRA PRO 9450 DUO FLEX</t>
  </si>
  <si>
    <t>JABRA PRO 9450 FLEX MONO WL DC (DENSITY CONFIGURATION)</t>
  </si>
  <si>
    <t>GN-9450-69-707-105-DC</t>
  </si>
  <si>
    <t>JABRA PRO 9450 DUO FLEX DC</t>
  </si>
  <si>
    <t>GN-9460-69-707-105</t>
  </si>
  <si>
    <t>JABRA PRO 9460 DUO</t>
  </si>
  <si>
    <t>GN-GSA9460-65-707-105</t>
  </si>
  <si>
    <t>JABRA PRO 9460 NCSA - MONO</t>
  </si>
  <si>
    <t>GN-9465-69-804-105</t>
  </si>
  <si>
    <t>JABRA PRO 9465 DUO</t>
  </si>
  <si>
    <t>GN-GSA9470-66-904-105</t>
  </si>
  <si>
    <t>JABRA PRO 9470 NCSA MONO</t>
  </si>
  <si>
    <t>GN-14401-07</t>
  </si>
  <si>
    <t>GN-14201-12</t>
  </si>
  <si>
    <t>JABRA PRO 9400 SERIES RJ9 TO RJ9 STRAIGHT CORD</t>
  </si>
  <si>
    <t>GN-14183-00</t>
  </si>
  <si>
    <t>JABRA PRO 9400 SERIES AC POWER SUPPLY</t>
  </si>
  <si>
    <t>GN-14101-19</t>
  </si>
  <si>
    <t>JABRA PRO 9400 SERIES EAR CUSHIONS</t>
  </si>
  <si>
    <t>GN-14101-59</t>
  </si>
  <si>
    <t>JABRA PRO 9400 SERIES LARGE EAR CUSHIONS</t>
  </si>
  <si>
    <t>GN-14192-00</t>
  </si>
  <si>
    <t>JABRA PRO 940- SERIES HEADSET BATTERY W/ TORQUE SCREWDRIVER</t>
  </si>
  <si>
    <t>GN-14208-05</t>
  </si>
  <si>
    <t>JABRA PRO 9400 SERIES SINGLE UNIT HEADSET CHARGER</t>
  </si>
  <si>
    <t>GN-14207-15</t>
  </si>
  <si>
    <t>JABRA PRO 9400 SERIES 5-UNIT HEADSET CHARGER</t>
  </si>
  <si>
    <t>GN-14102-10</t>
  </si>
  <si>
    <t>JABRA PRO 9400 SERIES WINDSCREEN MICROPHONE COVERS</t>
  </si>
  <si>
    <t>GN-920-69-508-105</t>
  </si>
  <si>
    <t>JABRA PRO 920 DUO</t>
  </si>
  <si>
    <t>GN-930-65-509-105</t>
  </si>
  <si>
    <t>JABRA PRO 930 UC MONO</t>
  </si>
  <si>
    <t>GN-GSA930-65-509-105</t>
  </si>
  <si>
    <t>JABRA PRO 930 UC GSA MONO</t>
  </si>
  <si>
    <t>GN-930-69-509-105</t>
  </si>
  <si>
    <t>JABRA PRO 930 UC DUO</t>
  </si>
  <si>
    <t>GN-930-65-503-105</t>
  </si>
  <si>
    <t>JABRA PRO 930 MS MONO</t>
  </si>
  <si>
    <t>GN-935-15-503-205</t>
  </si>
  <si>
    <t>JABRA PRO 935 MS-DUAL CONNECTIVITY</t>
  </si>
  <si>
    <t>PRO 900 SERIES EAR CUSHIONS</t>
  </si>
  <si>
    <t>GN-14121-26</t>
  </si>
  <si>
    <t>PRO 900 SERIES EAR HOOK</t>
  </si>
  <si>
    <t>GN-14121-27</t>
  </si>
  <si>
    <t>PRO 900 HEADBAND FOR MONO</t>
  </si>
  <si>
    <t>PRO 900 RJ9 TO TJ9 STRAIGHT CORD</t>
  </si>
  <si>
    <t>GN-14201-13</t>
  </si>
  <si>
    <t>PRO 900 MINI USB CABLE</t>
  </si>
  <si>
    <t>GN-14201-29</t>
  </si>
  <si>
    <t>PRO 920 SERVICE CABLE TO USE FOR FIRMWARE UPDATES</t>
  </si>
  <si>
    <t>GN-14209-05</t>
  </si>
  <si>
    <t>PRO 900 SERIES HEADSET CHARGER</t>
  </si>
  <si>
    <t>GN-14209-06</t>
  </si>
  <si>
    <t>PRO 925/935 HEADSET CHARGING CABLE</t>
  </si>
  <si>
    <t>GN-14401-08</t>
  </si>
  <si>
    <t>PRO SERIES MONO NC MIDI-BOOM</t>
  </si>
  <si>
    <t>GN-14401-12</t>
  </si>
  <si>
    <t>PRO 925/935 DUAL HEADSET ONLY</t>
  </si>
  <si>
    <t>GN-14401-13</t>
  </si>
  <si>
    <t>PRO SERIES MONO HEADSET ONLY</t>
  </si>
  <si>
    <t>GN-14401-17</t>
  </si>
  <si>
    <t>PRO 920/930 DUO HEADSET ONLY</t>
  </si>
  <si>
    <t>JABRA LINK 370 USB BT SDAPTER, MS</t>
  </si>
  <si>
    <t>Jabra</t>
  </si>
  <si>
    <t>GN-204000</t>
  </si>
  <si>
    <t>VXi V300 HEADSET SYSTEM</t>
  </si>
  <si>
    <t>GN-203940</t>
  </si>
  <si>
    <t>VXi V200 HEADSET SYSTEM</t>
  </si>
  <si>
    <t>GN-203994</t>
  </si>
  <si>
    <t>Vxi V175 HEADSET SYSTEM</t>
  </si>
  <si>
    <t>JABRA MOTION OFFICE GSA</t>
  </si>
  <si>
    <t>GN-14101-35</t>
  </si>
  <si>
    <t>SOFT POUCH FOR MOTION OFFICE</t>
  </si>
  <si>
    <t>GN-14101-36</t>
  </si>
  <si>
    <t>EAR GEL KITS</t>
  </si>
  <si>
    <t>MOTION OFFICE AC POWER ADAPTER</t>
  </si>
  <si>
    <t>GN-14201-26</t>
  </si>
  <si>
    <t>MOTION OFFICE USB CABLE, 150CM</t>
  </si>
  <si>
    <t>GN-14203-05</t>
  </si>
  <si>
    <t>USB TO AC POWER CHARGER FOR MOTION OFFICE BASE</t>
  </si>
  <si>
    <t>GN-14207-17</t>
  </si>
  <si>
    <t>MOTION UC TRAVEL &amp; CHARGE KIT</t>
  </si>
  <si>
    <t>JABRA LINK 360 USB UC FOR MOTION OFFICE</t>
  </si>
  <si>
    <t>JABRA LINK 360 USB MS FOR MOTION OFFICE</t>
  </si>
  <si>
    <t>GN-4993-829-209</t>
  </si>
  <si>
    <t>JABRA EVOLVE 20 UC MONO</t>
  </si>
  <si>
    <t>GN-4993-823-309</t>
  </si>
  <si>
    <t>JABRA EVOLVE 20 SPECIAL EDITION MONO MS</t>
  </si>
  <si>
    <t>GN-4999-823-309</t>
  </si>
  <si>
    <t>JABRA EVOLVE 20 SPECIAL EDITION STEREO MS</t>
  </si>
  <si>
    <t>GN-4993-829-409</t>
  </si>
  <si>
    <t>JABRA EVOLVE 20 SPECIAL EDITION MONO UC</t>
  </si>
  <si>
    <t>GN-4999-829-409</t>
  </si>
  <si>
    <t>JABRA EVOLVE 20 SPECIAL EDITION STEREO UC</t>
  </si>
  <si>
    <t>GN-5393-829-309</t>
  </si>
  <si>
    <t>JABRA EVOLVE 30 II UC MONO</t>
  </si>
  <si>
    <t>GN-6393-829-289</t>
  </si>
  <si>
    <t>JABRA EVOLVE 40, MONO UC, USB-C</t>
  </si>
  <si>
    <t>GN-6399-823-189</t>
  </si>
  <si>
    <t>JABRA EVOLVE 40, STEREO MS-USB-C</t>
  </si>
  <si>
    <t>GN-6399-829-289</t>
  </si>
  <si>
    <t>JABRA EVOLVE 40, STEREO UC-USB-C</t>
  </si>
  <si>
    <t>GN-14101-41</t>
  </si>
  <si>
    <t>JABRA EVOLVE 80 LEATHER EAR CUSHIONS</t>
  </si>
  <si>
    <t>GN-14101-43</t>
  </si>
  <si>
    <t>FLIGHT ADAPTER CC&amp;O</t>
  </si>
  <si>
    <t>GN-14101-44</t>
  </si>
  <si>
    <t>POUCH EVOLVE 80</t>
  </si>
  <si>
    <t>GN-14101-45</t>
  </si>
  <si>
    <t>FOAM EAR CUSHION, EVOLVE 20-65</t>
  </si>
  <si>
    <t>GN-14101-46</t>
  </si>
  <si>
    <t>LEATHER CUSHION, EVOLVE 20-65</t>
  </si>
  <si>
    <t>GN-14101-47</t>
  </si>
  <si>
    <t>NEOPRENE POUCH, EVOLVE 20-65</t>
  </si>
  <si>
    <t>GN-14101-67</t>
  </si>
  <si>
    <t>JABRA EVOLVE 75 EAR  CUSHIONS</t>
  </si>
  <si>
    <t>GN-14101-68</t>
  </si>
  <si>
    <t>JABRA EVOLVE 75 HARD CASE</t>
  </si>
  <si>
    <t>GN-14208-03</t>
  </si>
  <si>
    <t>JABRA EVOLVE LINK MS</t>
  </si>
  <si>
    <t>GN-14208-04</t>
  </si>
  <si>
    <t>JABRA EVOLVE LINK UC</t>
  </si>
  <si>
    <t>JABRA EVOLVE 80 LINK MS</t>
  </si>
  <si>
    <t>GN-14208-06</t>
  </si>
  <si>
    <t>JABRA EVOLVE 80 LINK UC</t>
  </si>
  <si>
    <t>GN-14208-18</t>
  </si>
  <si>
    <t>JABRA EVOLVE 40 LINK, USB-C, MS</t>
  </si>
  <si>
    <t>GN-14208-19</t>
  </si>
  <si>
    <t>JABRA EVOLVE 40 LINK, USB-C, UC</t>
  </si>
  <si>
    <t>GN-14401-09</t>
  </si>
  <si>
    <t>JABRA EVOLVE 40 MONO</t>
  </si>
  <si>
    <t>Evolve 40 STEREO</t>
  </si>
  <si>
    <t>GN-14401-20</t>
  </si>
  <si>
    <t>MONO 3.5MM JACK</t>
  </si>
  <si>
    <t>GN-14401-21</t>
  </si>
  <si>
    <t>STEREO 3.5MM JACK</t>
  </si>
  <si>
    <t>GN-5093-610-189</t>
  </si>
  <si>
    <t>JABRA ENGAGE 50, MONO, USB-C</t>
  </si>
  <si>
    <t>GN-5099-610-189</t>
  </si>
  <si>
    <t>JABRA ENGAGE 50, STEREO, USB-C</t>
  </si>
  <si>
    <t>GN-50-219</t>
  </si>
  <si>
    <t>JABRA ENGAGE LINK USB-A, UC</t>
  </si>
  <si>
    <t>GN-50-119</t>
  </si>
  <si>
    <t>JABRA ENGAGE LINK USB-A, MS</t>
  </si>
  <si>
    <t>GN-50-259</t>
  </si>
  <si>
    <t>JABRA ENGAGE LINK USB C, UC</t>
  </si>
  <si>
    <t>GN-50-159</t>
  </si>
  <si>
    <t>JABRA ENGAGE LINK USB C, MS</t>
  </si>
  <si>
    <t>GN-14101-70</t>
  </si>
  <si>
    <t>JABRA ENGAGE 50 EAR CUSHIONS-10PCS</t>
  </si>
  <si>
    <t>GN-14101-71</t>
  </si>
  <si>
    <t>JABRA ENGAGE 50 EAR CUSHIONS-2PCS</t>
  </si>
  <si>
    <t>GN-14208-15</t>
  </si>
  <si>
    <t>JABRA LINK EXTENSION CORD</t>
  </si>
  <si>
    <t>GN-14208-16</t>
  </si>
  <si>
    <t>GN-14601-02</t>
  </si>
  <si>
    <t>JABRA ENGAGE CLOTHING CLIP</t>
  </si>
  <si>
    <t>GN-203315</t>
  </si>
  <si>
    <t>VXi UC PROSET LUX 5010+ MONO</t>
  </si>
  <si>
    <t>GN-203305</t>
  </si>
  <si>
    <t>VXi UC PROSET LUX 5031+ STEREO</t>
  </si>
  <si>
    <t>GN-203352</t>
  </si>
  <si>
    <t>VXi ENVOY UC 3010U MONO</t>
  </si>
  <si>
    <t>GN-203349</t>
  </si>
  <si>
    <t>VXi ENVOY UC 3010U STEREO</t>
  </si>
  <si>
    <t>GN-203700</t>
  </si>
  <si>
    <t>VXi ENVOY OFFICE 2010U MONO</t>
  </si>
  <si>
    <t>GN-203706</t>
  </si>
  <si>
    <t>VXi ENVOY OFFICE 2010U STEREO</t>
  </si>
  <si>
    <t>GN-203062</t>
  </si>
  <si>
    <t>10G QD, MONO, UNC</t>
  </si>
  <si>
    <t>GN-203022</t>
  </si>
  <si>
    <t>10P QD, MONO, UNC</t>
  </si>
  <si>
    <t>GN-203032</t>
  </si>
  <si>
    <t>21P QD, DUO, UNC</t>
  </si>
  <si>
    <t>GN-203042</t>
  </si>
  <si>
    <t>10V QD, MONO, UNC</t>
  </si>
  <si>
    <t>GN-203052</t>
  </si>
  <si>
    <t>21V QD, DUO, UNC</t>
  </si>
  <si>
    <t>GN-203501</t>
  </si>
  <si>
    <t xml:space="preserve">4010G QD, MONO, UNC </t>
  </si>
  <si>
    <t>GN-203513</t>
  </si>
  <si>
    <t>4021G QD, DUO, UNC</t>
  </si>
  <si>
    <t>GN-203503</t>
  </si>
  <si>
    <t>4010P DC QD, MONO, UNC</t>
  </si>
  <si>
    <t>GN-203515</t>
  </si>
  <si>
    <t>4021P DC QD, DUO, UNC</t>
  </si>
  <si>
    <t>GN-203502</t>
  </si>
  <si>
    <t>4010V DC QD, MONO, UNC</t>
  </si>
  <si>
    <t>GN-203514</t>
  </si>
  <si>
    <t>4021V DC QD, DUO, UNC</t>
  </si>
  <si>
    <t>GN-203970</t>
  </si>
  <si>
    <t>VXi UNIVERSAL HEADBAND CUSHION</t>
  </si>
  <si>
    <t>GN-204219</t>
  </si>
  <si>
    <t>SLIM FOAM MIC COVER</t>
  </si>
  <si>
    <t>GN-2486-820-209</t>
  </si>
  <si>
    <t>JABRA BIZ 2400 II MONO 3-1 NC WIDEBAND</t>
  </si>
  <si>
    <t>GN-2496-823-209</t>
  </si>
  <si>
    <t>JABRA BIZ 2400 II MONO USB 3-1 NC MS</t>
  </si>
  <si>
    <t>GN-2496-823-309</t>
  </si>
  <si>
    <t>JABRA BIZ 2400 II MONO USB 3-1 NC CC MS</t>
  </si>
  <si>
    <t>GN-2496-829-209</t>
  </si>
  <si>
    <t>JABRA BIZ 2400 II MONO USB 3-1 NC BT UC</t>
  </si>
  <si>
    <t>GN-2409-820-205</t>
  </si>
  <si>
    <t>GN-2499-823-309</t>
  </si>
  <si>
    <t>GN-2499-829-309</t>
  </si>
  <si>
    <t>GN-260-19</t>
  </si>
  <si>
    <t>LINK 260 - USB TO QD ADAPTER MS</t>
  </si>
  <si>
    <t>GN-14121-15</t>
  </si>
  <si>
    <t>JABRA BIZ 2400 II NACKBAND</t>
  </si>
  <si>
    <t>GN-14121-20</t>
  </si>
  <si>
    <t>JABRA BIZ 2400 II HEADBAND</t>
  </si>
  <si>
    <t>GN-14121-18</t>
  </si>
  <si>
    <t>JABRA BIZ 2400 II EARHOOK</t>
  </si>
  <si>
    <t>GN-14101-17</t>
  </si>
  <si>
    <t>JABRA BIZ 2400 II EARGELS FOR EARHOOK</t>
  </si>
  <si>
    <t>GN-14101-48</t>
  </si>
  <si>
    <t>JABRA BIZ 2400 II LEATHERETTE EAR CUSHION</t>
  </si>
  <si>
    <t>GN-14101-49</t>
  </si>
  <si>
    <t>JABRA BIZ 2400 II LEATHERETTE EAR CUSHION LRG</t>
  </si>
  <si>
    <t>GN-14101-50</t>
  </si>
  <si>
    <t>JABRA BIZ 2400 II FOAM EAR CUSHION LRG</t>
  </si>
  <si>
    <t>GN-14101-31</t>
  </si>
  <si>
    <t>JABRA BIZ 2400 II CARRY POUCH</t>
  </si>
  <si>
    <t>GN-14101-40</t>
  </si>
  <si>
    <t>JABRA BIZ 2400 II CARRY BAG</t>
  </si>
  <si>
    <t>GN-14101-52</t>
  </si>
  <si>
    <t>JABRA BIZ 2400 II CLOTHING CLIP</t>
  </si>
  <si>
    <t>GN-14101-66</t>
  </si>
  <si>
    <t>MIC WINDFILTER</t>
  </si>
  <si>
    <t>GN-14101-37</t>
  </si>
  <si>
    <t>JABRA BIZ 2300 LEATHERETTE EAR CUSHION</t>
  </si>
  <si>
    <t>JABRA BIZ 2300 FOAM EAR CUSHION LRG</t>
  </si>
  <si>
    <t>JABRA BIZ 2300 CLOTHING CLIP</t>
  </si>
  <si>
    <t>JABRA BIZ 2300 CARRY POUCH</t>
  </si>
  <si>
    <t>JABRA BIZ 1500 DUO USB NC</t>
  </si>
  <si>
    <t>JABRA BIZ 1500 DUO USB NC GSA</t>
  </si>
  <si>
    <t>GN-14101-04</t>
  </si>
  <si>
    <t>EAR CUSHION FOAM</t>
  </si>
  <si>
    <t>GN-14101-02</t>
  </si>
  <si>
    <t>EAR CUSHION LEATHERETTE</t>
  </si>
  <si>
    <t>GN-14101-03</t>
  </si>
  <si>
    <t>WINDSOCK MIC BOOM ARM TIP</t>
  </si>
  <si>
    <t>GN-202795</t>
  </si>
  <si>
    <t>G QD 3-IN-1, UNC</t>
  </si>
  <si>
    <t>GN-202789</t>
  </si>
  <si>
    <t>P QD 3-IN-1, UNC</t>
  </si>
  <si>
    <t>GN-202783</t>
  </si>
  <si>
    <t>V QD 3-IN-1, UNC</t>
  </si>
  <si>
    <t>GN-202850</t>
  </si>
  <si>
    <t>CONVERTIBLE FOAM REFRESHER KIT FOR TALKPRO USB3/UC3</t>
  </si>
  <si>
    <t>GN-202852</t>
  </si>
  <si>
    <t>CONVERTIBLE FOAM REFRESHER KIT COMPLETE FOR TALKPRO USB3/UC4</t>
  </si>
  <si>
    <t>GN-201602</t>
  </si>
  <si>
    <t>GN-202774</t>
  </si>
  <si>
    <t>21G QD, DUO, UNC</t>
  </si>
  <si>
    <t>GN-201561</t>
  </si>
  <si>
    <t>GN-202777</t>
  </si>
  <si>
    <t>GN-201559</t>
  </si>
  <si>
    <t>GN-202768</t>
  </si>
  <si>
    <t>GN-202846</t>
  </si>
  <si>
    <t>FOAM REFRESHER KIT</t>
  </si>
  <si>
    <t>UNIVERSAL HEADBAND CUSHION</t>
  </si>
  <si>
    <t>GN-14101-26</t>
  </si>
  <si>
    <t>150 SPARE EAR CUSHIONS</t>
  </si>
  <si>
    <t>GN-14101-27</t>
  </si>
  <si>
    <t>250 EAR GELS</t>
  </si>
  <si>
    <t>GN-14101-28</t>
  </si>
  <si>
    <t>550 SPARE EAR CUSHIONS</t>
  </si>
  <si>
    <t>GN-14101-29</t>
  </si>
  <si>
    <t>750 BLACK EAR CUSHIONS</t>
  </si>
  <si>
    <t>GN-14101-30</t>
  </si>
  <si>
    <t>750 BLACK MIC FOAM COVERS</t>
  </si>
  <si>
    <t>NEOPRENE CARRYOG CASE FOR UC550 AND 750</t>
  </si>
  <si>
    <t>GN-14101-32</t>
  </si>
  <si>
    <t>750 GRAY EAR CUSHION</t>
  </si>
  <si>
    <t>GN-14101-33</t>
  </si>
  <si>
    <t>750 GRAY MIC FOAM COVERS</t>
  </si>
  <si>
    <t>GN-01-0247</t>
  </si>
  <si>
    <t>GN2125 DUO, NOISE CANCELLING</t>
  </si>
  <si>
    <t>GN-2127-80-54</t>
  </si>
  <si>
    <t>GN2100 TELECOIL</t>
  </si>
  <si>
    <t>GN-2104-820-105</t>
  </si>
  <si>
    <t>GN2100 4-IN-1, NOISE CANCELLING, STD</t>
  </si>
  <si>
    <t>GN-GSA2104-820-105</t>
  </si>
  <si>
    <t>GN2100 NC 4-IN-1 GSA</t>
  </si>
  <si>
    <t>GN-0400-139</t>
  </si>
  <si>
    <t>SMALL EAR PLATE WITH FOAM COVER</t>
  </si>
  <si>
    <t>GN-0436-879</t>
  </si>
  <si>
    <t>LARGE EAR PLATE</t>
  </si>
  <si>
    <t>GN-0440-149</t>
  </si>
  <si>
    <t>KING SIZE EAR PLATE WITH EAR CUSHION</t>
  </si>
  <si>
    <t>GN-0462-509</t>
  </si>
  <si>
    <t>Headband</t>
  </si>
  <si>
    <t>GN-0462-799</t>
  </si>
  <si>
    <t>Surefit Ear Hook</t>
  </si>
  <si>
    <t>GN-0473-279</t>
  </si>
  <si>
    <t>Large Leatherette Ear Cushion for Headband Models</t>
  </si>
  <si>
    <t>GN-0482-209</t>
  </si>
  <si>
    <t xml:space="preserve">Soundtube Tips </t>
  </si>
  <si>
    <t>GN-14121-10</t>
  </si>
  <si>
    <t>Neckband - Left Ear Wearing Styl</t>
  </si>
  <si>
    <t>GN-14121-11</t>
  </si>
  <si>
    <t>Neckband - Right Ear Wearing Styl</t>
  </si>
  <si>
    <t>GN-8800-01-19</t>
  </si>
  <si>
    <t>Direct Connect Cord Nortel</t>
  </si>
  <si>
    <t>GN-7550-09</t>
  </si>
  <si>
    <t>Jabra DIAL 550 Complete handset functionality with softphone</t>
  </si>
  <si>
    <t>GN-990-012-05</t>
  </si>
  <si>
    <t>Jabra Wireless Handest 450™ White</t>
  </si>
  <si>
    <t>GN-7410-209</t>
  </si>
  <si>
    <t xml:space="preserve">Jabra Speak 410 UC </t>
  </si>
  <si>
    <t>GN-GSA7410-209</t>
  </si>
  <si>
    <t xml:space="preserve">Jabra Speak 410, GSA </t>
  </si>
  <si>
    <t>GN-GSA-7510-209</t>
  </si>
  <si>
    <t>JABRA SPEAK 510 UC GSA</t>
  </si>
  <si>
    <t>GN-GSA-7510-409</t>
  </si>
  <si>
    <t xml:space="preserve">Jabra Speak 810 UC </t>
  </si>
  <si>
    <t>Jabra Link 360 USB BT Adapter</t>
  </si>
  <si>
    <t xml:space="preserve">Jabra Link 360 USB BT Adapter, MS </t>
  </si>
  <si>
    <t>GN-8800-00-99</t>
  </si>
  <si>
    <t>Speak 410 3.5 mm Quick Disconnect adapter cord</t>
  </si>
  <si>
    <t>GN-14101-34</t>
  </si>
  <si>
    <t xml:space="preserve">Speak Secure Mount </t>
  </si>
  <si>
    <t>GN-14101-75</t>
  </si>
  <si>
    <t xml:space="preserve"> Jabra Speak 710 Secure Mount </t>
  </si>
  <si>
    <t xml:space="preserve"> Jabra Link 370 USB BT Adapter </t>
  </si>
  <si>
    <t xml:space="preserve"> Jabra Link 370 USB BT Adapter, MS </t>
  </si>
  <si>
    <t>GN-14208-10</t>
  </si>
  <si>
    <t xml:space="preserve"> Kensington lock adapter (lock sold separately)</t>
  </si>
  <si>
    <t>GN-203950</t>
  </si>
  <si>
    <t>VXi VR12F Freezer Warehouse Convertible Headset</t>
  </si>
  <si>
    <t>GN-202984</t>
  </si>
  <si>
    <t>VXi VR12 Warehouse Convertible Headset</t>
  </si>
  <si>
    <t>GN-204226</t>
  </si>
  <si>
    <t xml:space="preserve">VR12 Foam Mic Cushion </t>
  </si>
  <si>
    <t>GN-204216</t>
  </si>
  <si>
    <t>VR12 Foam Ear Cushion</t>
  </si>
  <si>
    <t>GN-202765</t>
  </si>
  <si>
    <t>VXi VR11 Headset</t>
  </si>
  <si>
    <t>GN-204151</t>
  </si>
  <si>
    <t>C400-XT Convertible Bluetooth Headset</t>
  </si>
  <si>
    <t>GN-204160</t>
  </si>
  <si>
    <t xml:space="preserve">C-Series Replacement Wearing Styles Kit </t>
  </si>
  <si>
    <t>GN-204159</t>
  </si>
  <si>
    <t xml:space="preserve">C-Series Replacement Cushion Kit </t>
  </si>
  <si>
    <t>GN-204228</t>
  </si>
  <si>
    <t xml:space="preserve">Foam Mic Cover for C400-XT (10 Pcs) </t>
  </si>
  <si>
    <t>GN-204229</t>
  </si>
  <si>
    <t xml:space="preserve">Leatherette Ear Cushion for C400-XT (10 Pcs) </t>
  </si>
  <si>
    <t>GN-204230</t>
  </si>
  <si>
    <t>Foam Ear Cushion for C400-XT (10 Pcs)</t>
  </si>
  <si>
    <t>GN-204010</t>
  </si>
  <si>
    <t>BlueParrott B450-XT</t>
  </si>
  <si>
    <t>GN-204019</t>
  </si>
  <si>
    <t>B450-XT Cushion Kit</t>
  </si>
  <si>
    <t>GN-203475</t>
  </si>
  <si>
    <t>BlueParrott B350-XT</t>
  </si>
  <si>
    <t>VXi Universal Headband Cushion</t>
  </si>
  <si>
    <t>GN-203479</t>
  </si>
  <si>
    <t>B350-XT Replacement Cushion Kit</t>
  </si>
  <si>
    <t>GN-14207-41</t>
  </si>
  <si>
    <t xml:space="preserve">Jabra Noise Guide Measurement Unit with Table Stand </t>
  </si>
  <si>
    <t>GN-14207-37</t>
  </si>
  <si>
    <t xml:space="preserve">Jabra Noise Guide Table Stand </t>
  </si>
  <si>
    <t>GN-14207-38</t>
  </si>
  <si>
    <t xml:space="preserve">Jabra Noise Guide Cubicle Mount </t>
  </si>
  <si>
    <t>GN-85-00022</t>
  </si>
  <si>
    <t xml:space="preserve">GN 8000/8210 Power Supply </t>
  </si>
  <si>
    <t>GN-01-0203</t>
  </si>
  <si>
    <t xml:space="preserve">GN8000 Headset Coil Cord with Quick Disconnect </t>
  </si>
  <si>
    <t xml:space="preserve">Micro USB To AC Power Charger for Link 860 </t>
  </si>
  <si>
    <t>GN-14207-16</t>
  </si>
  <si>
    <t xml:space="preserve">Headset Hanger for PC </t>
  </si>
  <si>
    <t>GN-8800-01-20</t>
  </si>
  <si>
    <t xml:space="preserve">QD Mute Supervisory Cord for the Link 860 </t>
  </si>
  <si>
    <t>GN-230-09</t>
  </si>
  <si>
    <t xml:space="preserve">Link 230 - USB to QD adapter w/o inline call controls </t>
  </si>
  <si>
    <t>GN-260-09</t>
  </si>
  <si>
    <t xml:space="preserve">Link 260 - USB to QD Adapter </t>
  </si>
  <si>
    <t xml:space="preserve">Link 260 - USB to QD Adapter, MS </t>
  </si>
  <si>
    <t>GN-8800-00-94</t>
  </si>
  <si>
    <t xml:space="preserve">Siemens Adapter </t>
  </si>
  <si>
    <t>GN-8800-01-01</t>
  </si>
  <si>
    <t xml:space="preserve">Direct Connect Cord </t>
  </si>
  <si>
    <t>GN-8800-00-01</t>
  </si>
  <si>
    <t>GN-88001-03</t>
  </si>
  <si>
    <t xml:space="preserve">GN1216 Straight </t>
  </si>
  <si>
    <t>GN-88001-04</t>
  </si>
  <si>
    <t xml:space="preserve">GN1216 Coiled </t>
  </si>
  <si>
    <t>GN-88001-96</t>
  </si>
  <si>
    <t xml:space="preserve">GN1210 Straight </t>
  </si>
  <si>
    <t>GN-88011-100</t>
  </si>
  <si>
    <t xml:space="preserve">GN1200 for select Evolve headsets </t>
  </si>
  <si>
    <t>GN-0220-649</t>
  </si>
  <si>
    <t xml:space="preserve">PJ327 Conversion Plug </t>
  </si>
  <si>
    <t>GN-14201-09</t>
  </si>
  <si>
    <t xml:space="preserve">Jabra MSH adapter for Alcatel </t>
  </si>
  <si>
    <t>GN-14201-10</t>
  </si>
  <si>
    <t xml:space="preserve">Jabra DHSG adapter for GN 9120, GN 9300 </t>
  </si>
  <si>
    <t>GN-14201-16</t>
  </si>
  <si>
    <t xml:space="preserve">Jabra Link HHC Adapter </t>
  </si>
  <si>
    <t>GN-14201-19</t>
  </si>
  <si>
    <t xml:space="preserve">Jabra EHS Adapter for Avaya </t>
  </si>
  <si>
    <t>GN-14201-20</t>
  </si>
  <si>
    <t xml:space="preserve">Jabra EHS Adapter for Avaya, Alcatel, ShoreTel, Toshiba </t>
  </si>
  <si>
    <t xml:space="preserve">Jabra EHS Adapter for Cisco </t>
  </si>
  <si>
    <t>GN-14201-27</t>
  </si>
  <si>
    <t xml:space="preserve">Jabra EHS Adapter for AudioCodes </t>
  </si>
  <si>
    <t>GN-14201-30</t>
  </si>
  <si>
    <t xml:space="preserve">Jabra EHS Adapter, USB to AUX/RJ9 </t>
  </si>
  <si>
    <t xml:space="preserve">Jabra EHS Adapter for NEC </t>
  </si>
  <si>
    <t>GN-14201-32</t>
  </si>
  <si>
    <t>Jabra EHS Adapter for Nortel (Aux-USB</t>
  </si>
  <si>
    <t>GN-14201-36</t>
  </si>
  <si>
    <t>Jabra MHS Adapter for Alcatel (Jabra PRO &amp; GO)</t>
  </si>
  <si>
    <t xml:space="preserve">Jabra EHS Adapter for Panasonic </t>
  </si>
  <si>
    <t>GN-14201-41</t>
  </si>
  <si>
    <t xml:space="preserve">Jabra EHS Adapter for Cisco 8941 &amp; 8945 </t>
  </si>
  <si>
    <t xml:space="preserve">Jabra EHS Adapter for Cisco 78xx, 79xx &amp; 8800 </t>
  </si>
  <si>
    <t>GN-14201-44</t>
  </si>
  <si>
    <t>Jabra EHS Adapter for NEC (Select DT models)</t>
  </si>
  <si>
    <t>GN-01-0369</t>
  </si>
  <si>
    <t xml:space="preserve">GN1000 RHL </t>
  </si>
  <si>
    <t>GN-203774</t>
  </si>
  <si>
    <t xml:space="preserve">X50-G USB Adapter - USB to QD adapter w/o inline call controls </t>
  </si>
  <si>
    <t>GN-203775</t>
  </si>
  <si>
    <t xml:space="preserve">X50-P USB Adapter - USB to QD adapter w/o inline call controls </t>
  </si>
  <si>
    <t>GN-203773</t>
  </si>
  <si>
    <t xml:space="preserve">X50-V USB Adapter - USB to QD adapter w/o inline call controls </t>
  </si>
  <si>
    <t>GN-202928</t>
  </si>
  <si>
    <t xml:space="preserve">X100-G USB Adapter  - USB to QD adapter w/ volume &amp; mute controls </t>
  </si>
  <si>
    <t>GN-202927</t>
  </si>
  <si>
    <t>X100-P USB Adapter  - USB to QD adapter w/ volume &amp; mute controls</t>
  </si>
  <si>
    <t>GN-202926</t>
  </si>
  <si>
    <t xml:space="preserve">X100-V USB Adapter  - USB to QD adapter w/ volume &amp; mute controls </t>
  </si>
  <si>
    <t>GN-202932</t>
  </si>
  <si>
    <t xml:space="preserve">X200-G USB Adapter - USB to QD adapter w/ inline call controls </t>
  </si>
  <si>
    <t>GN-202931</t>
  </si>
  <si>
    <t>X200-P USB Adapter - USB to QD adapter w/ inline call controls</t>
  </si>
  <si>
    <t>GN-202930</t>
  </si>
  <si>
    <t xml:space="preserve">X200-V USB Adapter - USB to QD adapter w/ inline call controls </t>
  </si>
  <si>
    <t>GN-203470</t>
  </si>
  <si>
    <t xml:space="preserve">VXi ConneXt G - Switch between desktop phone &amp; PC </t>
  </si>
  <si>
    <t>GN-203465</t>
  </si>
  <si>
    <t xml:space="preserve">VXi ConneXt P - Switch between desktop phone &amp; PC </t>
  </si>
  <si>
    <t>GN-203460</t>
  </si>
  <si>
    <t>VXi ConneXt V - Switch between desktop phone &amp; PC</t>
  </si>
  <si>
    <t>GN-201400</t>
  </si>
  <si>
    <t xml:space="preserve">QD 1026G Direct Connect Cord </t>
  </si>
  <si>
    <t>GN-201797</t>
  </si>
  <si>
    <t xml:space="preserve">QD 1026P Direct Connect Cord </t>
  </si>
  <si>
    <t>GN-30047</t>
  </si>
  <si>
    <t xml:space="preserve">QD 1026V Direct Connect Cord </t>
  </si>
  <si>
    <t>GN-202717</t>
  </si>
  <si>
    <t xml:space="preserve">QD 1027G Direct Connect Cord </t>
  </si>
  <si>
    <t>GN-202696</t>
  </si>
  <si>
    <t>QD 1027P Direct Connect Cord</t>
  </si>
  <si>
    <t>GN-30005</t>
  </si>
  <si>
    <t xml:space="preserve">QD 1027V Direct Connect Cord </t>
  </si>
  <si>
    <t>GN-201492</t>
  </si>
  <si>
    <t xml:space="preserve">QD 1029P Direct Connect Cord </t>
  </si>
  <si>
    <t>GN-200419</t>
  </si>
  <si>
    <t xml:space="preserve">QD 1029V Direct Connect Cord </t>
  </si>
  <si>
    <t>GN-203555</t>
  </si>
  <si>
    <t xml:space="preserve">QD 1077G Direct Connect Cord </t>
  </si>
  <si>
    <t>GN-203557</t>
  </si>
  <si>
    <t xml:space="preserve">QD 1077V Direct Connect Cord </t>
  </si>
  <si>
    <t>GN-202041</t>
  </si>
  <si>
    <t xml:space="preserve">QD 1085V Direct Connect Cord </t>
  </si>
  <si>
    <t>GN-203552</t>
  </si>
  <si>
    <t xml:space="preserve">QD 1086G Direct Connect Cord </t>
  </si>
  <si>
    <t>GN-203553</t>
  </si>
  <si>
    <t xml:space="preserve">QD 1086P Direct Connect Cord </t>
  </si>
  <si>
    <t>GN-203554</t>
  </si>
  <si>
    <t xml:space="preserve">QD 1086V Direct Connect Cord </t>
  </si>
  <si>
    <t>GN-201629</t>
  </si>
  <si>
    <t xml:space="preserve">QD 1095G Direct Connect Cord </t>
  </si>
  <si>
    <t>GN-10058</t>
  </si>
  <si>
    <t xml:space="preserve">QD 1095V Direct Connect Cord </t>
  </si>
  <si>
    <t>GN-203532</t>
  </si>
  <si>
    <t xml:space="preserve">QD 1096G Direct Connect Cord </t>
  </si>
  <si>
    <t>GN-201451</t>
  </si>
  <si>
    <t xml:space="preserve">QD 1096V Direct Connect Cord </t>
  </si>
  <si>
    <t>GN-13018</t>
  </si>
  <si>
    <t xml:space="preserve">QD 1000 - V QD 10ft extension </t>
  </si>
  <si>
    <t>GN-202911</t>
  </si>
  <si>
    <t xml:space="preserve">QD 1030-G Soundcard Cord </t>
  </si>
  <si>
    <t>GN-202687</t>
  </si>
  <si>
    <t xml:space="preserve">QD 1030-P Soundcard Cord </t>
  </si>
  <si>
    <t>GN-30069</t>
  </si>
  <si>
    <t xml:space="preserve">QD 1030-V Soundcard Cord </t>
  </si>
  <si>
    <t>GN-202339</t>
  </si>
  <si>
    <t xml:space="preserve">Y Cord-G with Inline Mute </t>
  </si>
  <si>
    <t>GN-202340</t>
  </si>
  <si>
    <t>Y Cord-P with Inline Mute</t>
  </si>
  <si>
    <t>GN-202972</t>
  </si>
  <si>
    <t>Y Cord-V with Inline Mute</t>
  </si>
  <si>
    <t>GN-203367</t>
  </si>
  <si>
    <t>OmniCord-P</t>
  </si>
  <si>
    <t>GN-203366</t>
  </si>
  <si>
    <t>OmniCord-G</t>
  </si>
  <si>
    <t>GN-203365</t>
  </si>
  <si>
    <t>OmniCord-V</t>
  </si>
  <si>
    <t>GN-203930</t>
  </si>
  <si>
    <t>VXi VEHS-A2 for Avaya</t>
  </si>
  <si>
    <t>GN-203414</t>
  </si>
  <si>
    <t>VXi VEHS-C1 for Cisco 78xx, 79xx &amp; 8800</t>
  </si>
  <si>
    <t>GN-203411</t>
  </si>
  <si>
    <t>VXi VEHS-P1 for Polycom</t>
  </si>
  <si>
    <t>GN-203412</t>
  </si>
  <si>
    <t>VXi VEHS-S1 for Snom</t>
  </si>
  <si>
    <t>GN-1003945</t>
  </si>
  <si>
    <t xml:space="preserve">8800-01 Upgrade Cord </t>
  </si>
  <si>
    <t xml:space="preserve">Cordless/Mobile Adapter </t>
  </si>
  <si>
    <t xml:space="preserve">Supervisory Cord - Enable on/off muting </t>
  </si>
  <si>
    <t>GN-01-0418</t>
  </si>
  <si>
    <t>P-10 Adapter QD (25 Pc)</t>
  </si>
  <si>
    <t>GN-0492-139</t>
  </si>
  <si>
    <t xml:space="preserve">Headset Hanger </t>
  </si>
  <si>
    <t>GN-14208-14</t>
  </si>
  <si>
    <t xml:space="preserve">USB-C Adapter </t>
  </si>
  <si>
    <t>GN-14301-42</t>
  </si>
  <si>
    <t>Jabra Nylon Pouches (20 Pack)</t>
  </si>
  <si>
    <t>GN-14601-01</t>
  </si>
  <si>
    <t>QD Converter Lock (10 Pack)</t>
  </si>
  <si>
    <t>GN-1600-719</t>
  </si>
  <si>
    <t xml:space="preserve">Danaswitch (New) With headset stand </t>
  </si>
  <si>
    <t>GN-8730-009</t>
  </si>
  <si>
    <t xml:space="preserve">QD to QD Coiled Extension Cord </t>
  </si>
  <si>
    <t>GN-8734-599</t>
  </si>
  <si>
    <t xml:space="preserve">Quick Disconnect to Dual 3.5mm Jacks for PC </t>
  </si>
  <si>
    <t>GN-8734-749</t>
  </si>
  <si>
    <t xml:space="preserve">Quick Disconnect to 3.5mm Jack, Stereo Plug for Mobile Phone </t>
  </si>
  <si>
    <t>GN-8735-019</t>
  </si>
  <si>
    <t xml:space="preserve">Quick Disconnect to 3.5mm with Mute Switch </t>
  </si>
  <si>
    <t>GN-8800-00-101</t>
  </si>
  <si>
    <t xml:space="preserve">Converter RJ9 4P4C-RJ6 6P4C </t>
  </si>
  <si>
    <t>GN-8800-00-25</t>
  </si>
  <si>
    <t xml:space="preserve">Link 180 Cord </t>
  </si>
  <si>
    <t>GN-8800-00-46</t>
  </si>
  <si>
    <t xml:space="preserve">Mobile Quick Disconnect to 2.5mm Cord </t>
  </si>
  <si>
    <t>GN-8800-00-55</t>
  </si>
  <si>
    <t xml:space="preserve">Mobile Phone Cord </t>
  </si>
  <si>
    <t>GN-8800-00-75</t>
  </si>
  <si>
    <t xml:space="preserve">2.5mm To RJ-9 Adapter </t>
  </si>
  <si>
    <t>GN-8800-00-79</t>
  </si>
  <si>
    <t xml:space="preserve">Link Mobile </t>
  </si>
  <si>
    <t>GN-8800-00-87</t>
  </si>
  <si>
    <t xml:space="preserve">Mobility Adapter </t>
  </si>
  <si>
    <t>GN-8800-00-103</t>
  </si>
  <si>
    <t>Mobility Adapter (iPhone 6 &amp; 6S)</t>
  </si>
  <si>
    <t>Cord 2m coiled; 2.5mm plug for Panasonic</t>
  </si>
  <si>
    <t>GN-8855-00-00</t>
  </si>
  <si>
    <t xml:space="preserve">QD to QD Mute Switch </t>
  </si>
  <si>
    <t>GN-203255</t>
  </si>
  <si>
    <t>VXi Clothing Clips (200 pcs)</t>
  </si>
  <si>
    <t>26599-989-999</t>
  </si>
  <si>
    <t>Jabra Evolve2 65 Link380a UC Stereo Black</t>
  </si>
  <si>
    <t>01-0369</t>
  </si>
  <si>
    <t>Jabra GN1000 Remote Handset Lifter</t>
  </si>
  <si>
    <t>Product Model</t>
  </si>
  <si>
    <t>Part Number</t>
  </si>
  <si>
    <t>Plantronics</t>
  </si>
  <si>
    <t>W445</t>
  </si>
  <si>
    <t>PLN-203948-01</t>
  </si>
  <si>
    <t>Convertible, W445</t>
  </si>
  <si>
    <t>W440</t>
  </si>
  <si>
    <t>PLN-203947-01</t>
  </si>
  <si>
    <t>Convertible, W440</t>
  </si>
  <si>
    <t>W430</t>
  </si>
  <si>
    <t>PLN-82396-01</t>
  </si>
  <si>
    <t>Over-the-ear, W430</t>
  </si>
  <si>
    <t>W420</t>
  </si>
  <si>
    <t>PLN-84008-01</t>
  </si>
  <si>
    <t>Binaural, W420</t>
  </si>
  <si>
    <t>W410</t>
  </si>
  <si>
    <t>PLN-84007-01</t>
  </si>
  <si>
    <t>Monaural, W410</t>
  </si>
  <si>
    <t>PLN-211203-01</t>
  </si>
  <si>
    <t>Savi 8245 UC, S8245 C, D200 USB-A,UNLIMITED TT,CONV,DECT 6.0,NA</t>
  </si>
  <si>
    <t>8245 MS</t>
  </si>
  <si>
    <t>PLN-211204-01</t>
  </si>
  <si>
    <t>Savi 8245 UC, S8245-M C USB-A, D200 USB-A,UNLIMITED TT,CONV,MOC,DECT 6.0,NA</t>
  </si>
  <si>
    <t>PLN-211200-01</t>
  </si>
  <si>
    <t>Savi 8240 UC, S8240 C, D200 USB-A ,CONVERTIBLE,DECT 6.0,NA</t>
  </si>
  <si>
    <t>8240 MS</t>
  </si>
  <si>
    <t>PLN-211201-01</t>
  </si>
  <si>
    <t>Savi 8240 UC, S8240-M C USB-A, D200 USB-A,CONVERTIBLE,MOC,DECT 6.0,NA</t>
  </si>
  <si>
    <t>PLN-209215-01</t>
  </si>
  <si>
    <t>Savi 8220 UC, S8220 C, D200 USB-A, OTH, STEREO, DECT 6.0, NA</t>
  </si>
  <si>
    <t>8220 MS</t>
  </si>
  <si>
    <t>PLN-209214-01</t>
  </si>
  <si>
    <t>Savi 8220 UC, S8220-M C USB-A,D200 USB-A,OTH,STEREO,MSFT CERT, DECT 6.0, NA</t>
  </si>
  <si>
    <t>PLN-209213-01</t>
  </si>
  <si>
    <t>Savi 8210 UC, S8210 C USB-A, D200 USB-A, OTH, MONO, DECT 6.0, NA</t>
  </si>
  <si>
    <t>8210 MS</t>
  </si>
  <si>
    <t>PLN-209212-01</t>
  </si>
  <si>
    <t>Savi 8210 UC, S8210-M C USB-A, D200 USB-A ,OTH,MONO, MSFT CERT, DECT 6.0, NA</t>
  </si>
  <si>
    <t>PLN-69519-01</t>
  </si>
  <si>
    <t xml:space="preserve">USB Charging Cable, Non-magnetic/SMIF Charging* (W430) </t>
  </si>
  <si>
    <t>PLN-72913-01</t>
  </si>
  <si>
    <t xml:space="preserve">Eartips: 5, 3 with Gel Tips (W430) </t>
  </si>
  <si>
    <t>PLN-81423-01</t>
  </si>
  <si>
    <t xml:space="preserve">AC Power Supply, Straight Plug </t>
  </si>
  <si>
    <t>PLN-82905-21</t>
  </si>
  <si>
    <t>Over-the-ear Headset with Eartips and Charge Cradle (W430)</t>
  </si>
  <si>
    <t>PLN-83322-11</t>
  </si>
  <si>
    <t>Over-the-head Headset and Charge Cradle (W420)</t>
  </si>
  <si>
    <t>PLN-83323-11</t>
  </si>
  <si>
    <t>Over-the-head Headset and Charge Cradle (W410)</t>
  </si>
  <si>
    <t>PLN-83356-01</t>
  </si>
  <si>
    <t>Convertible Headset and Charge Cradle, Fit Kit (W440)</t>
  </si>
  <si>
    <t>PLN-83550-01</t>
  </si>
  <si>
    <t>D100™ DECT 6.0 USB Adapter</t>
  </si>
  <si>
    <t>PLN-83769-11</t>
  </si>
  <si>
    <t>Base Charging Cradle** (W430)</t>
  </si>
  <si>
    <t>PLN-83776-11</t>
  </si>
  <si>
    <t>Over-the-head Charging Cradle (W410/W420)</t>
  </si>
  <si>
    <t>PLN-83876-01</t>
  </si>
  <si>
    <t xml:space="preserve">D100 DECT 6.0 USB Adapter with Charge Base, USB Cable </t>
  </si>
  <si>
    <t>PLN-202599-03</t>
  </si>
  <si>
    <t>W410/420 Battery</t>
  </si>
  <si>
    <t xml:space="preserve">PLN-84599-01 </t>
  </si>
  <si>
    <t xml:space="preserve">Standard Charging Cradle (W440) </t>
  </si>
  <si>
    <t>PLN-84600-01</t>
  </si>
  <si>
    <t>Deluxe Charging Cradle (W445)</t>
  </si>
  <si>
    <t>PLN-84604-01</t>
  </si>
  <si>
    <t>Savi Fit Kit, Earloops/Earbuds/Foam Cushions (W440)</t>
  </si>
  <si>
    <t>PLN-84605-01</t>
  </si>
  <si>
    <t xml:space="preserve">Over-the-head Headband (W440) </t>
  </si>
  <si>
    <t>PLN-84606-01</t>
  </si>
  <si>
    <t>Behind-the-head Neckband (W440)</t>
  </si>
  <si>
    <t>PLN-86005-01</t>
  </si>
  <si>
    <t>Charge Base, 1 Unit, 3 Pins (with AC Power Supply)</t>
  </si>
  <si>
    <t>PLN-86006-01</t>
  </si>
  <si>
    <t>Hard Carrying Case (W430/W440)</t>
  </si>
  <si>
    <t>PLN-87229-01</t>
  </si>
  <si>
    <t>Leatherette Ear Cushions, 2 Units (W440)</t>
  </si>
  <si>
    <t>PLN-89109-01</t>
  </si>
  <si>
    <t>Over-the-head Headset Carrying Case (W410/W420)</t>
  </si>
  <si>
    <t>PLN-204755-01</t>
  </si>
  <si>
    <t>Savi Spare Battery with on/off switch (W440/W445)</t>
  </si>
  <si>
    <t xml:space="preserve">PLN-84600-01 </t>
  </si>
  <si>
    <t>Deluxe Charging Cradle</t>
  </si>
  <si>
    <t>PLN-84601-01</t>
  </si>
  <si>
    <t>Deluxe Charging Cradle Kit</t>
  </si>
  <si>
    <t>PLN-84602-01</t>
  </si>
  <si>
    <t>USB Deluxe Charger</t>
  </si>
  <si>
    <t>PLN-84603-01</t>
  </si>
  <si>
    <t>USB Deluxe Charging Kit</t>
  </si>
  <si>
    <t>PLN-87527-01</t>
  </si>
  <si>
    <t>Foam Ear Loop Covers, 20 Units (W440)</t>
  </si>
  <si>
    <t>PLN-88940-01</t>
  </si>
  <si>
    <t>Spare Eartips, 25 Units, Small (W440)</t>
  </si>
  <si>
    <t>PLN-88941-01</t>
  </si>
  <si>
    <t>Spare Eartips, 25 Units, Medium (W440)</t>
  </si>
  <si>
    <t>W710</t>
  </si>
  <si>
    <t>PLN-84003-01</t>
  </si>
  <si>
    <t>Monaural, W710</t>
  </si>
  <si>
    <t>W720</t>
  </si>
  <si>
    <t>PLN-83544-01</t>
  </si>
  <si>
    <t>Binaural, W720</t>
  </si>
  <si>
    <t>W730</t>
  </si>
  <si>
    <t>PLN-83543-11</t>
  </si>
  <si>
    <t>Over-the-Ear, W730</t>
  </si>
  <si>
    <t>W740</t>
  </si>
  <si>
    <t>PLN-84001-10</t>
  </si>
  <si>
    <t>Convertible, W740</t>
  </si>
  <si>
    <t>W745</t>
  </si>
  <si>
    <t>PLN-86507-01</t>
  </si>
  <si>
    <t>Convertible + deluxe charging cradle kit, W745</t>
  </si>
  <si>
    <t>W8210</t>
  </si>
  <si>
    <t>PLN-207309-01</t>
  </si>
  <si>
    <t>W8210,SAVI 3IN1,OTH MON,UC,DECT 6.0,NA</t>
  </si>
  <si>
    <t>W8210 MS</t>
  </si>
  <si>
    <t>PLN-207322-01</t>
  </si>
  <si>
    <t>W8210-M,SAVI 3IN1,OTH MON,MSFT CERT,DECT</t>
  </si>
  <si>
    <t>W8220</t>
  </si>
  <si>
    <t>PLN-207325-01</t>
  </si>
  <si>
    <t>W8220,SAVI 3IN1,OTH STEREO,UC,DECT 6.0</t>
  </si>
  <si>
    <t>W8220 MS</t>
  </si>
  <si>
    <t>PLN-207326-01</t>
  </si>
  <si>
    <t>W8220-M,SAVI 3IN1,OTH ST, MSFT CERT, 6.0</t>
  </si>
  <si>
    <t>S8240</t>
  </si>
  <si>
    <t>PLN-210979-01</t>
  </si>
  <si>
    <t>S8240, SAVI 3IN1, CONVERTIBLE, UC, DECT 6.0, NA</t>
  </si>
  <si>
    <t>S8240 MS</t>
  </si>
  <si>
    <t>PLN-211819-01</t>
  </si>
  <si>
    <t>S8240-M, SAVI 3IN1, CONVERTIBLE, MOC, DECT 6.0, NA</t>
  </si>
  <si>
    <t>S8245</t>
  </si>
  <si>
    <t>PLN-211837-01</t>
  </si>
  <si>
    <t>S8245, UNLIMITED TALK TIME, SAVI 3IN1, CONVERTIBLE, UC, DECT 6.0, NA</t>
  </si>
  <si>
    <t>S8245 MS</t>
  </si>
  <si>
    <t>PLN-214900-01</t>
  </si>
  <si>
    <t>S8245-M, UNLIMITED TALK TIME, SAVI 3IN1, CONVERTIBLE, MOC, DECT 6.0, NA</t>
  </si>
  <si>
    <t>PLN-71782-01</t>
  </si>
  <si>
    <t>Ear Cushions, Leatherette (2) (W710/W720)</t>
  </si>
  <si>
    <t>PLN-72742-02</t>
  </si>
  <si>
    <t>Headband Support (W710/W720)</t>
  </si>
  <si>
    <t>Eartips: 5, 3 with Gel Tips (W730)</t>
  </si>
  <si>
    <t>AC Power Supply, Straight Plug</t>
  </si>
  <si>
    <t>Over-the-ear Headset and Charge Cradle (W730)</t>
  </si>
  <si>
    <t>Over-the-head Headset and Charge Cradle (W720)</t>
  </si>
  <si>
    <t>Over-the-head Headset and Charge Cradle (W710)</t>
  </si>
  <si>
    <t>WH500 Convertible Headset and Charge Cradle (W740)</t>
  </si>
  <si>
    <t>Charging Cradle (W730)</t>
  </si>
  <si>
    <t>Over-the-head Charging Cradle (W710/W720)</t>
  </si>
  <si>
    <t>PLN-84598-01</t>
  </si>
  <si>
    <t>Savi Spare Battery (W740/W745)</t>
  </si>
  <si>
    <t>PLN-84599-01</t>
  </si>
  <si>
    <t>Standard Charging Cradle (W740)</t>
  </si>
  <si>
    <t>W710/720 Battery with removal too</t>
  </si>
  <si>
    <t>Deluxe Charging Cradle (W745)</t>
  </si>
  <si>
    <t>Savi Fit Kit, Earloops/Earbuds/Foam Cushions (W740/W745)</t>
  </si>
  <si>
    <t>Over-the-head Headband (W740/W745)</t>
  </si>
  <si>
    <t>Behind-the-head Neckband (W740/W745)</t>
  </si>
  <si>
    <t>PLN-86009-01</t>
  </si>
  <si>
    <t>Telephone Interface Cable</t>
  </si>
  <si>
    <t>PLN-86658-01</t>
  </si>
  <si>
    <t>USB Cable</t>
  </si>
  <si>
    <t>Leatherette Ear Cushions, 2 Units (W740/W745</t>
  </si>
  <si>
    <t>PLN-71781-01</t>
  </si>
  <si>
    <t xml:space="preserve">Ear Cushions, Foam (2) (W710/W720) </t>
  </si>
  <si>
    <t>PLN-80287-01</t>
  </si>
  <si>
    <t>On-Line Indicator, Straight Plug</t>
  </si>
  <si>
    <t xml:space="preserve">Over-the-ear Headset and Charge Cradle (W730),  </t>
  </si>
  <si>
    <t xml:space="preserve"> Over-the-head Headset and Charge Cradle (W720),</t>
  </si>
  <si>
    <t>Deluxe Charging Cradle Kit (W740) (Deluxe Charging Cradle + Spare Battery)</t>
  </si>
  <si>
    <t>USB Deluxe Charger (W745)</t>
  </si>
  <si>
    <t>USB Deluxe Charging Kit (W740) (Deluxe Charger + Spare Battery)</t>
  </si>
  <si>
    <t>PLN-84609-01</t>
  </si>
  <si>
    <t>Charge Base, 5 Units, 3 Pins (with AC Power Supply)</t>
  </si>
  <si>
    <t>Foam Ear Loop Covers, 20 Units (W740/W745)</t>
  </si>
  <si>
    <t>Spare Eartips, 25 units, small (W740/W745),</t>
  </si>
  <si>
    <t>Spare Eartips, 25 units, medium (W740/W745)</t>
  </si>
  <si>
    <t>Savi Spare Battery with on/off switch (W740/W745)</t>
  </si>
  <si>
    <t>PLN-37818-11</t>
  </si>
  <si>
    <t>PS-11, Electronic Hook Switch, Siemens®</t>
  </si>
  <si>
    <t>PLN-37820-11</t>
  </si>
  <si>
    <t>PT-31, Electronic Hook Switch, Avaya</t>
  </si>
  <si>
    <t>PLN-38350-13</t>
  </si>
  <si>
    <t>APC-43, Electronic Hook Switch, Cisco</t>
  </si>
  <si>
    <t xml:space="preserve">PLN-38439-11 </t>
  </si>
  <si>
    <t>APP-51, Electronic Hook Switch, Polycom</t>
  </si>
  <si>
    <t>PLN-38633-11</t>
  </si>
  <si>
    <t>APV-66, Electronic Hook Switch, Avaya (EU24)</t>
  </si>
  <si>
    <t xml:space="preserve">PLN-38734-11  </t>
  </si>
  <si>
    <t>APV-63, Electronic Hook Switch, Avaya</t>
  </si>
  <si>
    <t>PLN-60961-35</t>
  </si>
  <si>
    <t>HL10 Handset Lifter, Straight Plug</t>
  </si>
  <si>
    <t>PLN-78887-01</t>
  </si>
  <si>
    <t>RD-1 Electronic Hook Switch, Shoretel</t>
  </si>
  <si>
    <t>PLN-85638-01</t>
  </si>
  <si>
    <t>EHS Extension Cable, Cisco</t>
  </si>
  <si>
    <t>PLN-87317-01</t>
  </si>
  <si>
    <t>APC-45, Electronic Hook Switch</t>
  </si>
  <si>
    <t>PLN-87327-01</t>
  </si>
  <si>
    <t>APD-80, Electronic Hook Switch</t>
  </si>
  <si>
    <t>PLN-89280-11</t>
  </si>
  <si>
    <t>APN-91, Electronic Hook Switch, NEC</t>
  </si>
  <si>
    <t xml:space="preserve">PLN-201081-01 </t>
  </si>
  <si>
    <t>APC-82, Electronic Hook Switch, Cisco</t>
  </si>
  <si>
    <t>PLN-202578-01</t>
  </si>
  <si>
    <t>APU-72, Electronic Hook Switch, Avaya</t>
  </si>
  <si>
    <t xml:space="preserve">PLN-211076-01 </t>
  </si>
  <si>
    <t xml:space="preserve">APU-76 EHS Cable </t>
  </si>
  <si>
    <t>PLN-212539-01</t>
  </si>
  <si>
    <t>APA-24 Alcatel EHS Cable</t>
  </si>
  <si>
    <t>PLN-211044-01</t>
  </si>
  <si>
    <t>Spare, Charge Base, 5 Units, 3 Pins, Savi 8200 Series</t>
  </si>
  <si>
    <t>PLN-211423-01</t>
  </si>
  <si>
    <t>Spare, Headset &amp; Charging Cradle, W8210, AMER</t>
  </si>
  <si>
    <t>PLN-211425-01</t>
  </si>
  <si>
    <t>Spare, Battery W8210 (Mono) with Removal Tool</t>
  </si>
  <si>
    <t>CS510</t>
  </si>
  <si>
    <t>PLN-84691-01</t>
  </si>
  <si>
    <t>CS510 over-the-head wireless Dect headset system.</t>
  </si>
  <si>
    <t>Savi 7210 Office</t>
  </si>
  <si>
    <t>PLN-213010-01</t>
  </si>
  <si>
    <t>SAVI 7210 OFFICE, S7210 D, OTH, MONO, DECT 6.0, NA</t>
  </si>
  <si>
    <t>CS510/HL10</t>
  </si>
  <si>
    <t>PLN-84691-11</t>
  </si>
  <si>
    <t>CS510 Over-the head, with lifter, wireless Dect headset system</t>
  </si>
  <si>
    <t>CS520/HL10</t>
  </si>
  <si>
    <t>PLN-84692-11</t>
  </si>
  <si>
    <t>CS520 Over-the-head, with lifter wireless Dect headset system</t>
  </si>
  <si>
    <t>Savi 7220 Office</t>
  </si>
  <si>
    <t>PLN-213020-01</t>
  </si>
  <si>
    <t>SAVI 7220 OFFICE, S7220 D, OTH, BIN, DECT 6.0, NA</t>
  </si>
  <si>
    <t>CS530</t>
  </si>
  <si>
    <t>PLN-86305-01</t>
  </si>
  <si>
    <t>CS530 over-the-ear, Noise cancelling, wireless Dect headset system</t>
  </si>
  <si>
    <t>Voyager 5200 Office  – 1 Way Base</t>
  </si>
  <si>
    <t>PLN-212722-01</t>
  </si>
  <si>
    <t>VOYAGER 5200 OFFICE,1-WAY BASE,STD USB CHRG CABLE,NA</t>
  </si>
  <si>
    <t>CS530/HL10</t>
  </si>
  <si>
    <t>PLN-86305-11</t>
  </si>
  <si>
    <t>CS530, Over-the-ear, with lifter, wirless DECT headset system</t>
  </si>
  <si>
    <t>CS545-XD</t>
  </si>
  <si>
    <t>PLN-88909-01</t>
  </si>
  <si>
    <t>CS545 XD Wireless headset system</t>
  </si>
  <si>
    <t>CS540-XD</t>
  </si>
  <si>
    <t>PLN-88283-01</t>
  </si>
  <si>
    <t>CS540 XD Wireless headset system</t>
  </si>
  <si>
    <t>CS520-XD</t>
  </si>
  <si>
    <t>PLN-88285-01</t>
  </si>
  <si>
    <t>CS520 XD Over-the-head Binaural wirless headset system</t>
  </si>
  <si>
    <t>CS510-XD</t>
  </si>
  <si>
    <t>PLN-88284-01</t>
  </si>
  <si>
    <t>CS510, XD Over-the-head Monaural wireless headset system</t>
  </si>
  <si>
    <t>Ear Cushions, Leatherette (2) (CS510/CS520)</t>
  </si>
  <si>
    <t>Headband Support (CS510/CS520)</t>
  </si>
  <si>
    <t>Eartips: 5, 3 with Gel Tips (CS530)</t>
  </si>
  <si>
    <t>CS Spare Battery (CS540XD/CS545XD)</t>
  </si>
  <si>
    <t>Fit Kit, Earloops/Earbuds/Foam Ear Loop Cover (CS540)</t>
  </si>
  <si>
    <t>Over-the-head Headband (CS540)</t>
  </si>
  <si>
    <t>PLN-86007-01</t>
  </si>
  <si>
    <t>PLN-86540-01</t>
  </si>
  <si>
    <t xml:space="preserve"> Eartips, Earloops (CS540-XD/CS545-XD)</t>
  </si>
  <si>
    <t>PLN-86179-01</t>
  </si>
  <si>
    <t>Convertible Headset (CS540)</t>
  </si>
  <si>
    <t>PLN-86180-01</t>
  </si>
  <si>
    <t>Battery (CS540)</t>
  </si>
  <si>
    <t>Eartips, Earloops (CS540)</t>
  </si>
  <si>
    <t>PLN-86919-01</t>
  </si>
  <si>
    <t>Over-the-head Headset (CS510)</t>
  </si>
  <si>
    <t>PLN-86920-01</t>
  </si>
  <si>
    <t>Over-the-head Headset (CS520)</t>
  </si>
  <si>
    <t>PLN-87235-01</t>
  </si>
  <si>
    <t>Over-the-ear Headset (CS530)</t>
  </si>
  <si>
    <t>PLN-88286-01</t>
  </si>
  <si>
    <t>Spare Battery Charging Cable and AC Adapter</t>
  </si>
  <si>
    <t>PLN-89525-01</t>
  </si>
  <si>
    <t>Spare Battery Charging Cable</t>
  </si>
  <si>
    <t>PLN-89547-01</t>
  </si>
  <si>
    <t xml:space="preserve">Over-the-head Headset (CS510-XD)     </t>
  </si>
  <si>
    <t>PLN-89548-01</t>
  </si>
  <si>
    <t xml:space="preserve">Over-the-head Headset (CS520-XD)      </t>
  </si>
  <si>
    <t>PLN-89549-01</t>
  </si>
  <si>
    <t>Over-the-ear Headset (CS540-XD/CS545-XD)</t>
  </si>
  <si>
    <t>PLN-89804-01</t>
  </si>
  <si>
    <t>Spare Battery Charging Cable and Battery</t>
  </si>
  <si>
    <t>PLN-89806-01</t>
  </si>
  <si>
    <t xml:space="preserve">Spare Battery Charging Cable, AC Adapter and Battery  (CS545-XD) </t>
  </si>
  <si>
    <t>CS510/520 Battery with removal tool</t>
  </si>
  <si>
    <t>PLN-65116-02</t>
  </si>
  <si>
    <t>On-Line Indicator Light</t>
  </si>
  <si>
    <t>Ear Cushions, Foam (2) (CS510/CS520)</t>
  </si>
  <si>
    <t>Behind-the-head Headband (CS540)</t>
  </si>
  <si>
    <t>Foam Ear Loop Covers, 20 Units (CS540),</t>
  </si>
  <si>
    <t>Spare Eartips, 25 Units, Small (CS540),</t>
  </si>
  <si>
    <t>Spare Eartips, 25 Units, Medium (CS540)</t>
  </si>
  <si>
    <t>Over-the-ear Charging Cradle - charging only (CS530)</t>
  </si>
  <si>
    <t>Over-the-head Charging Cradle - charging only (CS510/CS520)</t>
  </si>
  <si>
    <t>Battery (CS540-XD</t>
  </si>
  <si>
    <t>Standard Charging Cradle - charging only (CS540)</t>
  </si>
  <si>
    <t>Deluxe Charging Cradle (C540XD/545XD)</t>
  </si>
  <si>
    <t>PS-11, Electronic Hook Switch, Siemens</t>
  </si>
  <si>
    <t xml:space="preserve">PLN-38734-11 </t>
  </si>
  <si>
    <t>APC-45, Electronic Hook Switch, Cisco</t>
  </si>
  <si>
    <t>PLN-201081-01</t>
  </si>
  <si>
    <t>PLN-202268-01</t>
  </si>
  <si>
    <t>API-28, Electronic Hook Switch, Apple iPhones</t>
  </si>
  <si>
    <t>APU-72, Electronic Hook Switch, Avaya (Nortel)/Cisco</t>
  </si>
  <si>
    <t>PLN-211076-01</t>
  </si>
  <si>
    <t>APU-76 EHS Cable</t>
  </si>
  <si>
    <t>Voyager Legend CS</t>
  </si>
  <si>
    <t>PLN-88863-01</t>
  </si>
  <si>
    <t>Voyager Legend CS Bluetooth headset system</t>
  </si>
  <si>
    <t>Voyager Legend UC</t>
  </si>
  <si>
    <t>PLN-87670-01</t>
  </si>
  <si>
    <t>Voyager Legend UC. USB bluetooth headset system</t>
  </si>
  <si>
    <t>PLN-85117-01</t>
  </si>
  <si>
    <t>BT300-M Bluetooth USB adapter.</t>
  </si>
  <si>
    <t>PLN-85117-02</t>
  </si>
  <si>
    <t>BT300 Bluetooth USB adapter</t>
  </si>
  <si>
    <t>PLN-89031-01</t>
  </si>
  <si>
    <t xml:space="preserve">Desktop Charge Stand  </t>
  </si>
  <si>
    <t>PLN-89033-01</t>
  </si>
  <si>
    <t>Micro USB Charge Adapter (Includes Micro USB Charge  Cable, 2')</t>
  </si>
  <si>
    <t>PLN-89034-01</t>
  </si>
  <si>
    <t>Modular AC Wall Charger</t>
  </si>
  <si>
    <t>PLN-89036-01</t>
  </si>
  <si>
    <t>Portable Charge Case (Includes Micro USB Charge Cable, 2')</t>
  </si>
  <si>
    <t>PLN-89037-01</t>
  </si>
  <si>
    <t xml:space="preserve">Small, 3-Pack, Eartips/Foam Eartip Covers </t>
  </si>
  <si>
    <t>PLN-89037-02</t>
  </si>
  <si>
    <t>Medium, 3-Pack, Eartips/Foam Eartip Covers</t>
  </si>
  <si>
    <t>PLN-89037-03</t>
  </si>
  <si>
    <t>Large, 3-Pack, Eartips</t>
  </si>
  <si>
    <t>PLN-89110-01</t>
  </si>
  <si>
    <t>USB Car Charger</t>
  </si>
  <si>
    <t>PLN-89032-01</t>
  </si>
  <si>
    <t xml:space="preserve">USB Charging Cable (9")  </t>
  </si>
  <si>
    <t>Small, 3-Pack, Eartips/Foam Eartip Covers</t>
  </si>
  <si>
    <t>A PT-31, Electronic Hook Switch, Avaya</t>
  </si>
  <si>
    <t>PLN-38439-11</t>
  </si>
  <si>
    <t xml:space="preserve">PLN-38734-11   </t>
  </si>
  <si>
    <t>EHS Extension Cable, Cisco,</t>
  </si>
  <si>
    <t xml:space="preserve">PLN-212539-01 </t>
  </si>
  <si>
    <t>Voyager Focus UC</t>
  </si>
  <si>
    <t>PLN-202652-02</t>
  </si>
  <si>
    <t>Voyager Focus UC. Stereo bluetooth headset with active noise canceling</t>
  </si>
  <si>
    <t>PLN-205250-01</t>
  </si>
  <si>
    <t>BT600 High-Fidelity bluetooth USB adapter</t>
  </si>
  <si>
    <t>PLN-205300-01</t>
  </si>
  <si>
    <t>Leatherette Ear Cushions, (2)</t>
  </si>
  <si>
    <t>PLN-205301-01</t>
  </si>
  <si>
    <t>Carrying Case</t>
  </si>
  <si>
    <t>PLN-205302-01</t>
  </si>
  <si>
    <t>Desktop Charge Stand</t>
  </si>
  <si>
    <t>PLN-211249-01</t>
  </si>
  <si>
    <t>SPARE,BT600-C,TYPE C,BLUETOOTH USB ADAPT</t>
  </si>
  <si>
    <t>VOYAGER 3200 UC</t>
  </si>
  <si>
    <t>PLN-207371-01</t>
  </si>
  <si>
    <t>Voyager 3200 UC Discreet bluetooth headset system</t>
  </si>
  <si>
    <t>PLN-201955-01</t>
  </si>
  <si>
    <t xml:space="preserve">Ear Gel, Small (qty 3), with Earloop </t>
  </si>
  <si>
    <t>PLN-201955-02</t>
  </si>
  <si>
    <t>Ear Gel, Medium (qty 3), with Earloop</t>
  </si>
  <si>
    <t>PLN-201955-03</t>
  </si>
  <si>
    <t>Ear Gel, Large (qty 3), with Earloop</t>
  </si>
  <si>
    <t>PLN-201885-01</t>
  </si>
  <si>
    <t>Spare, Cable Assembly, Std-A Plug to Micro USB B, 660 mm, Black</t>
  </si>
  <si>
    <t>BT600 USB-C, boxed</t>
  </si>
  <si>
    <t xml:space="preserve">PLN-205250-01 </t>
  </si>
  <si>
    <t>BT600 USB Adapter, boxed</t>
  </si>
  <si>
    <t xml:space="preserve">PLN-89034-01 </t>
  </si>
  <si>
    <t>AC Charger (NA only)</t>
  </si>
  <si>
    <t xml:space="preserve">PLN-89110-01 </t>
  </si>
  <si>
    <t>Vehicle Charger</t>
  </si>
  <si>
    <t>Voyager 4210</t>
  </si>
  <si>
    <t>PLN-211317-101</t>
  </si>
  <si>
    <t>VOYAGER 4210 UC,B4210 USB-A,WW</t>
  </si>
  <si>
    <t>Voyager 4220</t>
  </si>
  <si>
    <t>PLN-211996-101</t>
  </si>
  <si>
    <t>VOYAGER 4220 UC,B4220 USB-A,WW</t>
  </si>
  <si>
    <t>PLN-214700-01</t>
  </si>
  <si>
    <t>VOYAGER 4245 OFFICE, V4245 CD, NA</t>
  </si>
  <si>
    <t>214701-01</t>
  </si>
  <si>
    <t>VOYAGER 4245 OFFICE, V4245-M CD, NA</t>
  </si>
  <si>
    <t>AC wall charger</t>
  </si>
  <si>
    <t>BT600 USB adapter</t>
  </si>
  <si>
    <t xml:space="preserve">BT600 USB-C adapter </t>
  </si>
  <si>
    <t>VOYAGER 5200 UC</t>
  </si>
  <si>
    <t>PLN-206110-101</t>
  </si>
  <si>
    <t>VOYAGER 5200 UC, B5200,WW</t>
  </si>
  <si>
    <t>203500-101</t>
  </si>
  <si>
    <t>VOYAGER 5200/R,</t>
  </si>
  <si>
    <t>203500-131</t>
  </si>
  <si>
    <t>PLANTRONICS VOYAGER 5200</t>
  </si>
  <si>
    <t>213565-99</t>
  </si>
  <si>
    <t>BACKBEAT PRO 5100</t>
  </si>
  <si>
    <t>PLA-203500-190</t>
  </si>
  <si>
    <t>VOYAGER 5200/R,HEADSET,US,WPD1</t>
  </si>
  <si>
    <t>PLN-203710-01</t>
  </si>
  <si>
    <t>PLN-203710-02</t>
  </si>
  <si>
    <t>PLN-203710-03</t>
  </si>
  <si>
    <t>Black Eartips</t>
  </si>
  <si>
    <t>BT600 Mini USB Bluetooth adapter</t>
  </si>
  <si>
    <t>VOYAGER 6200 UC</t>
  </si>
  <si>
    <t>PLN-208749-01</t>
  </si>
  <si>
    <t>Voyager 6200 UC, Sand</t>
  </si>
  <si>
    <t>PLN-208748-01</t>
  </si>
  <si>
    <t>Voyager 6200 UC, Blk</t>
  </si>
  <si>
    <t>PLN-208748-101</t>
  </si>
  <si>
    <t>VOYAGER 6200 UC,B6200,BLACK,WW</t>
  </si>
  <si>
    <t>PLN-211718-101</t>
  </si>
  <si>
    <t>VOYAGER 6200 UC,B6200 USB-C,BLACK,WW</t>
  </si>
  <si>
    <t>PLN-211719-01</t>
  </si>
  <si>
    <t>VOYAGER 6200 UC,SAND,BT-600,WW</t>
  </si>
  <si>
    <t>216848-101</t>
  </si>
  <si>
    <t>VOYAGER 6200 UC, B6200, BLACK, CN, BLE</t>
  </si>
  <si>
    <t>Micro USB Charging Cable</t>
  </si>
  <si>
    <t>PLN-211149-01</t>
  </si>
  <si>
    <t>Ear tips, small</t>
  </si>
  <si>
    <t>PLN-211149-02</t>
  </si>
  <si>
    <t>Ear tips, medium</t>
  </si>
  <si>
    <t>PLN-211149-03</t>
  </si>
  <si>
    <t>Ear tips, large</t>
  </si>
  <si>
    <t>AC charger (NA only)</t>
  </si>
  <si>
    <t>Vehicle charger</t>
  </si>
  <si>
    <t>VOYAGER 8200 UC</t>
  </si>
  <si>
    <t>PLN-208769-01</t>
  </si>
  <si>
    <t>Voyager 8200 UC stereo bluetooth headset (Black).</t>
  </si>
  <si>
    <t>PLN-208769-02</t>
  </si>
  <si>
    <t>Voyager 8200 UC stereo bluetooth headset, WHT</t>
  </si>
  <si>
    <t>BT600 USB Adapter</t>
  </si>
  <si>
    <t>HL10</t>
  </si>
  <si>
    <t>PLN-6096131</t>
  </si>
  <si>
    <t>HL10 Lifter with straight plug for Savi Office</t>
  </si>
  <si>
    <t>PLN-61578-01</t>
  </si>
  <si>
    <t>Mounting Tape</t>
  </si>
  <si>
    <t>PLN-71483-01</t>
  </si>
  <si>
    <t>Extension Arm / Ring Detector Kit for Nortel i2004 Phones</t>
  </si>
  <si>
    <t>On-line Indicator</t>
  </si>
  <si>
    <t>PLN-8028701</t>
  </si>
  <si>
    <t>Savi Oli online indicator</t>
  </si>
  <si>
    <t>PLN-46429-01</t>
  </si>
  <si>
    <t>Extension Cable</t>
  </si>
  <si>
    <t>P240</t>
  </si>
  <si>
    <t>PLN-57240004</t>
  </si>
  <si>
    <t>USB Handset</t>
  </si>
  <si>
    <t>P620</t>
  </si>
  <si>
    <t>PLN-8670101</t>
  </si>
  <si>
    <t>USB Speakerphone</t>
  </si>
  <si>
    <t>Calisto 5300</t>
  </si>
  <si>
    <t>PLN-215496-01</t>
  </si>
  <si>
    <t>CALISTO 5300, CL5300 USB-A/BT600</t>
  </si>
  <si>
    <t>CALISTO 5300-M</t>
  </si>
  <si>
    <t>215438-01</t>
  </si>
  <si>
    <t>CALISTO 5300, CL5300-M USB-A/BT600</t>
  </si>
  <si>
    <t>P610</t>
  </si>
  <si>
    <t>PLN-20185902</t>
  </si>
  <si>
    <t>PLN-89339</t>
  </si>
  <si>
    <t>Desktop Stand</t>
  </si>
  <si>
    <t xml:space="preserve">PLN-89305-01 </t>
  </si>
  <si>
    <t xml:space="preserve">Battery (P620)  </t>
  </si>
  <si>
    <t xml:space="preserve">PLN-89258-01 </t>
  </si>
  <si>
    <t xml:space="preserve">Carrying Case </t>
  </si>
  <si>
    <t xml:space="preserve">PLN-89269-01 </t>
  </si>
  <si>
    <t>USB to Micro USB Cable</t>
  </si>
  <si>
    <t xml:space="preserve">PLN-89259-01 </t>
  </si>
  <si>
    <t>Calisto P620, P620-M Spare USB Bluetooth adpater. Microsoft-optimized version</t>
  </si>
  <si>
    <t xml:space="preserve">PLN-89259-02 </t>
  </si>
  <si>
    <t>Calisto P620 USB bluetooth adapter</t>
  </si>
  <si>
    <t>BT600 Bluetooth USB Adapter (P620)</t>
  </si>
  <si>
    <t xml:space="preserve">PLN-201263-01 </t>
  </si>
  <si>
    <t>Security Tab (P620)</t>
  </si>
  <si>
    <t>Calisto 3200</t>
  </si>
  <si>
    <t>PLN-21090101</t>
  </si>
  <si>
    <t>CALISTO 3200,USB-C</t>
  </si>
  <si>
    <t>Calisto 5200</t>
  </si>
  <si>
    <t>PLN-21090301</t>
  </si>
  <si>
    <t>CALISTO 5200,USB-C+3.5mm</t>
  </si>
  <si>
    <t>CT14</t>
  </si>
  <si>
    <t>PLN-8005711</t>
  </si>
  <si>
    <t>CT14 Cordless headset phone</t>
  </si>
  <si>
    <t>PLN-43298-03</t>
  </si>
  <si>
    <t>PLN-45650-03</t>
  </si>
  <si>
    <t>Spare Ring / Pivot Ball Assembly</t>
  </si>
  <si>
    <t>PLN-46186-01</t>
  </si>
  <si>
    <t xml:space="preserve">Ear Cushion, Leatherette </t>
  </si>
  <si>
    <t>PLN-81083-01</t>
  </si>
  <si>
    <t>Spare headset</t>
  </si>
  <si>
    <t>PLN-81085-01</t>
  </si>
  <si>
    <t xml:space="preserve">Battery Door </t>
  </si>
  <si>
    <t>PLN-81086-01</t>
  </si>
  <si>
    <t xml:space="preserve">Belt Clip </t>
  </si>
  <si>
    <t>PLN-81087-02</t>
  </si>
  <si>
    <t>Handset Battery</t>
  </si>
  <si>
    <t>Blackwire 215</t>
  </si>
  <si>
    <t>PLN-20520302</t>
  </si>
  <si>
    <t>Monaural, C215</t>
  </si>
  <si>
    <t>209746-101</t>
  </si>
  <si>
    <t>BLACKWIRE 3215,C3215, Worldwide</t>
  </si>
  <si>
    <t>213936-01</t>
  </si>
  <si>
    <t>Blackwire 3315, BW3315 USB-A</t>
  </si>
  <si>
    <t>Blackwire 225</t>
  </si>
  <si>
    <t>PLN-20520412</t>
  </si>
  <si>
    <t>Stereo, C225</t>
  </si>
  <si>
    <t>213938-01</t>
  </si>
  <si>
    <t>Blackwire 3325, BW3325 USB-A</t>
  </si>
  <si>
    <t>PLN-88225-01</t>
  </si>
  <si>
    <t>Ear Cushions, Foam (2)</t>
  </si>
  <si>
    <t xml:space="preserve">PLN-89862-01 </t>
  </si>
  <si>
    <t>Ear Cushions, Leatherette (2)</t>
  </si>
  <si>
    <t>PLN-200070-01</t>
  </si>
  <si>
    <t>Blackwire Soft Carrying Case</t>
  </si>
  <si>
    <t>Blackwire 435</t>
  </si>
  <si>
    <t>PLN-8580101</t>
  </si>
  <si>
    <t>Stereo, Convertible, C435</t>
  </si>
  <si>
    <t>PLN-85692-01</t>
  </si>
  <si>
    <t>Ear Loop and Ear Gel Kit</t>
  </si>
  <si>
    <t>PLN-85695-01</t>
  </si>
  <si>
    <t>Blackwire 435 Carrying Case</t>
  </si>
  <si>
    <t>PLN-85694-01</t>
  </si>
  <si>
    <t>Neckband, 2 Links and Carry Case</t>
  </si>
  <si>
    <t>Blackwire 710</t>
  </si>
  <si>
    <t>PLN-8750502</t>
  </si>
  <si>
    <t xml:space="preserve">Monaural, C710 </t>
  </si>
  <si>
    <t>212740-01</t>
  </si>
  <si>
    <t>VOYAGER 4210 UC,BT600,CHARGE STAND UC,USB-A CABLE,WW</t>
  </si>
  <si>
    <t>214650-01</t>
  </si>
  <si>
    <t>VOYAGER 4210 UC,BT600 USB-C,CHARGE STAND UC,USB-C CABLE,WW</t>
  </si>
  <si>
    <t>BLACKWIRE 7225</t>
  </si>
  <si>
    <t>211144-01</t>
  </si>
  <si>
    <t>BLACKWIRE 7225,BW7225,USB-A,BLACK,WW</t>
  </si>
  <si>
    <t>211145-01</t>
  </si>
  <si>
    <t>BLACKWIRE 7225,BW7225,USB-C,BLACK,WW</t>
  </si>
  <si>
    <t>211154-01</t>
  </si>
  <si>
    <t>BLACKWIRE 7225,BW7225,USB-A,WHITE,WW</t>
  </si>
  <si>
    <t>211155-01</t>
  </si>
  <si>
    <t>BLACKWIRE 7225,BW7225,USB-C,WHITE,WW</t>
  </si>
  <si>
    <t>214407-01</t>
  </si>
  <si>
    <t>BLACKWIRE 8225, USB-C</t>
  </si>
  <si>
    <t>214408-01</t>
  </si>
  <si>
    <t>BLACKWIRE 8225, MICROSOFT, USB-A</t>
  </si>
  <si>
    <t>214409-01</t>
  </si>
  <si>
    <t>BLACKWIRE 8225, MICROSOFT, USB-C</t>
  </si>
  <si>
    <t>214406-01</t>
  </si>
  <si>
    <t>BLACKWIRE 8225, USB-A</t>
  </si>
  <si>
    <t>PLN-89106-01</t>
  </si>
  <si>
    <t>Replacement USB Cable (USB to micro USB)</t>
  </si>
  <si>
    <t>Blackwire Hard Carrying Case (C710/720)</t>
  </si>
  <si>
    <t>PLN-89107-01</t>
  </si>
  <si>
    <t>PLN-89862-01</t>
  </si>
  <si>
    <t xml:space="preserve">Ear Cushions, Leatherette (2) </t>
  </si>
  <si>
    <t>Blackwire Soft Carrying Case (C725)</t>
  </si>
  <si>
    <t>PLN-200762-01</t>
  </si>
  <si>
    <t>Blackwire 3215</t>
  </si>
  <si>
    <t>PLN-209750-101</t>
  </si>
  <si>
    <t>BLACKWIRE 3215,C3215 USB-C, Worldwide</t>
  </si>
  <si>
    <t>Blackwire 3225</t>
  </si>
  <si>
    <t>PLN-209747-101</t>
  </si>
  <si>
    <t>BLACKWIRE 3225,C3225, Worldwide</t>
  </si>
  <si>
    <t>Leatherette Ear cushion (3215, 3225)</t>
  </si>
  <si>
    <t xml:space="preserve">PLN-88225-01 </t>
  </si>
  <si>
    <t>Foam Ear cushion (3210, 3220)</t>
  </si>
  <si>
    <t>Blackwire 5210</t>
  </si>
  <si>
    <t>PLN-207577-01</t>
  </si>
  <si>
    <t>Blackwire 5210 USB headset</t>
  </si>
  <si>
    <t>Blackwire 5220</t>
  </si>
  <si>
    <t>PLN-207576-01</t>
  </si>
  <si>
    <t>BLACKWIRE 5220,C5220,USB-A,WW</t>
  </si>
  <si>
    <t>PLN-208927-01</t>
  </si>
  <si>
    <t>PLN-211019-01</t>
  </si>
  <si>
    <t>Blackwire 5200 USB-A inline,</t>
  </si>
  <si>
    <t>EncorePro 510</t>
  </si>
  <si>
    <t>PLN-89435-01</t>
  </si>
  <si>
    <t>EncorePro 510, Over-the-head, Monaural, Noise-canceling customer service headset.EncorePro HW510V, NA</t>
  </si>
  <si>
    <t>EncorePro 515 USB</t>
  </si>
  <si>
    <t>PLN-203442-01</t>
  </si>
  <si>
    <t>EncorePro HW515 Over-the-head, Monaural, Noice-canceling corded USB headset</t>
  </si>
  <si>
    <t>EncorePro 520</t>
  </si>
  <si>
    <t>PLN-89434-01</t>
  </si>
  <si>
    <t>Encorepro customer service headset.EncorePro HW520, NA, OTH binaural, noise canceling</t>
  </si>
  <si>
    <t>PLN-203192-01</t>
  </si>
  <si>
    <t>EncorePro HW520 Digital, over-the-head, binaural, noise-canceling</t>
  </si>
  <si>
    <t>EncorePro 525 USB</t>
  </si>
  <si>
    <t>PLN-203444-01</t>
  </si>
  <si>
    <t>EncorePro HW525 Over-the-head, noise canceling, corded USB headset</t>
  </si>
  <si>
    <t>PLN-202118-01</t>
  </si>
  <si>
    <t>Spare Voice Tube</t>
  </si>
  <si>
    <t>PLN-202997-02</t>
  </si>
  <si>
    <t>Spare Foam Cushion (2)</t>
  </si>
  <si>
    <t>PLN-24460-01</t>
  </si>
  <si>
    <t>Clothing Clip</t>
  </si>
  <si>
    <t xml:space="preserve">EncorePro 530 </t>
  </si>
  <si>
    <t>PLN-201500-01</t>
  </si>
  <si>
    <t>EncorePro HW530. Customer service headset</t>
  </si>
  <si>
    <t>EncorePro 530 Digital</t>
  </si>
  <si>
    <t>PLN-203193-01</t>
  </si>
  <si>
    <t>EncorePro HW530 Digital, over-the-ear, monaural, noise-cancelling</t>
  </si>
  <si>
    <t xml:space="preserve">EncorePro 535 USB </t>
  </si>
  <si>
    <t>PLN-203446-01</t>
  </si>
  <si>
    <t>EncorePro HW535, Over-the-ear, Monaural, noise-canceling corded USB headset</t>
  </si>
  <si>
    <t>EncorePro 540</t>
  </si>
  <si>
    <t>PLN-88828-01</t>
  </si>
  <si>
    <t>Monaural, HW540</t>
  </si>
  <si>
    <t xml:space="preserve">EncorePro 540 Digital </t>
  </si>
  <si>
    <t>PLN-203194-01</t>
  </si>
  <si>
    <t>Monaural, HW540D</t>
  </si>
  <si>
    <t>PLN-88814-01</t>
  </si>
  <si>
    <t>Spare Earloop (small and large)</t>
  </si>
  <si>
    <t>PLN-88815-01</t>
  </si>
  <si>
    <t>Spare Behind the Neck Band (HW540)</t>
  </si>
  <si>
    <t>PLN-88816-01</t>
  </si>
  <si>
    <t>Spare Headband (HW540)</t>
  </si>
  <si>
    <t>PLN-88817-01</t>
  </si>
  <si>
    <t>Spare Foam Cushions Foam</t>
  </si>
  <si>
    <t xml:space="preserve">EncorePro 710 </t>
  </si>
  <si>
    <t>PLN-78712-101</t>
  </si>
  <si>
    <t>Monaural, HW710</t>
  </si>
  <si>
    <t xml:space="preserve">EncorePro 710 Digital </t>
  </si>
  <si>
    <t>PLN-78715-101</t>
  </si>
  <si>
    <t>Monaural, HW710D</t>
  </si>
  <si>
    <t xml:space="preserve">EncorePro 715 USB </t>
  </si>
  <si>
    <t>PLN-203476-01</t>
  </si>
  <si>
    <t>Monaural, HW715 USB</t>
  </si>
  <si>
    <t>EncorePro 720</t>
  </si>
  <si>
    <t>PLN-78714-101</t>
  </si>
  <si>
    <t>Binaural, HW720</t>
  </si>
  <si>
    <t xml:space="preserve">EncorePro 720 Digital </t>
  </si>
  <si>
    <t>PLN-78716-101</t>
  </si>
  <si>
    <t>Binaural, HW720D</t>
  </si>
  <si>
    <t>EncorePro 725 USB</t>
  </si>
  <si>
    <t>PLN-203478-01</t>
  </si>
  <si>
    <t>Stereo, HW725 USB</t>
  </si>
  <si>
    <t>PLN-80355-01</t>
  </si>
  <si>
    <t>PLN-49323-46</t>
  </si>
  <si>
    <t>HIC-10</t>
  </si>
  <si>
    <t>PLN-10757-00</t>
  </si>
  <si>
    <t>Background Noise Suppressor  (HW510V/HW520V)</t>
  </si>
  <si>
    <t>PLN-26716-01</t>
  </si>
  <si>
    <t xml:space="preserve">Cable, Coil, QD-to-Modular Phone Jack  (Audio Processor), </t>
  </si>
  <si>
    <t>PLN-27019-03</t>
  </si>
  <si>
    <t>Y-Adapter Trainer Cord, with Microphone Mute Switch and QD Clamp</t>
  </si>
  <si>
    <t>PLN-27708-01</t>
  </si>
  <si>
    <t>Mute Switch, QD In-Line</t>
  </si>
  <si>
    <t>PLN-38733-01</t>
  </si>
  <si>
    <t>6-4 Pin Adapter</t>
  </si>
  <si>
    <t>PLN-38733-03</t>
  </si>
  <si>
    <t>4-6 Pin Adapter with Lock (DA90)</t>
  </si>
  <si>
    <t>PLN-40703-01</t>
  </si>
  <si>
    <t>Cable  Assy., Coil, Ext., Spare</t>
  </si>
  <si>
    <t>PLN-62976-01</t>
  </si>
  <si>
    <t>QD Cord Lock</t>
  </si>
  <si>
    <t>PLN-66268-03</t>
  </si>
  <si>
    <t>A10 Direct Connect Cable</t>
  </si>
  <si>
    <t>PLN-79694-11</t>
  </si>
  <si>
    <t>6-Pin Y Training Adapter Cable  (HW510D/HW520D)</t>
  </si>
  <si>
    <t>PLN-202999-02</t>
  </si>
  <si>
    <t>Spare Leatherette Cushion (2)</t>
  </si>
  <si>
    <t>PLN-88832-01</t>
  </si>
  <si>
    <t>Spare Leatherette Cushion (large)  (HW540)</t>
  </si>
  <si>
    <t>PLN-88833-01</t>
  </si>
  <si>
    <t>Spare Leatherette Cushion (small)  (HW540/HW530)</t>
  </si>
  <si>
    <t>PLN-10778-01</t>
  </si>
  <si>
    <t xml:space="preserve">Quick Disconnect™ (QD) Cord Clip </t>
  </si>
  <si>
    <t>PLN-40711-01</t>
  </si>
  <si>
    <t>Cable, 10' Extension, QD-to-QD,  Lightweight</t>
  </si>
  <si>
    <t>PLN-80354-01</t>
  </si>
  <si>
    <t>S11</t>
  </si>
  <si>
    <t>PLN-65148-01</t>
  </si>
  <si>
    <t>S11 Office Headset. Hands-free</t>
  </si>
  <si>
    <t>S12</t>
  </si>
  <si>
    <t>PLN-65145-04</t>
  </si>
  <si>
    <t>S12,HEADSET SYS,FF,CAN</t>
  </si>
  <si>
    <t>PLN-43297-01</t>
  </si>
  <si>
    <t>Earloop Kit; S, M, L (S12)</t>
  </si>
  <si>
    <t>Headband (S12)</t>
  </si>
  <si>
    <t>PLN-45671-01</t>
  </si>
  <si>
    <t xml:space="preserve">AC Power Supply (S11/12) </t>
  </si>
  <si>
    <t>Ear Cushion, Leatherette</t>
  </si>
  <si>
    <t>PLN-46199-01</t>
  </si>
  <si>
    <t>Clothing Clip (S11)</t>
  </si>
  <si>
    <t>PLN-65217-01</t>
  </si>
  <si>
    <t>Headset Stand (S12)</t>
  </si>
  <si>
    <t>PLN-65219-01</t>
  </si>
  <si>
    <t>Headset (S12, no headband, ear cushions or ear hooks)</t>
  </si>
  <si>
    <t>PLN-65388-02</t>
  </si>
  <si>
    <t>Headset (S11)</t>
  </si>
  <si>
    <t>PLN-40286-01</t>
  </si>
  <si>
    <t>Coil Cord, 10' Extension, Modular Phone Jack</t>
  </si>
  <si>
    <t>VISTAPLUS AP15</t>
  </si>
  <si>
    <t>PLN-7996001</t>
  </si>
  <si>
    <t>Vistaplus AP15 audio processor</t>
  </si>
  <si>
    <t>VISTA M22</t>
  </si>
  <si>
    <t>PLN-4359664</t>
  </si>
  <si>
    <t>Vista M22. Audio processor</t>
  </si>
  <si>
    <t>PLN-26609-03</t>
  </si>
  <si>
    <t>Battery Door (M22)</t>
  </si>
  <si>
    <t>Cable, Coil, QD-to-Modular Phone Jack, Standard (M22)  (Audio Processor)</t>
  </si>
  <si>
    <t>PLN-40974-01</t>
  </si>
  <si>
    <t>Cable, Stub, Modular-to-Modular (M22) (Audio Processor- to-Telephone)</t>
  </si>
  <si>
    <t>AC Power Supply (M22)</t>
  </si>
  <si>
    <t>PLN-71173-01</t>
  </si>
  <si>
    <t xml:space="preserve">AP15 Cable, Coil, QD-to-Modular Phone Jack </t>
  </si>
  <si>
    <t>PLN-80089-05</t>
  </si>
  <si>
    <t>AP15 AC Power Supply</t>
  </si>
  <si>
    <t>Y-Adapter Trainer Cord, with Microphone Mute Switch  with QD Cord Lock</t>
  </si>
  <si>
    <t>PLN-40702-01</t>
  </si>
  <si>
    <t>M 22 Coiled Cord, QD-to-Modular Phone Jack,  Lightweight with QD Cord Lock</t>
  </si>
  <si>
    <t>Cable, 10' Extension, QD-to-QD, Lightweight with QD  Cord Lock</t>
  </si>
  <si>
    <t>PLN-68331-01</t>
  </si>
  <si>
    <t>Console Interface Cable</t>
  </si>
  <si>
    <t>PLN-80090-05</t>
  </si>
  <si>
    <t>AC Power Supply</t>
  </si>
  <si>
    <t>PLN-9022501</t>
  </si>
  <si>
    <t>Battery Pack for Remote</t>
  </si>
  <si>
    <t>PLN-92697-01</t>
  </si>
  <si>
    <t>Remote Cable</t>
  </si>
  <si>
    <t>PLN-201059-01</t>
  </si>
  <si>
    <t>Remote PTT Unit</t>
  </si>
  <si>
    <t>MX10</t>
  </si>
  <si>
    <t>PLN-4340431</t>
  </si>
  <si>
    <t>MX10 Audio processor</t>
  </si>
  <si>
    <t>Cable, Coil, QD-to-Modular Phone Jack (Audio Processor)</t>
  </si>
  <si>
    <t>Cable, Stub, Modular-to-Modular (Audio Processor- to-Telephone)</t>
  </si>
  <si>
    <t>PLN-44877-02</t>
  </si>
  <si>
    <t>Computer Cord, MX10 to Sound Card</t>
  </si>
  <si>
    <t>PLN-84104-01</t>
  </si>
  <si>
    <t>Y-Adapter Trainer Cord with Microphone Mute Switch  and QD Clamp</t>
  </si>
  <si>
    <t>MDA100 QD</t>
  </si>
  <si>
    <t>PLN-205255-01</t>
  </si>
  <si>
    <t>MDA100 QD Series analog switch</t>
  </si>
  <si>
    <t>MDA105 QD</t>
  </si>
  <si>
    <t>PLN-205255-11</t>
  </si>
  <si>
    <t>MDA105 QD,WW</t>
  </si>
  <si>
    <t>QD Coil Cable</t>
  </si>
  <si>
    <t>MDA220 USB</t>
  </si>
  <si>
    <t>PLN-207414-03</t>
  </si>
  <si>
    <t>MDA220 USB. Switch for Plantronics USB headsets</t>
  </si>
  <si>
    <t>MDA490 QD Series</t>
  </si>
  <si>
    <t>PLN-207414-06</t>
  </si>
  <si>
    <t>MDA490 QD</t>
  </si>
  <si>
    <t>PLN-86008-01</t>
  </si>
  <si>
    <t>Bundle, HL10/AC Power Supply Bundle (Universal)</t>
  </si>
  <si>
    <t>PLN-86079-01</t>
  </si>
  <si>
    <t>AC Power Supply, Straight Plug (Universal)</t>
  </si>
  <si>
    <t>APS-11, Electronic Hook Switch, Siemens</t>
  </si>
  <si>
    <t xml:space="preserve"> APT-31, Electronic Hook Switch, Avaya</t>
  </si>
  <si>
    <t xml:space="preserve">PLN-38439-11  </t>
  </si>
  <si>
    <t>DA70</t>
  </si>
  <si>
    <t>PLN-201851-05</t>
  </si>
  <si>
    <t>DA70-UC</t>
  </si>
  <si>
    <t>DA80</t>
  </si>
  <si>
    <t>PLN-201852-01</t>
  </si>
  <si>
    <t>DA80. USB audio processor</t>
  </si>
  <si>
    <t>DA90</t>
  </si>
  <si>
    <t>PLN-201853-01</t>
  </si>
  <si>
    <t>DA90 USB audio processor</t>
  </si>
  <si>
    <t>Quick Disconnect (QD) Cord Clip</t>
  </si>
  <si>
    <t>PLN-18709-01</t>
  </si>
  <si>
    <t>Modular-to-Plug-Prong Adapter (PJ327)</t>
  </si>
  <si>
    <t>Mute Switch, QD In-Line (Standard)</t>
  </si>
  <si>
    <t>PLN-28959-01</t>
  </si>
  <si>
    <t>Cable, QD to Two 3.5mm Plugs</t>
  </si>
  <si>
    <t>Coiled Cord, QD-to-Modular Phone Jack, Lightweight  (Audio Processor)</t>
  </si>
  <si>
    <t>Cable, 10' Extension, QD-to-QD, Standard Weight</t>
  </si>
  <si>
    <t>Cable, 10' Extension, QD-to-QD, Lightweight</t>
  </si>
  <si>
    <t>Cable, Stub, Modular-to-Modular (Audio Processor-toTelephone)</t>
  </si>
  <si>
    <t>PLN-45588-01</t>
  </si>
  <si>
    <t>Modlocs: Tethers Headset to Telephone, to Audio  Processor, or to Phone</t>
  </si>
  <si>
    <t>HIC-10 Adapter Cable</t>
  </si>
  <si>
    <t xml:space="preserve">PLN-66268-03 </t>
  </si>
  <si>
    <t xml:space="preserve">PLN-72442-41 </t>
  </si>
  <si>
    <t>HIS Adapter Cable (check compatibility with your  Avaya phone)</t>
  </si>
  <si>
    <t>PLN-209505-01</t>
  </si>
  <si>
    <t>SPARE,ADAPTER,USB TYPE A TO USB TYPE C</t>
  </si>
  <si>
    <t>PLN-209506-01</t>
  </si>
  <si>
    <t>SPARE,ADAPTER,USB TYPE C TO TYPE A</t>
  </si>
  <si>
    <t>88600-01</t>
  </si>
  <si>
    <t>BackBeat Go 2 / Black</t>
  </si>
  <si>
    <t>209860-99</t>
  </si>
  <si>
    <t>BACKBEAT FIT,HEADSET,TRAINING EDITION,POWER BLUE,WW</t>
  </si>
  <si>
    <t>209862-99</t>
  </si>
  <si>
    <t>BACKBEAT FIT,HEADSET,TRAINING EDITION,BLACK CORE,WW</t>
  </si>
  <si>
    <t>208305-99</t>
  </si>
  <si>
    <t>BACKBEAT FIT 300,WIRELESS,SPORT,BLACK/GREY,WW</t>
  </si>
  <si>
    <t>200739-01</t>
  </si>
  <si>
    <t>M70 Mobile bluetooth headset</t>
  </si>
  <si>
    <t>Model Number</t>
  </si>
  <si>
    <t>Xtreme Power Conversion</t>
  </si>
  <si>
    <t>XPC-90000465</t>
  </si>
  <si>
    <t>J60-350</t>
  </si>
  <si>
    <t>350VA/200W 120V UPS</t>
  </si>
  <si>
    <t>XPC-90000414</t>
  </si>
  <si>
    <t>XST-400</t>
  </si>
  <si>
    <t>400VA/240W 120V UPS</t>
  </si>
  <si>
    <t>XPC-90000416</t>
  </si>
  <si>
    <t>XST-600</t>
  </si>
  <si>
    <t xml:space="preserve">600VA/360W 120V UPS </t>
  </si>
  <si>
    <t>XPC-90000418</t>
  </si>
  <si>
    <t>XST-800</t>
  </si>
  <si>
    <t xml:space="preserve">800VA/480W 120V UPS </t>
  </si>
  <si>
    <t>XPC-90000281</t>
  </si>
  <si>
    <t>SNMP-USB</t>
  </si>
  <si>
    <t>EXTERNAL WEB/SNMP CARD</t>
  </si>
  <si>
    <t>XPC-90000240</t>
  </si>
  <si>
    <t>XST5SP</t>
  </si>
  <si>
    <t>Extended 5 Year Factory Warranty</t>
  </si>
  <si>
    <t>XPC-90000550</t>
  </si>
  <si>
    <t>S70-500</t>
  </si>
  <si>
    <t xml:space="preserve"> 500VA/300W 120V Tower UPS 90000170</t>
  </si>
  <si>
    <t>XPC-90000551</t>
  </si>
  <si>
    <t>S70-700</t>
  </si>
  <si>
    <t xml:space="preserve"> 700VA/420W 120V Tower UPS 90000171</t>
  </si>
  <si>
    <t>XPC-90000552</t>
  </si>
  <si>
    <t>S70-1000</t>
  </si>
  <si>
    <t xml:space="preserve"> 1000VA/600W 120V Tower UPS </t>
  </si>
  <si>
    <t>XPC-90000616</t>
  </si>
  <si>
    <t>S70-1500</t>
  </si>
  <si>
    <t xml:space="preserve"> 1500VA/900W 120V Tower UPS </t>
  </si>
  <si>
    <t>XPC-90000554</t>
  </si>
  <si>
    <t>S70-2000</t>
  </si>
  <si>
    <t>2000VA/1200W 120V Tower UPS 90000174</t>
  </si>
  <si>
    <t>XPC-90000248</t>
  </si>
  <si>
    <t>S705SP57</t>
  </si>
  <si>
    <t xml:space="preserve"> Extended 5 Year Factory Warranty for S70-500, S70-700</t>
  </si>
  <si>
    <t>XPC-90000249</t>
  </si>
  <si>
    <t>S705SP152</t>
  </si>
  <si>
    <t>Extended 5 Year Factory Warranty for S70-1000, S70-1500, S70-2000</t>
  </si>
  <si>
    <t>XPC-90000900</t>
  </si>
  <si>
    <t>P80-800</t>
  </si>
  <si>
    <t>800VA/720W 120V UPS, 2U</t>
  </si>
  <si>
    <t>XPC-90000901</t>
  </si>
  <si>
    <t>P80-1100</t>
  </si>
  <si>
    <t>1100VA/990W 120V UPS, 2U</t>
  </si>
  <si>
    <t>XPC-90000902</t>
  </si>
  <si>
    <t>P80-1500</t>
  </si>
  <si>
    <t>1500VA/1350W 120V UPS, 2U</t>
  </si>
  <si>
    <t>XPC-90000955</t>
  </si>
  <si>
    <t>P80-2000</t>
  </si>
  <si>
    <t>2000VA/1800W 120V UPS, 2U</t>
  </si>
  <si>
    <t>XPC-90000903</t>
  </si>
  <si>
    <t>P80-2200</t>
  </si>
  <si>
    <t>2200VA/2000W 120V UPS, 2U</t>
  </si>
  <si>
    <t>XPC-90000904</t>
  </si>
  <si>
    <t>P80-3000</t>
  </si>
  <si>
    <t>3000VA/2700W 120V UPS, 2U</t>
  </si>
  <si>
    <t>XPC-90000529</t>
  </si>
  <si>
    <t>P80-3000V2</t>
  </si>
  <si>
    <t xml:space="preserve"> 3000VA/2700W 120V UPS, 2U</t>
  </si>
  <si>
    <t>XPC-90000916</t>
  </si>
  <si>
    <t>P90-BP48</t>
  </si>
  <si>
    <t>48V Battery Pack for P80-1500, P80-2000, 2U</t>
  </si>
  <si>
    <t>XPC-90000917</t>
  </si>
  <si>
    <t>P90-BP72</t>
  </si>
  <si>
    <t>72V Battery Pack for P80-2200, P80-3000, 2U</t>
  </si>
  <si>
    <t>XPC-90000909</t>
  </si>
  <si>
    <t>P90-RAIL</t>
  </si>
  <si>
    <t>4-Post Rail Kit</t>
  </si>
  <si>
    <t>XPC-90000406</t>
  </si>
  <si>
    <t>XPC-2PRAIL</t>
  </si>
  <si>
    <t>2-Post Rail Kit; Rated for 125 lbs</t>
  </si>
  <si>
    <t>XPC-90000116</t>
  </si>
  <si>
    <t>XPC-2POSTL</t>
  </si>
  <si>
    <t>2-Post Shelf Kit; Rated for 150 lbs</t>
  </si>
  <si>
    <t>XPC-90000377</t>
  </si>
  <si>
    <t>P90-FRMB</t>
  </si>
  <si>
    <t xml:space="preserve"> Front Rackmount Bracket for P80-800, P80-1100, P80-1500, P80-2000 90000392</t>
  </si>
  <si>
    <t>XPC-90000675</t>
  </si>
  <si>
    <t>SNMP-2PV2</t>
  </si>
  <si>
    <t>Two Port Internal SNMP Card SNMP-2PMINI</t>
  </si>
  <si>
    <t>XPC-90000674</t>
  </si>
  <si>
    <t>SNMP-EMD</t>
  </si>
  <si>
    <t>Environmental Monitoring Device</t>
  </si>
  <si>
    <t>XPC-90000267</t>
  </si>
  <si>
    <t>MODBUS-IN</t>
  </si>
  <si>
    <t>Modbus Card</t>
  </si>
  <si>
    <t>XPC-90000265</t>
  </si>
  <si>
    <t>RELAY-MINI</t>
  </si>
  <si>
    <t>General Relay Contacts with DB9 &amp; Terminal Block Adapter</t>
  </si>
  <si>
    <t>XPC-90000090</t>
  </si>
  <si>
    <t>XBDM-1015LV</t>
  </si>
  <si>
    <t>Bypass 15A/120VAC</t>
  </si>
  <si>
    <t>XPC-90000091</t>
  </si>
  <si>
    <t>XBDM-1020LV</t>
  </si>
  <si>
    <t>Bypass 20A/120VAC</t>
  </si>
  <si>
    <t>XPC-90000093</t>
  </si>
  <si>
    <t xml:space="preserve">XBDM-1030LV </t>
  </si>
  <si>
    <t xml:space="preserve"> Bypass 30A/120VAC </t>
  </si>
  <si>
    <t>XPC-90000041</t>
  </si>
  <si>
    <t>XPD-1415HV</t>
  </si>
  <si>
    <t>120V Basic Power Distribution Unit</t>
  </si>
  <si>
    <t>XPC-90000045</t>
  </si>
  <si>
    <t>XPD-1420HV</t>
  </si>
  <si>
    <t>XPC-90000522</t>
  </si>
  <si>
    <t>P905SP15</t>
  </si>
  <si>
    <t xml:space="preserve"> Extended 5 Year Factory Warranty for P80-800, P80-1100, P80-1500,  P90c-1000, P90-1000, P90-1500, P90g-1500 UPS </t>
  </si>
  <si>
    <t>XPC-90000523</t>
  </si>
  <si>
    <t>P905SP23</t>
  </si>
  <si>
    <t xml:space="preserve"> Extended 5 Year Factory Warranty for P80-2000, P80-2200, P80-3000(V2), P80g-3000, P90-2000, P90-3000 UPS, P90g-3000 </t>
  </si>
  <si>
    <t>XPC-90000524</t>
  </si>
  <si>
    <t>P90L5SPBP</t>
  </si>
  <si>
    <t xml:space="preserve"> Extended 5 Year Factory Warranty for P90-BP36, P90-BP36E, P90-BP48, P90-BP72 </t>
  </si>
  <si>
    <t>XPC-90000954</t>
  </si>
  <si>
    <t>P80g-3000</t>
  </si>
  <si>
    <t xml:space="preserve"> 3000VA/2700W 208/230V UPS, 2U </t>
  </si>
  <si>
    <t>XPC-90000430</t>
  </si>
  <si>
    <t>P80g-5000</t>
  </si>
  <si>
    <t xml:space="preserve"> 5000VA/4500W 208/230V UPS, 2U </t>
  </si>
  <si>
    <t>XPC-P80g-3KTB</t>
  </si>
  <si>
    <t>P80g-3KTB</t>
  </si>
  <si>
    <t>3000VA/2700W UPS and XPD-AT15A Bundle, 208/120V Output</t>
  </si>
  <si>
    <t>72V Battery Pack for P80g-3000 2U</t>
  </si>
  <si>
    <t>Two Port Internal SNMP Card</t>
  </si>
  <si>
    <t>SNMP-EMPV2</t>
  </si>
  <si>
    <t>Environmental Monitoring Sensor</t>
  </si>
  <si>
    <t xml:space="preserve">MODBUS-IN </t>
  </si>
  <si>
    <t xml:space="preserve"> Modbus Card</t>
  </si>
  <si>
    <t xml:space="preserve">RELAY-MINI </t>
  </si>
  <si>
    <t xml:space="preserve"> General Relay Contacts with DB9 &amp; Terminal Block Adapter </t>
  </si>
  <si>
    <t>XPC-900000094</t>
  </si>
  <si>
    <t>XBDM1020HV2</t>
  </si>
  <si>
    <t>Bypass 16A Capacity</t>
  </si>
  <si>
    <t>XPC-90000251</t>
  </si>
  <si>
    <t>XPD31</t>
  </si>
  <si>
    <t>30A 240V 2U 19” Basic Power Distribution Unit</t>
  </si>
  <si>
    <t>XPC-90000252</t>
  </si>
  <si>
    <t>XPD32</t>
  </si>
  <si>
    <t>XPC-90000253</t>
  </si>
  <si>
    <t>XPD33</t>
  </si>
  <si>
    <t>XPC-90000053</t>
  </si>
  <si>
    <t>XPDU-IEC</t>
  </si>
  <si>
    <t>230V Basic Power Distribution Unit</t>
  </si>
  <si>
    <t>XPC-90000199</t>
  </si>
  <si>
    <t>XPD-AT15A</t>
  </si>
  <si>
    <t xml:space="preserve">1500W PDU with Transformer 208V to 120V </t>
  </si>
  <si>
    <t>XPC-90000269</t>
  </si>
  <si>
    <t>XAT-400</t>
  </si>
  <si>
    <t>400VA Step Down Transformer 208V to 120V</t>
  </si>
  <si>
    <t xml:space="preserve"> Extended 5 Year Factory Warranty for P80g-3000, P80-2000, P80-2200, P80-3000(V2), P90-2000, P90-3000, P90g-3000 UPS </t>
  </si>
  <si>
    <t xml:space="preserve">Extended 5 Year Factory Warranty for P90-BP36, P90-BP36E, P90-BP48, P90-BP72 </t>
  </si>
  <si>
    <t>XPC-90000580</t>
  </si>
  <si>
    <t>V80-700</t>
  </si>
  <si>
    <t xml:space="preserve"> 700VA/420W 120V UPS, 2U </t>
  </si>
  <si>
    <t>XPC-90000581</t>
  </si>
  <si>
    <t>V80-1000</t>
  </si>
  <si>
    <t xml:space="preserve"> 1000VA/600W 120V UPS , 2U </t>
  </si>
  <si>
    <t>XPC-90000582</t>
  </si>
  <si>
    <t>V80-1500</t>
  </si>
  <si>
    <t xml:space="preserve"> 1500VA/900W 120V UPS, 2U </t>
  </si>
  <si>
    <t>XPC-90000583</t>
  </si>
  <si>
    <t>V80-2000</t>
  </si>
  <si>
    <t xml:space="preserve"> 2000VA/1200W 120V UPS, 2U </t>
  </si>
  <si>
    <t>XPC-90000392</t>
  </si>
  <si>
    <t xml:space="preserve">PV-WMB </t>
  </si>
  <si>
    <t xml:space="preserve"> Wall Mount Bracket </t>
  </si>
  <si>
    <t xml:space="preserve">XBDM-1015LV </t>
  </si>
  <si>
    <t xml:space="preserve">Bypass 15A/120VAC for use with v80-700, V80-1000, V80-1500 </t>
  </si>
  <si>
    <t>XPC-90000480</t>
  </si>
  <si>
    <t>T91-700</t>
  </si>
  <si>
    <t>700VA/700W 120V Tower UPS</t>
  </si>
  <si>
    <t>XPC-90000481</t>
  </si>
  <si>
    <t>T91-1000</t>
  </si>
  <si>
    <t>1000VA/1000W 120V Tower UPS</t>
  </si>
  <si>
    <t>XPC-90000482</t>
  </si>
  <si>
    <t>T91-1500</t>
  </si>
  <si>
    <t>1500VA/1450W 120V Tower UPS</t>
  </si>
  <si>
    <t>XPC-90000483</t>
  </si>
  <si>
    <t>T91-2000</t>
  </si>
  <si>
    <t>2000VA/1930W 120V Tower UPS</t>
  </si>
  <si>
    <t>XPC-90000486</t>
  </si>
  <si>
    <t>T91-BP36A</t>
  </si>
  <si>
    <t>Extended Battery Pack for T91-1000, T91-1500</t>
  </si>
  <si>
    <t>XPC-90000487</t>
  </si>
  <si>
    <t>T91-BP72A</t>
  </si>
  <si>
    <t>Extended Battery Pack for T91-2000, T91i-2000, T91-3000</t>
  </si>
  <si>
    <t xml:space="preserve"> Two Port Internal SNMP Card </t>
  </si>
  <si>
    <t xml:space="preserve"> Environmental Monitoring Sensor</t>
  </si>
  <si>
    <t xml:space="preserve"> General Relay Contacts with DB9 &amp; Terminal Block Adapter</t>
  </si>
  <si>
    <t>400VA STEP DOWN TRANSFORMER</t>
  </si>
  <si>
    <t>XPC-90000488</t>
  </si>
  <si>
    <t>T915SP23</t>
  </si>
  <si>
    <t xml:space="preserve"> Extended 5 Year Factory Warranty for T91-700, T91-1000, T91-1500, UPS </t>
  </si>
  <si>
    <t>XPC-90000489</t>
  </si>
  <si>
    <t xml:space="preserve"> Extended 5 Year Factory Warranty for T91-2000, T91i-2000, T91-3000 UPS </t>
  </si>
  <si>
    <t>XPC-90000490</t>
  </si>
  <si>
    <t>T915SPBP</t>
  </si>
  <si>
    <t xml:space="preserve"> Extended 5 Year Factory Warranty for T91 extended battery packs </t>
  </si>
  <si>
    <t>XPC-90000435</t>
  </si>
  <si>
    <t>P90c-1000</t>
  </si>
  <si>
    <t xml:space="preserve"> 1000VA/800W 120V UPS  with 1A Charger, 1U </t>
  </si>
  <si>
    <t>XPC-90000905</t>
  </si>
  <si>
    <t>P90-1000</t>
  </si>
  <si>
    <t xml:space="preserve"> 1000VA/900W 120V UPS  with 1A Charger, 2U </t>
  </si>
  <si>
    <t>XPC-90000922</t>
  </si>
  <si>
    <t>P90-1500</t>
  </si>
  <si>
    <t xml:space="preserve"> 1500VA/1350W 120V UPS  with 1A Charger, 2U </t>
  </si>
  <si>
    <t>XPC-90000907</t>
  </si>
  <si>
    <t>P90-2000</t>
  </si>
  <si>
    <t>2000VA/1800W 120V UPS  with 1A Charger, 2U</t>
  </si>
  <si>
    <t>XPC-90000908</t>
  </si>
  <si>
    <t>P90-3000</t>
  </si>
  <si>
    <t xml:space="preserve"> 3000VA/2700W 120V UPS  with 1A Charger, 2U </t>
  </si>
  <si>
    <t>XPC-90000915</t>
  </si>
  <si>
    <t>P90-BP36</t>
  </si>
  <si>
    <t>36V Battery Pack for P90-1500, 2U</t>
  </si>
  <si>
    <t>XPC-90000923</t>
  </si>
  <si>
    <t>P90-BP36E</t>
  </si>
  <si>
    <t>36V 4 String Extended Battery Pack</t>
  </si>
  <si>
    <t>48V Battery Pack</t>
  </si>
  <si>
    <t>72V Battery Pack</t>
  </si>
  <si>
    <t>XPC-90000250</t>
  </si>
  <si>
    <t>P90-WMB</t>
  </si>
  <si>
    <t>WALL MOUNT BRACKET</t>
  </si>
  <si>
    <t>Front Rackmount Bracket</t>
  </si>
  <si>
    <t>XPC-90000260</t>
  </si>
  <si>
    <t>SNMP-1PMINI</t>
  </si>
  <si>
    <t>One Port Internal SNMP Card</t>
  </si>
  <si>
    <t>Synnex</t>
  </si>
  <si>
    <t>3S750</t>
  </si>
  <si>
    <t>Eaton 3S UPS, 750 VA, 450 W, 5-15P input, Outlets: (5) 5-15R, (5) 5-15R surge only</t>
  </si>
  <si>
    <t>3S550</t>
  </si>
  <si>
    <t>Eaton 3S UPS, 550 VA, 330 W, 5-15P input, Outlets: (4) 5-15R, (4) 5-15R surge only</t>
  </si>
  <si>
    <t>3S350</t>
  </si>
  <si>
    <t>Eaton 3S UPS, 350 VA, 200 W, 5-15P input, Outlets: (4) 5-15R, (4) 5-15R surge only</t>
  </si>
  <si>
    <t>9SX700</t>
  </si>
  <si>
    <t>Eaton 9SX online, extended runtime UPS, 700 VA, 630 W, 5-15P input, Outputs: (6) 5-15R</t>
  </si>
  <si>
    <t>9SX1000G</t>
  </si>
  <si>
    <t>Eaton 9SX online, extended runtime UPS, 1000 VA, 900 W, 208V, C14 input, Outputs (6) C13</t>
  </si>
  <si>
    <t>9SX1000</t>
  </si>
  <si>
    <t>Eaton 9SX online, extended runtime UPS, 1000 VA, 900 W, 5-15P input, Outputs: (6) 5-15R</t>
  </si>
  <si>
    <t>9SX1500G</t>
  </si>
  <si>
    <t>Eaton 9SX online, extended runtime UPS, 1500 VA, 1350 W, 208V, C14 input, Outputs: (8) C13,</t>
  </si>
  <si>
    <t>9SX1500</t>
  </si>
  <si>
    <t>Eaton 9SX online, extended runtime UPS, 1500 VA, 1350 W, 5-15P input</t>
  </si>
  <si>
    <t>9SX2000</t>
  </si>
  <si>
    <t>Eaton 9SX online, extended runtime UPS, 2000 VA, 1800 W, 5-20P input</t>
  </si>
  <si>
    <t>9SX3000</t>
  </si>
  <si>
    <t>Eaton 9SX online, extended runtime UPS, 3000 VA, 2700 W, 120V, L5-30P input,</t>
  </si>
  <si>
    <t>9SX3000G</t>
  </si>
  <si>
    <t>Eaton 9SX online, extended runtime UPS, 3000 VA, 2700 W, L6-20P input,</t>
  </si>
  <si>
    <t>5P550R</t>
  </si>
  <si>
    <t>Eaton 3S Series</t>
  </si>
  <si>
    <t>5P750</t>
  </si>
  <si>
    <t>Eaton 5PX Series</t>
  </si>
  <si>
    <t>5P750RC</t>
  </si>
  <si>
    <t>Back-UPS</t>
  </si>
  <si>
    <t>BE650G1</t>
  </si>
  <si>
    <t>APC Back-UPS 650</t>
  </si>
  <si>
    <t>EA</t>
  </si>
  <si>
    <t>BE550G</t>
  </si>
  <si>
    <t>APC Back-UPS ES 8 Outlet</t>
  </si>
  <si>
    <t>BE600M1</t>
  </si>
  <si>
    <t>APC Back-UPS BE600M1, 600VA, 120V,1 USB charging port</t>
  </si>
  <si>
    <t>BE425M</t>
  </si>
  <si>
    <t>APC Back-UPS, 6 Outlets, 425VA, 120V</t>
  </si>
  <si>
    <t>Back-UPS Pro</t>
  </si>
  <si>
    <t>BR1500MS</t>
  </si>
  <si>
    <t>Back UPS PRO BR 1500VA, SineWave, 10 Outlets, 2 USB Charging Ports, AVR, LCD interface</t>
  </si>
  <si>
    <t>BR1500G</t>
  </si>
  <si>
    <t>APC Power Saving Back-UPS Pro 1500</t>
  </si>
  <si>
    <t>BX1500M</t>
  </si>
  <si>
    <t>APC Back UPS Pro BX1500M, Compact Tower, 1500VA, AVR, LCD, 120V</t>
  </si>
  <si>
    <t>BR700G</t>
  </si>
  <si>
    <t>APC Power-Saving Back-UPS Pro 700</t>
  </si>
  <si>
    <t>BR1000MS</t>
  </si>
  <si>
    <t>Back UPS PRO BR 1000VA, SineWave, 10 Outlets, 2 USB Charging Ports, AVR, LCD interface</t>
  </si>
  <si>
    <t>BR1350MS</t>
  </si>
  <si>
    <t>Back UPS PRO BR 1350VA, SineWave, 10 Outlets, 2 USB Charging Ports, AVR, LCD interface</t>
  </si>
  <si>
    <t>BR1500MS2</t>
  </si>
  <si>
    <t>BR24BPG</t>
  </si>
  <si>
    <t>APC Back-UPS Pro External Battery Pack (for 1500VA Back-UPS Pro models)</t>
  </si>
  <si>
    <t>Power Strip</t>
  </si>
  <si>
    <t>PZ62B</t>
  </si>
  <si>
    <t>APC Power Strip 6 Outlet 2 Foot Cord 120V Black</t>
  </si>
  <si>
    <t>Avaya</t>
  </si>
  <si>
    <t>AVA-700513639</t>
  </si>
  <si>
    <t>Avaya J129 IP Phone 3PCC</t>
  </si>
  <si>
    <t>EACH</t>
  </si>
  <si>
    <t>AVA-700513917</t>
  </si>
  <si>
    <t>Avaya J139 IP Phone 3PCC</t>
  </si>
  <si>
    <t>AVA-700513636</t>
  </si>
  <si>
    <t>Avaya J169 IP Phone 3PCC</t>
  </si>
  <si>
    <t>AVA-700513630</t>
  </si>
  <si>
    <t>Avaya J179 IP Phone 3PCC</t>
  </si>
  <si>
    <t>AVA-700514009</t>
  </si>
  <si>
    <t>Avaya B109 BT Conference Phone</t>
  </si>
  <si>
    <t>AVA-700513322</t>
  </si>
  <si>
    <t>Avaya B179 SIP Conf Phone 3PCC PoE Only</t>
  </si>
  <si>
    <t>Yealink</t>
  </si>
  <si>
    <t>CATALYST</t>
  </si>
  <si>
    <t>VTECH</t>
  </si>
  <si>
    <t>VTE-80-H0AY-00-000</t>
  </si>
  <si>
    <t>Contemporary Analog 1-Line Cordless Phone</t>
  </si>
  <si>
    <t>VTE-80-H0BK-06-000</t>
  </si>
  <si>
    <t>Vtech Hospitality Phone A2310-NM Silver Black</t>
  </si>
  <si>
    <t>VTE-80-H0C5-00-000</t>
  </si>
  <si>
    <t>1-Line Contemporary SIP Petite Phone</t>
  </si>
  <si>
    <t>VTE-80-S002-00</t>
  </si>
  <si>
    <t>VTech/Snom D700</t>
  </si>
  <si>
    <t>VTE-80-S005-00</t>
  </si>
  <si>
    <t>VTech Eris SIP Phone</t>
  </si>
  <si>
    <t>VTE-D120</t>
  </si>
  <si>
    <t>VTech/Snom D700 Series</t>
  </si>
  <si>
    <t>VTE-D7</t>
  </si>
  <si>
    <t>Expansion Module, 4.3" mono LCD</t>
  </si>
  <si>
    <t>VTE-D712</t>
  </si>
  <si>
    <t>SIP Phone, 4 SIP accounts, 3.2" 128x48 mono LCD, 10/100, black</t>
  </si>
  <si>
    <t>VTE-D715</t>
  </si>
  <si>
    <t>SIP Phone, 4 SIP accounts, 3.2" 128x48 mono LCD, GigE, USB, black</t>
  </si>
  <si>
    <t>VTE-D745</t>
  </si>
  <si>
    <t>SIP Phone, 12 SIP accounts, 3.2" 300x100 mono LCD, GigE, USB, black</t>
  </si>
  <si>
    <t>VTE-M25</t>
  </si>
  <si>
    <t>Office Handset, 1.44" TFT color display (128x128)</t>
  </si>
  <si>
    <t>VTE-C520</t>
  </si>
  <si>
    <t>SIP Conference 3 SIP accounts</t>
  </si>
  <si>
    <t>VTE-C52-SP</t>
  </si>
  <si>
    <t>DECT Expansion Speakerphone REQUIRES C520, C620</t>
  </si>
  <si>
    <t>VTE-C620</t>
  </si>
  <si>
    <t>SIP Wireless Conference Wireless with DECT base</t>
  </si>
  <si>
    <t>VTE-M100KLE</t>
  </si>
  <si>
    <t>SIP DECT 4-Line Base Station 8 SIP account</t>
  </si>
  <si>
    <t>VTE-M10KLE</t>
  </si>
  <si>
    <t>SIP DECT 4-Line Rugged Handset 8 SIP account</t>
  </si>
  <si>
    <t>VTE-M18KLE</t>
  </si>
  <si>
    <t>SIP DECT 4-Line Deskset REQUIRES M100 KLE" 8 SIP account</t>
  </si>
  <si>
    <t>VTE-M325</t>
  </si>
  <si>
    <t>DECT Bundle, Single-cell (M300 + M25)</t>
  </si>
  <si>
    <t>VTE-00-S000-00</t>
  </si>
  <si>
    <t>Snom Replacement Battery, battery for M65/M85</t>
  </si>
  <si>
    <t>VTE-00-S013-00</t>
  </si>
  <si>
    <t>Snom Wall Mount Kit, wall mount kit for D7xx, black</t>
  </si>
  <si>
    <t>VTE-26-350200-3UL</t>
  </si>
  <si>
    <t>VTech/Snom Power Supplies &amp; Adapters</t>
  </si>
  <si>
    <t>VTE-46-018018-000</t>
  </si>
  <si>
    <t>Snom Handset Wire, coiled handset cord for D7xx, black</t>
  </si>
  <si>
    <t>VTE-80-9398-00</t>
  </si>
  <si>
    <t>ErisStation Conference Phone with Wireless Mics Analog</t>
  </si>
  <si>
    <t>VTE-85-00S000-002</t>
  </si>
  <si>
    <t>Snom Replacement Handset for D7xx, black</t>
  </si>
  <si>
    <t>VTE-A100D</t>
  </si>
  <si>
    <t>Wired Double-Sided Binaural Office Headset</t>
  </si>
  <si>
    <t>VTE-A171</t>
  </si>
  <si>
    <t>DECT Headset Accessory headset</t>
  </si>
  <si>
    <t>VTE-A210</t>
  </si>
  <si>
    <t>Wi-Fi USB Dongle USB Wi-Fi dongle for Snom D7xx series</t>
  </si>
  <si>
    <t>VTE-A230</t>
  </si>
  <si>
    <t>DECT USB Dongle USB DECT dongle for Snom D7xx series</t>
  </si>
  <si>
    <t>VTE-A5</t>
  </si>
  <si>
    <t>SNOM G.729 DSP MODULE FOR M700 - RTX</t>
  </si>
  <si>
    <t>VTE-A700</t>
  </si>
  <si>
    <t>Ceiling Mounting Kit, ceiling mounted kits for M700</t>
  </si>
  <si>
    <t>VTE-D785</t>
  </si>
  <si>
    <t>EHS wireless headset adapter D7xx / D3xx, black</t>
  </si>
  <si>
    <t>VTE-EHS101</t>
  </si>
  <si>
    <t>EHS wireless headset adapter for VH62xx series</t>
  </si>
  <si>
    <t>VTE-EHS102</t>
  </si>
  <si>
    <t>VTE-HS-MM2</t>
  </si>
  <si>
    <t>Snom HS-MM2, corded headset HS-MM2, black</t>
  </si>
  <si>
    <t>VTE-M5</t>
  </si>
  <si>
    <t>DECT Repeater, wideband support</t>
  </si>
  <si>
    <t>VTE-M65</t>
  </si>
  <si>
    <t>Professional Handset, 2" diagonal TFT color LCS (176x220) backlit</t>
  </si>
  <si>
    <t>VTE-M700</t>
  </si>
  <si>
    <t>DECT Multi-cell base station, scale up to 50 base stations</t>
  </si>
  <si>
    <t>VTE-M85</t>
  </si>
  <si>
    <t>Industrial Handset, 2" diagonal TFT color LCS (176x220) backlit</t>
  </si>
  <si>
    <t>VTE-A1</t>
  </si>
  <si>
    <t>PA1 broadcast over IP system, black</t>
  </si>
  <si>
    <t>VTE-SB67108</t>
  </si>
  <si>
    <t>SynJ 4-Line Cordless Accessory Handset</t>
  </si>
  <si>
    <t>VTE-SB67148</t>
  </si>
  <si>
    <t>SynJ 4-Line Deskset</t>
  </si>
  <si>
    <t>VTE-TL7800</t>
  </si>
  <si>
    <t>VTech Eris DECT Deskset</t>
  </si>
  <si>
    <t>VTE-TL7812</t>
  </si>
  <si>
    <t>VTech Eris DECT Headsets</t>
  </si>
  <si>
    <t>VTE-VCS702-WM</t>
  </si>
  <si>
    <t>VTech ErisStation VCS704-WM Replacement Mic for VCS704, black</t>
  </si>
  <si>
    <t>VTE-VCS754-WM</t>
  </si>
  <si>
    <t>VTech ErisStation VCS754-WM Replacement Mic for VCS754, gun metal</t>
  </si>
  <si>
    <t>VTE-VH6102</t>
  </si>
  <si>
    <t>DECT Cordless Headset, accessory headset, 500FT range</t>
  </si>
  <si>
    <t>VTE-VSP08</t>
  </si>
  <si>
    <t>VSP08 Expansion Module, 4.3" mono LCD (384x160)</t>
  </si>
  <si>
    <t>VTE-VSP505</t>
  </si>
  <si>
    <t>VTE-VSP715-ADPT</t>
  </si>
  <si>
    <t>Optional AC Adapter 5V @ 700mAh, powers VSP705 and VSP715 only, black</t>
  </si>
  <si>
    <t>VTE-VSP-PWR02</t>
  </si>
  <si>
    <t>Optional AC adapter 5V @ 1.5A, power 1 deskset, black</t>
  </si>
  <si>
    <t>VTE-VU-060</t>
  </si>
  <si>
    <t>DECT USB Dongle USB DECT dongle for ET6xx / Snom D7xx series</t>
  </si>
  <si>
    <t>ITW Linx</t>
  </si>
  <si>
    <t>ITW-M4KSU</t>
  </si>
  <si>
    <t>4 Outlet AC Surge Protector</t>
  </si>
  <si>
    <t>ITW-M8KSU</t>
  </si>
  <si>
    <t>8 Outlet AC Surge Protector</t>
  </si>
  <si>
    <t>ITW-M8COM</t>
  </si>
  <si>
    <t>8 Outlet AC Surge Protector with Protection for Lines</t>
  </si>
  <si>
    <t>ITW-M2T</t>
  </si>
  <si>
    <t>2 outlet AC protection, 1 line protected, RJ-11 connector</t>
  </si>
  <si>
    <t>ITW-MCO4</t>
  </si>
  <si>
    <t>Protects up to four lines using two RJ-14 connectors</t>
  </si>
  <si>
    <t>ITW-MCO4110</t>
  </si>
  <si>
    <t>TowerMax ITW Linx MCO4110 Protector</t>
  </si>
  <si>
    <t>ITW-MCO4X4</t>
  </si>
  <si>
    <t>Surge Protector for RJ-11/45 Connectors</t>
  </si>
  <si>
    <t>ITW-MCO8110</t>
  </si>
  <si>
    <t>Surge Protector Protects up to 16 Lines</t>
  </si>
  <si>
    <t>ITW-MDS2</t>
  </si>
  <si>
    <t>Surge Protector for 1 RJ-45 line, or 2 RJ-11/45 Lines</t>
  </si>
  <si>
    <t>ITW-MDS25</t>
  </si>
  <si>
    <t>Surge Protector for 25 2-Wire or 12 4-Wire RJ-21X Lines</t>
  </si>
  <si>
    <t>ITW-MLLT1</t>
  </si>
  <si>
    <t>Surge Protector for 2 T1 or ISDN Lines</t>
  </si>
  <si>
    <t>CAT5-POE</t>
  </si>
  <si>
    <t>towerMAX CAT5-POE (Protects 4 Pair, CAT5e Rated, Cable</t>
  </si>
  <si>
    <t>CAT6-235</t>
  </si>
  <si>
    <t>1 Gb rated, protects 4 pair CAT6 rated cable</t>
  </si>
  <si>
    <t>CAT6-75</t>
  </si>
  <si>
    <t>Surge Protector for CAT6 Outside Plant and UTP Cables</t>
  </si>
  <si>
    <t>CAT6-75-MM</t>
  </si>
  <si>
    <t>1Gb Rated, 4 pair Protector, Solid State, RJ45 in &amp; OUT</t>
  </si>
  <si>
    <t>CAT6-75-RJ45-POE</t>
  </si>
  <si>
    <t>1 Gb rated, protects 4 pair CAT6 rated</t>
  </si>
  <si>
    <t>CAT6A-LAN</t>
  </si>
  <si>
    <t>10 Gb rated protects 4 pair CAT6A rated cab</t>
  </si>
  <si>
    <t>CAT6-LAN</t>
  </si>
  <si>
    <t>Discount</t>
  </si>
  <si>
    <t>VIKING ELECTRONICS</t>
  </si>
  <si>
    <t>VIK-E-1600-02-IP</t>
  </si>
  <si>
    <t>Stainless Steel Flush Mount VoIP Emergency Phone</t>
  </si>
  <si>
    <t>VIK-E-1600-02-IPEWP</t>
  </si>
  <si>
    <t>Stainless Steel Flush Mount VoIP Emergency Phone with Enhanced Weather Protection</t>
  </si>
  <si>
    <t>VIK-E-1600-02A</t>
  </si>
  <si>
    <t>Stainless Steel Emergency Phone</t>
  </si>
  <si>
    <t>VIK-E-1600-02A-EWP</t>
  </si>
  <si>
    <t>Stainless Steel Emergency Phone with Enhanced Weather Protection</t>
  </si>
  <si>
    <t>VIK-E-1600-03-IP</t>
  </si>
  <si>
    <t>Surface Mount VoIP Emergency Phone</t>
  </si>
  <si>
    <t>VIK-E-1600-03-IPEWP</t>
  </si>
  <si>
    <t>Surface Mount VoIP Emergency Phone with Enhanced Weather Protection</t>
  </si>
  <si>
    <t>VIK-E-1600-03B</t>
  </si>
  <si>
    <t>Surface Mount Emergency Phone</t>
  </si>
  <si>
    <t>VIK-E-1600-03B-EWP</t>
  </si>
  <si>
    <t>Surface Mount Emergency Phone with Enhanced Weather Protection</t>
  </si>
  <si>
    <t>VIK-E-1600-20-IP</t>
  </si>
  <si>
    <t>Two Button VoIP Emergency Phone</t>
  </si>
  <si>
    <t>VIK-E-1600-20-IPEWP</t>
  </si>
  <si>
    <t>Two Button VoIP Emergency Phone with Enhanced Weather Protection</t>
  </si>
  <si>
    <t>VIK-E-1600-20A</t>
  </si>
  <si>
    <t>Two Button Stainless Steel Emergency Phone</t>
  </si>
  <si>
    <t>VIK-E-1600-20A-EWP</t>
  </si>
  <si>
    <t>Two Button Stainless Steel Emergency Phone with Enhanced Weather Protection</t>
  </si>
  <si>
    <t>VIK-E-1600-22-IP</t>
  </si>
  <si>
    <t>Two Button Double Gang Box Mount VoIP Emergency Phone</t>
  </si>
  <si>
    <t>VIK-E-1600-22-IPEWP</t>
  </si>
  <si>
    <t>Two Button Double Gang Box Mount VoIP Emergency Phone with Enhanced Weather Protection</t>
  </si>
  <si>
    <t>VIK-E-1600-30-IP</t>
  </si>
  <si>
    <t>Stainless Steel VoIP Emergency Phone</t>
  </si>
  <si>
    <t>VIK-E-1600-30-IPEWP</t>
  </si>
  <si>
    <t>Stainless Steel VoIP Emergency Phone with Enhanced Weather Protection</t>
  </si>
  <si>
    <t>VIK-E-1600-30A</t>
  </si>
  <si>
    <t>VIK-E-1600-30A-EWP</t>
  </si>
  <si>
    <t>VIK-E-1600-32-IP</t>
  </si>
  <si>
    <t>Double Gang Box Mount Stainless Steel VoIP Emergency Phone</t>
  </si>
  <si>
    <t>VIK-E-1600-32-IPEWP</t>
  </si>
  <si>
    <t>Double Gang Box Mount Stainless Steel VoIP Emergency Phone with Enhanced Weather Protection</t>
  </si>
  <si>
    <t>VIK-E-1600-32A-EWP</t>
  </si>
  <si>
    <t>Double Gang Box Mount Stainless Steel Emergency Phone with Enhanced Weather Protection</t>
  </si>
  <si>
    <t>VIK-E-1600-40-IP</t>
  </si>
  <si>
    <t>Plain Red VoIP Emergency Phone</t>
  </si>
  <si>
    <t>VIK-E-1600-40-IPEWP</t>
  </si>
  <si>
    <t>VIK-E-1600-40A</t>
  </si>
  <si>
    <t>Plain Red Emergency Phone</t>
  </si>
  <si>
    <t>VIK-E-1600-40A-EWP</t>
  </si>
  <si>
    <t>VIK-E-1600-45-IP</t>
  </si>
  <si>
    <t>Yellow VoIP Emergency Phone</t>
  </si>
  <si>
    <t>VIK-E-1600-45-IPEWP</t>
  </si>
  <si>
    <t>VIK-E-1600-45A</t>
  </si>
  <si>
    <t>Yellow Emergency Phone</t>
  </si>
  <si>
    <t>VIK-E-1600-45A-EWP</t>
  </si>
  <si>
    <t>VIK-E-1600-50-IP</t>
  </si>
  <si>
    <t>VoIP Emergency Phone Parts Kit</t>
  </si>
  <si>
    <t>VIK-E-1600-50-IPEWP</t>
  </si>
  <si>
    <t>Emergency Phone Parts Kit</t>
  </si>
  <si>
    <t>VIK-E-1600-50A</t>
  </si>
  <si>
    <t>VIK-E-1600-50A-EWP</t>
  </si>
  <si>
    <t>Emergency Phone Parts Kit with Enhanced Weather Protection (EWP)</t>
  </si>
  <si>
    <t>VIK-E-1600-52-IP</t>
  </si>
  <si>
    <t>Two Button VoIP Emergency Phone Parts Kit</t>
  </si>
  <si>
    <t>VIK-E-1600-52-IPEWP</t>
  </si>
  <si>
    <t>VIK-E-1600-52A</t>
  </si>
  <si>
    <t>Two Button Emergency Phone Parts Kit</t>
  </si>
  <si>
    <t>VIK-E-1600-52A-EWP</t>
  </si>
  <si>
    <t>Two Button Emergency Phone Parts Kit with Enhanced Weather Protection (EWP)</t>
  </si>
  <si>
    <t>VIK-E-1600-53-IP</t>
  </si>
  <si>
    <t>Analog to VoIP Conversion Kit</t>
  </si>
  <si>
    <t>VIK-E-1600-53-IPEWP</t>
  </si>
  <si>
    <t>Analog to VoIP Conversion Kit with Enhanced Weather Protection (EWP)</t>
  </si>
  <si>
    <t>VIK-E-1600-55-IP</t>
  </si>
  <si>
    <t>VoIP Emergency Phone Kit for Custom Installs</t>
  </si>
  <si>
    <t>VIK-E-1600-55-IPEWP</t>
  </si>
  <si>
    <t>VoIP Emergency Phone Kit for Custom Installs with Enhanced Weather Protection (EWP)</t>
  </si>
  <si>
    <t>VIK-E-1600-55A</t>
  </si>
  <si>
    <t>Emergency Phone Kit for Custom Installs</t>
  </si>
  <si>
    <t>VIK-E-1600-55A-EWP</t>
  </si>
  <si>
    <t>Emergency Phone Kit for Custom Installs with Enhanced Weather Protection</t>
  </si>
  <si>
    <t>VIK-E-1600-60-IP</t>
  </si>
  <si>
    <t>Blue VoIP Emergency "Police" Phone</t>
  </si>
  <si>
    <t>VIK-E-1600-60-IPEWP</t>
  </si>
  <si>
    <t>Blue VoIP Emergency "Police" Phone with Enhanced Weather Protection (EWP)</t>
  </si>
  <si>
    <t>VIK-E-1600-60A</t>
  </si>
  <si>
    <t>Blue Emergency "Police" Phone</t>
  </si>
  <si>
    <t>VIK-E-1600-60A-EWP</t>
  </si>
  <si>
    <t>Blue Emergency "Police" Phone with Enhanced Weather Protection (EWP)</t>
  </si>
  <si>
    <t>VIK-E-1600-65-IP</t>
  </si>
  <si>
    <t>Blue VoIP Emergency Phone</t>
  </si>
  <si>
    <t>VIK-E-1600-65-IPEWP</t>
  </si>
  <si>
    <t>Blue VoIP Emergency Phone with Enhanced Weather Protection (EWP)</t>
  </si>
  <si>
    <t>VIK-E-1600-65A</t>
  </si>
  <si>
    <t>Blue Emergency Phone</t>
  </si>
  <si>
    <t>VIK-E-1600-65A-EWP</t>
  </si>
  <si>
    <t>Blue Emergency Phone with Enhanced Weather Protection (EWP)</t>
  </si>
  <si>
    <t>VIK-E-1600-BLTIPEWP</t>
  </si>
  <si>
    <t>VoIP Emergency Tower Phone with Enhanced Weather Protection (EWP)</t>
  </si>
  <si>
    <t>VIK-E-1600-GT-IPEWP</t>
  </si>
  <si>
    <t>VoIP Emergency Phone Replacement for GAI-Tronics with Enhanced Weather Protection (EWP)</t>
  </si>
  <si>
    <t>VIK-E-1600-IP</t>
  </si>
  <si>
    <t>Red VoIP Emergency Phone</t>
  </si>
  <si>
    <t>VIK-E-1600-IP-EWP</t>
  </si>
  <si>
    <t>Red VoIP Emergency Phone with Enhanced Weather Protection</t>
  </si>
  <si>
    <t>VIK-E-1600-TP-IPEWP</t>
  </si>
  <si>
    <t>VoIP Emergency Phone Replacement for Talk-A-Phone with Enhanced Weather Protection (EWP)</t>
  </si>
  <si>
    <t>VIK-E-1600-TP2IPEWP</t>
  </si>
  <si>
    <t>Two Button VoIP Emergency Phone Replacement for Talk-A-Phone with Enhanced Weather Protection (EWP)</t>
  </si>
  <si>
    <t>VIK-E-1600A</t>
  </si>
  <si>
    <t>Red Emergency Phone</t>
  </si>
  <si>
    <t>VIK-E-1600A-AST-EWP</t>
  </si>
  <si>
    <t>Assistance Tower Phone with Enhanced Weather Protection (EWP)</t>
  </si>
  <si>
    <t>VIK-E-1600A-AST2EWP</t>
  </si>
  <si>
    <t>Assistance Tower Phone with Two Buttons and Enhanced Weather Protection (EWP)</t>
  </si>
  <si>
    <t>VIK-E-1600A-BLT-EWP</t>
  </si>
  <si>
    <t>Emergency Tower Phone with Enhanced Weather Protection (EWP)</t>
  </si>
  <si>
    <t>VIK-E-1600A-BLT2EWP</t>
  </si>
  <si>
    <t>Emergency Tower Phone with Two Buttons and Enhanced Weather Protection (EWP)</t>
  </si>
  <si>
    <t>VIK-E-1600A-EWP</t>
  </si>
  <si>
    <t>Red Emergency Phone with Enhanced Weather Protection</t>
  </si>
  <si>
    <t>VIK-E-1600A-GT-EWP</t>
  </si>
  <si>
    <t>Emergency Phone Replacement for GAI-Tronics with Enhanced Weather Protection (EWP)</t>
  </si>
  <si>
    <t>VIK-E-1600A-MK-GNP</t>
  </si>
  <si>
    <t>Gooseneck Pedestal Mounting Kit</t>
  </si>
  <si>
    <t>VIK-E-1600A-TP-EWP</t>
  </si>
  <si>
    <t>Emergency Phone Replacement for Talk-A-Phone with Enhanced Weather Protection (EWP)</t>
  </si>
  <si>
    <t>VIK-E-1600A-TP2-EWP</t>
  </si>
  <si>
    <t>Two Button Emergency Phone Replacement for Talk-A-Phone with Enhanced Weather Protection (EWP)</t>
  </si>
  <si>
    <t>VIK-E-1600AST2IPEWP</t>
  </si>
  <si>
    <t>VoIP Assistance Tower Phone with Two Buttons and Enhanced Weather Protection (EWP)</t>
  </si>
  <si>
    <t>VIK-K-1500-6A</t>
  </si>
  <si>
    <t>Compact Vandal Resistant Panel Phone</t>
  </si>
  <si>
    <t>VIK-K-1500-7</t>
  </si>
  <si>
    <t>Vandal Resistant Panel Phone</t>
  </si>
  <si>
    <t>VIK-K-1500-EHFA</t>
  </si>
  <si>
    <t>Handsfree Emergency / Elevator Phone</t>
  </si>
  <si>
    <t>VIK-K-1500P-D</t>
  </si>
  <si>
    <t>Desk Phone with Built-In Ringer, Red Color</t>
  </si>
  <si>
    <t>VIK-K-1500P-D ASH</t>
  </si>
  <si>
    <t>Desk Phone with Built-In Ringer, Ash Color</t>
  </si>
  <si>
    <t>VIK-K-1600-EHFA</t>
  </si>
  <si>
    <t>Emergency Phone for Elevator Phone Box</t>
  </si>
  <si>
    <t>VIK-K-1900-3</t>
  </si>
  <si>
    <t>Apartment / Office Entry Controller</t>
  </si>
  <si>
    <t>VIK-K-1900-30</t>
  </si>
  <si>
    <t>Smart Touch Tone Dialer with Redialing</t>
  </si>
  <si>
    <t>VIK-K-1900-4</t>
  </si>
  <si>
    <t>Hot-Line Pulse Dialer</t>
  </si>
  <si>
    <t>VIK-K-1900-5</t>
  </si>
  <si>
    <t>Hot-Line Dialer</t>
  </si>
  <si>
    <t>VIL-K-1900-6</t>
  </si>
  <si>
    <t>Network Insert Dialer</t>
  </si>
  <si>
    <t>VIK-K-1900-7</t>
  </si>
  <si>
    <t>Hot-Line Panel Phone</t>
  </si>
  <si>
    <t>VIK-K-1900-7-EWP</t>
  </si>
  <si>
    <t>VIK-K-1900-712L</t>
  </si>
  <si>
    <t>Hot-Line Panel Phone with 12” Armored Cable and Lanyard</t>
  </si>
  <si>
    <t>VIK-K-1900-712L-EWP</t>
  </si>
  <si>
    <t xml:space="preserve">Hot-Line Panel Phone with 12” Armored Cable, Lanyard, and Enhanced Weather Protection </t>
  </si>
  <si>
    <t>VIK-K-1900-712L-IP</t>
  </si>
  <si>
    <t>VoIP Panel Phone with 12" Handset Cable and Lanyard</t>
  </si>
  <si>
    <t>VIK-K-1900-8</t>
  </si>
  <si>
    <t>VIK-K-1900-8-EWP</t>
  </si>
  <si>
    <t>Hot-Line Panel Phone with Enhanced Weather Protection</t>
  </si>
  <si>
    <t>VIK-K-1900-8-IP</t>
  </si>
  <si>
    <t>VoIP Phone with Entry System</t>
  </si>
  <si>
    <t>VIK-K-1900-812L</t>
  </si>
  <si>
    <t>Hot-Line Panel Phone with 12" Armored Cable, Lanyard, and Keypad</t>
  </si>
  <si>
    <t>VIK-K-1900-812L-IP</t>
  </si>
  <si>
    <t>VoIP Panel Phone with 12" Handset Cable and Keypad</t>
  </si>
  <si>
    <t>VIK-K-1900-9</t>
  </si>
  <si>
    <t>AC Powered Single or Multi-Number Dialer</t>
  </si>
  <si>
    <t>VIK-K-1900712LIPEWP</t>
  </si>
  <si>
    <t>VoIP Panel Phone with 12" Handset Cable, Lanyard, and Enhanced Weather Protection</t>
  </si>
  <si>
    <t>VIK-K-1900812LIPEWP</t>
  </si>
  <si>
    <t>VoIP Panel Phone with 12" Handset Cable, Keypad, and Enhanced Weather Protection</t>
  </si>
  <si>
    <t>VIK-K-1900D-2 ASH</t>
  </si>
  <si>
    <t>Hot-Line Desk Phone, Red Color</t>
  </si>
  <si>
    <t>Hot-Line Desk Phone, Ash Color</t>
  </si>
  <si>
    <t>VIK-K-1900W-2</t>
  </si>
  <si>
    <t>Hot-Line Wall Phone, Red Color</t>
  </si>
  <si>
    <t>VIK-K-1200</t>
  </si>
  <si>
    <t>12 Button Apartment Entry Phone</t>
  </si>
  <si>
    <t>VIK-K-1200-EWP</t>
  </si>
  <si>
    <t>12 Button Apartment Entry Phone with Enhanced Weather Protection</t>
  </si>
  <si>
    <t>VIK-K-1200-IP</t>
  </si>
  <si>
    <t>12 Button VoIP Entry Phone System</t>
  </si>
  <si>
    <t>VIK-K-1200-IP-EWP</t>
  </si>
  <si>
    <t>12 Button VoIP Entry Phone System with Enhanced Weather Protection</t>
  </si>
  <si>
    <t>VIK-K-1205</t>
  </si>
  <si>
    <t>12 Button Apartment Entry Phone with Video</t>
  </si>
  <si>
    <t>VIK-K-1205-EWP</t>
  </si>
  <si>
    <t>12 Button Apartment Entry Phone with Video and Enhanced Weather Protection</t>
  </si>
  <si>
    <t>VIK-K-1205-IP</t>
  </si>
  <si>
    <t>12 Button VoIP Entry Phone System with Video</t>
  </si>
  <si>
    <t>VIK-K-1205-IP-EWP</t>
  </si>
  <si>
    <t>12 Button VoIP Entry Phone System with Video and Enhanced Weather Protection</t>
  </si>
  <si>
    <t>VIK-K-1270</t>
  </si>
  <si>
    <t>12 Button Apartment Entry Phone with Proximity Reader</t>
  </si>
  <si>
    <t>VIK-K-1270-EWP</t>
  </si>
  <si>
    <t>12 Button Apartment Entry Phone with Proximity Reader and Enhanced Weather Protection</t>
  </si>
  <si>
    <t>VIK-K-1270-IP</t>
  </si>
  <si>
    <t>12 Button VoIP Entry Phone System with Proximity Reader</t>
  </si>
  <si>
    <t>VIK-K-1270-IP-EWP</t>
  </si>
  <si>
    <t>12 Button VoIP Entry Phone System with Proximity Reader and Enhanced Weather Protection</t>
  </si>
  <si>
    <t>VIK-K-1275</t>
  </si>
  <si>
    <t>12 Button Apartment Entry Phone with Video Camera and Proximity Reader</t>
  </si>
  <si>
    <t>VIK-K-1275-EWP</t>
  </si>
  <si>
    <t>12 Button Apartment Entry Phone with Video, Proximity Reader, and Enhanced Weather Protection</t>
  </si>
  <si>
    <t>VIK-K-1275-IP</t>
  </si>
  <si>
    <t>12 Button VoIP Entry Phone System with Video and Proximity Reader</t>
  </si>
  <si>
    <t>VIK-K-1275-IP-EWP</t>
  </si>
  <si>
    <t>12 Button VoIP Entry Phone System with Video, Proximity Reader, and Enhanced Weather Protection</t>
  </si>
  <si>
    <t>VIK-K-1700-3</t>
  </si>
  <si>
    <t>Entry Phone with Keypad, Brushed Stainless Finish</t>
  </si>
  <si>
    <t>VIK-K-1700-3-BN-EWP</t>
  </si>
  <si>
    <t>Entry Phone with Keypad and Enhanced Weather Protection, Bronze Finish</t>
  </si>
  <si>
    <t>VIK-K-1700-3-EWP</t>
  </si>
  <si>
    <t>Entry Phone with Keypad and Enhanced Weather Protection, Brushed Stainless Finish</t>
  </si>
  <si>
    <t>VIK-K-1700-IP</t>
  </si>
  <si>
    <t>VoIP Entry Phone System, Brushed Stainless Finish</t>
  </si>
  <si>
    <t>VIK-K-1700-IP-EWP</t>
  </si>
  <si>
    <t>VoIP Entry Phone with Enhanced Weather Protection, Brushed Stainless Finish</t>
  </si>
  <si>
    <t>VIK-K-1705-3</t>
  </si>
  <si>
    <t>Entry Phone with Camera, Brushed Stainless Finish</t>
  </si>
  <si>
    <t>VIK-K-1705-3-BN-EWP</t>
  </si>
  <si>
    <t>Entry Phone with Camera and Enhanced Weather Protection, Bronze Finish</t>
  </si>
  <si>
    <t>VIK-K-1705-3-EWP</t>
  </si>
  <si>
    <t>Entry Phone with Camera and Enhanced Weather Protection, Brushed Stainless Finish</t>
  </si>
  <si>
    <t>VIK-K-1705-IP-EWP</t>
  </si>
  <si>
    <t>VoIP Entry Phone System with Analog Camera and Enhanced Weather Protection, Brushed Stainless Finish</t>
  </si>
  <si>
    <t>VIK-K-1770-3</t>
  </si>
  <si>
    <t>Entry Phone with Proximity Reader, Brushed Stainless Finish</t>
  </si>
  <si>
    <t>VIK-K-1770-3-EWP</t>
  </si>
  <si>
    <t>Entry Phone with Proximity Reader and Enhanced Weather Protection, Brushed Stainless Finish</t>
  </si>
  <si>
    <t>VIK-K-1775-3-EWP</t>
  </si>
  <si>
    <t>Entry Phone with Camera, Proximity Reader, and Enhanced Weather Protection, Brushed Stainless Finish</t>
  </si>
  <si>
    <t>VIK-W-1000</t>
  </si>
  <si>
    <t>Vandal Resistant Handsfree Doorbox</t>
  </si>
  <si>
    <t>VIK-W-1000-EWP</t>
  </si>
  <si>
    <t>Vandal Resistant Handsfree Doorbox with EWP</t>
  </si>
  <si>
    <t>VIK-W-2000A</t>
  </si>
  <si>
    <t>Handsfree Doorbox</t>
  </si>
  <si>
    <t>VIK-W-2000A-EWP</t>
  </si>
  <si>
    <t>Handsfree Doorbox with EWP</t>
  </si>
  <si>
    <t>VIK-W-3000</t>
  </si>
  <si>
    <t>Stainless Steel Handsfree Doorbox</t>
  </si>
  <si>
    <t>VIK-W-3000-EWP</t>
  </si>
  <si>
    <t>Stainless Steel Handsfree Doorbox with Enhanced Weather Protection</t>
  </si>
  <si>
    <t>VIK-W-3005</t>
  </si>
  <si>
    <t>Handsfree Doorbox with Color Video Camera</t>
  </si>
  <si>
    <t>VIK-W-3005-EWP</t>
  </si>
  <si>
    <t>Doorbox with Color Video and Enhanced Weather Protection</t>
  </si>
  <si>
    <t>VIK-X-205-SS</t>
  </si>
  <si>
    <t>Compact IP Entry Phone with HD Video, Stainless Steel Finish</t>
  </si>
  <si>
    <t>VIK-X-35-BK</t>
  </si>
  <si>
    <t>IP Entry Phone with HD Video, Black Finish</t>
  </si>
  <si>
    <t>VIK-X-35-BK-EWP</t>
  </si>
  <si>
    <t>IP Entry Phone with HD Video and EWP, Black Finish</t>
  </si>
  <si>
    <t>VIK-E-10-IP</t>
  </si>
  <si>
    <t>IP Entry Phone, Black Finish</t>
  </si>
  <si>
    <t>VIK-E-10-IP-EWP</t>
  </si>
  <si>
    <t>IP Entry Phone with Enhanced Weather Protection, Black Finish</t>
  </si>
  <si>
    <t>VIK-E-10A</t>
  </si>
  <si>
    <t>Entry Phone, Black Finish</t>
  </si>
  <si>
    <t>VIK-E-10A-EWP</t>
  </si>
  <si>
    <t>Entry Phone with Enhanced Weather Protection, Black Finish</t>
  </si>
  <si>
    <t>VIK-E-20-IP</t>
  </si>
  <si>
    <t>Surface Mount VoIP Entry Phone</t>
  </si>
  <si>
    <t>VIK-E-20-IP-EWP</t>
  </si>
  <si>
    <t>Surface Mount VoIP Entry Phone with EWP</t>
  </si>
  <si>
    <t>VIK-E-20B</t>
  </si>
  <si>
    <t>Surface Mount Entry Phone</t>
  </si>
  <si>
    <t>VIK-E-20B-EWP</t>
  </si>
  <si>
    <t>Surface Mount Entry Phone with Enhanced Weather Protection</t>
  </si>
  <si>
    <t>VIK-E-30</t>
  </si>
  <si>
    <t>Handsfree Speaker Phone with Dialer</t>
  </si>
  <si>
    <t>VIK-E-30-EWP</t>
  </si>
  <si>
    <t>VIK-E-30-IP</t>
  </si>
  <si>
    <t>VoIP Entry Phone</t>
  </si>
  <si>
    <t>VIK-E-30-IP-EWP</t>
  </si>
  <si>
    <t>VIK-E-30-PT</t>
  </si>
  <si>
    <t>Push-to-Talk Phone</t>
  </si>
  <si>
    <t>VIK-E-30-PT-EWP</t>
  </si>
  <si>
    <t>VIK-E-32</t>
  </si>
  <si>
    <t>Stainless Steel Handsfree Speaker Phone</t>
  </si>
  <si>
    <t>VIK-E-32-EWP</t>
  </si>
  <si>
    <t>Stainless Steel Handsfree Speaker Phone with EWP</t>
  </si>
  <si>
    <t>VIK-E-32-IP</t>
  </si>
  <si>
    <t>Double Gang Stainless Steel VoIP Entry Phone</t>
  </si>
  <si>
    <t>VIK-E-32-IP-EWP</t>
  </si>
  <si>
    <t>Double Gang Stainless Steel VoIP Entry Phone with EWP</t>
  </si>
  <si>
    <t>VIK-E-35</t>
  </si>
  <si>
    <t>Handsfree Speaker Phone with Dialer and Color Video Camera</t>
  </si>
  <si>
    <t>VIK-E-35-EWP</t>
  </si>
  <si>
    <t>Handsfree Speaker Phone with Video</t>
  </si>
  <si>
    <t>VIK-E-35-IP</t>
  </si>
  <si>
    <t>VoIP Entry Phone with Color Video Camera</t>
  </si>
  <si>
    <t>VIK-E-35-IP-EWP</t>
  </si>
  <si>
    <t>VoIP Entry Phone with Color Video Camera and Enhanced Weather Protection</t>
  </si>
  <si>
    <t>VIK-E-40-BK</t>
  </si>
  <si>
    <t>Single Gang Black Entry Phone</t>
  </si>
  <si>
    <t>VIK-E-40-BK-EWP</t>
  </si>
  <si>
    <t>Single Gang Black Entry Phone with Enhanced Weather Protection</t>
  </si>
  <si>
    <t>VIK-E-40-BN</t>
  </si>
  <si>
    <t>Single Gang Bronze Entry Phone</t>
  </si>
  <si>
    <t>VIK-E-40-BN-EWP</t>
  </si>
  <si>
    <t>Single Gang Bronze Entry Phone with Enhanced Weather Protection</t>
  </si>
  <si>
    <t>VIK-E-40-SS</t>
  </si>
  <si>
    <t>Single Gang Stainless Steel Entry Phone</t>
  </si>
  <si>
    <t>VIK-E-40-SS-EWP</t>
  </si>
  <si>
    <t>Single Gang Stainless Steel Entry Phone with Enhanced Weather Protection</t>
  </si>
  <si>
    <t>VIK-E-40-WH</t>
  </si>
  <si>
    <t>Single Gang White Entry Phone</t>
  </si>
  <si>
    <t>VIK-E-50-BK</t>
  </si>
  <si>
    <t>Single Gang Black Video Entry Phone</t>
  </si>
  <si>
    <t>VIK-E-50-BK-EWP</t>
  </si>
  <si>
    <t>Single Gang Black Video Entry Phone with Enhanced Weather Protection</t>
  </si>
  <si>
    <t>VIK-E-50-BN</t>
  </si>
  <si>
    <t>Single Gang Bronze Video Entry Phone</t>
  </si>
  <si>
    <t>VIK-E-50-BN-EWP</t>
  </si>
  <si>
    <t>Single Gang Bronze Video Entry Phone with Enhanced Weather Protection</t>
  </si>
  <si>
    <t>VIK-E-50-SS</t>
  </si>
  <si>
    <t>Single Gang Stainless Steel Video Entry Phone</t>
  </si>
  <si>
    <t>VIK-E-50-SS-EWP</t>
  </si>
  <si>
    <t>Single Gang Stainless Steel Video Entry Phone with Enhanced Weather Protection</t>
  </si>
  <si>
    <t>VIK-E-50-WH</t>
  </si>
  <si>
    <t>Single Gang White Video Entry Phone</t>
  </si>
  <si>
    <t>VIK-E-50-WH-EWP</t>
  </si>
  <si>
    <t>Single Gang White Video Entry Phone with Enhanced Weather Protection</t>
  </si>
  <si>
    <t>VIK-E-60-BK</t>
  </si>
  <si>
    <t>Double Gang Black Entry Phone</t>
  </si>
  <si>
    <t>VIK-E-60-BK-EWP</t>
  </si>
  <si>
    <t>Double Gang Black Entry Phone with Enhanced Weather Protection</t>
  </si>
  <si>
    <t>VIK-E-60-BN</t>
  </si>
  <si>
    <t>Double Gang Bronze Entry Phone</t>
  </si>
  <si>
    <t>VIK-E-60-BN-EWP</t>
  </si>
  <si>
    <t>Double Gang Bronze Entry Phone with Enhanced Weather Protection</t>
  </si>
  <si>
    <t>VIK-E-60-SS</t>
  </si>
  <si>
    <t>Double Gang Stainless Steel Entry Phone</t>
  </si>
  <si>
    <t>VIK-E-60-SS-EWP</t>
  </si>
  <si>
    <t>Double Gang Stainless Steel Entry Phone with Enhanced Weather Protection</t>
  </si>
  <si>
    <t>VIK-E-60-SS-IP</t>
  </si>
  <si>
    <t>Double Gang VoIP Entry Phone, Brushed Stainless Finish</t>
  </si>
  <si>
    <t>VIK-E-60-SS-IP-EWP</t>
  </si>
  <si>
    <t>Double Gang VoIP Entry Phone with Enhanced Weather Protection, Brushed Stainless Finish</t>
  </si>
  <si>
    <t>VIK-E-60-WH</t>
  </si>
  <si>
    <t>Double Gang White Entry Phone</t>
  </si>
  <si>
    <t>VIK-E-60-WH-EWP</t>
  </si>
  <si>
    <t>Double Gang White Entry Phone with Enhanced Weather Protection</t>
  </si>
  <si>
    <t>VIK-E-65-BK-EWP</t>
  </si>
  <si>
    <t>Double Gang Entry Phone with Video and Enhanced Weather Protection, Black Finish</t>
  </si>
  <si>
    <t>VIK-E-65-SS</t>
  </si>
  <si>
    <t>Double Gang Entry Phone with Video Camera, Brushed Stainless Finish</t>
  </si>
  <si>
    <t>VIK-E-65-SS-EWP</t>
  </si>
  <si>
    <t>Double Gang Entry Phone with Video and Enhanced Weather Protection, Brushed Stainless Finish</t>
  </si>
  <si>
    <t>VIK-E-75-SS-EWP</t>
  </si>
  <si>
    <t>Double Gang Entry Phone with Video, Proximity Reader, and Enhanced Weather Protection, Brushed Stainless Finish</t>
  </si>
  <si>
    <t>VIK-VE-3X5</t>
  </si>
  <si>
    <t>Black 3x5 Surface Mount Box</t>
  </si>
  <si>
    <t>VIK-VE-5X10</t>
  </si>
  <si>
    <t>Black 5x10 Surface Mount Box</t>
  </si>
  <si>
    <t>VIK-VE-5X5</t>
  </si>
  <si>
    <t>Black 5x5 Surface Mount Box</t>
  </si>
  <si>
    <t>VIK-VE-5X5-PNL</t>
  </si>
  <si>
    <t>Black 5x5 Surface Mount Box with Panel</t>
  </si>
  <si>
    <t>VIK-VE-5X5-PNL-SS</t>
  </si>
  <si>
    <t>Stainless Steel 5x5 Surface Mount Box with Panel</t>
  </si>
  <si>
    <t>VIK-VE-5X5-RD</t>
  </si>
  <si>
    <t>Red 5x5 Surface Mount Box, No Rain Guard</t>
  </si>
  <si>
    <t>VIK-VE-5X5-SS</t>
  </si>
  <si>
    <t>Stainless Steel 5x5 Surface Mount Box</t>
  </si>
  <si>
    <t>VIK-VE-6X7</t>
  </si>
  <si>
    <t>Black 6x7 Surface Mount Box</t>
  </si>
  <si>
    <t>VIK-VE-6X7-PNL</t>
  </si>
  <si>
    <t>Black 6x7 Surface Mount Box with Panel</t>
  </si>
  <si>
    <t>VIK-VE-6X7-PNL-SS</t>
  </si>
  <si>
    <t>Stainless Steel 6x7 Surface Mount Box with Panel</t>
  </si>
  <si>
    <t>VIK-VE-6X7-SS</t>
  </si>
  <si>
    <t>Stainless Steel 6x7 Surface Mount Box</t>
  </si>
  <si>
    <t>VIK-VE-9X12B-1</t>
  </si>
  <si>
    <t>Black 9x12 Outdoor Enclosure</t>
  </si>
  <si>
    <t>VIK-VE-9X12B-2</t>
  </si>
  <si>
    <t>VIK-VE-9X12R-0</t>
  </si>
  <si>
    <t>Red 9x12 Outdoor Enclosure, No Adapter Panel</t>
  </si>
  <si>
    <t>VIK-VE-9X12R-1</t>
  </si>
  <si>
    <t>Red 9x12 Outdoor Enclosure</t>
  </si>
  <si>
    <t>VIK-VE-9X12R-2</t>
  </si>
  <si>
    <t>VIK-VE-9X12Y-1</t>
  </si>
  <si>
    <t>Yellow 9x12 Outdoor Enclosure</t>
  </si>
  <si>
    <t>VIK-VE-9X12Y-2</t>
  </si>
  <si>
    <t>VIK-VE-9X20B</t>
  </si>
  <si>
    <t>Black 9x20 Outdoor Enclosure</t>
  </si>
  <si>
    <t>VIK-VE-9X20R</t>
  </si>
  <si>
    <t>Red 9x20 Outdoor Enclosure</t>
  </si>
  <si>
    <t>VIK-VE-GNP</t>
  </si>
  <si>
    <t>Gooseneck Pedestal</t>
  </si>
  <si>
    <t>VIK-VE-GNP-2</t>
  </si>
  <si>
    <t>Dual Height Gooseneck Pedestal</t>
  </si>
  <si>
    <t>VIK-VE-GNP-IG</t>
  </si>
  <si>
    <t>In-Ground Gooseneck Pedestal</t>
  </si>
  <si>
    <t>VIK-VE-LIGHT</t>
  </si>
  <si>
    <t>Enclosure Lighting Kit</t>
  </si>
  <si>
    <t>VIK-VE-MOUNT</t>
  </si>
  <si>
    <t>Chain Link Fence Mounting Kit for E-30</t>
  </si>
  <si>
    <t>VIK-VE-PBL</t>
  </si>
  <si>
    <t>Push Button Lock</t>
  </si>
  <si>
    <t>VIK-VE-SPG</t>
  </si>
  <si>
    <t>Door Return Hinge Spring</t>
  </si>
  <si>
    <t>VIK-PA-15</t>
  </si>
  <si>
    <t>15 Watt Paging Amplifier</t>
  </si>
  <si>
    <t>VIK-PA-2A</t>
  </si>
  <si>
    <t>2 Watt Paging Amplifier and Loud Ringer</t>
  </si>
  <si>
    <t>VIK-PA-30</t>
  </si>
  <si>
    <t>30 Watt Paging Amplifier</t>
  </si>
  <si>
    <t>VIK-PA-60</t>
  </si>
  <si>
    <t>60 Watt Two Zone Amplifier</t>
  </si>
  <si>
    <t>VIK-PA-IP</t>
  </si>
  <si>
    <t>SIP / Multicast Paging Adapter with Amplifier</t>
  </si>
  <si>
    <t>VIK-22TB-IP</t>
  </si>
  <si>
    <t>Ceiling Tile SIP / Multicast Talk-Back Speaker</t>
  </si>
  <si>
    <t>VIK-25AE</t>
  </si>
  <si>
    <t>12 Watt Paging Horn</t>
  </si>
  <si>
    <t>VIK-300AE</t>
  </si>
  <si>
    <t>30 Watt Paging Horn</t>
  </si>
  <si>
    <t>VIK-30AE</t>
  </si>
  <si>
    <t>6 Watt Ceiling Speaker</t>
  </si>
  <si>
    <t>VIK-35AE</t>
  </si>
  <si>
    <t>Ceiling Speaker with Volume Control</t>
  </si>
  <si>
    <t>VIK-40-IP</t>
  </si>
  <si>
    <t>SIP / Multicast Ceiling Speaker</t>
  </si>
  <si>
    <t>VIK-40AE</t>
  </si>
  <si>
    <t>15 Watt Ceiling Speaker</t>
  </si>
  <si>
    <t>VIK-40TB-IP</t>
  </si>
  <si>
    <t>SIP / Multicast Talk-Back Ceiling Speaker</t>
  </si>
  <si>
    <t>VIK-SA-1H</t>
  </si>
  <si>
    <t>Infrared Remote Controllable Paging Horn for SA-Series</t>
  </si>
  <si>
    <t>VIK-SA-1S</t>
  </si>
  <si>
    <t>Infrared Remote Controllable Ceiling Speaker for SA-Series</t>
  </si>
  <si>
    <t>VIK-SA-25</t>
  </si>
  <si>
    <t>Self Amplified Paging Control Unit</t>
  </si>
  <si>
    <t>VIK-SA-IR</t>
  </si>
  <si>
    <t>Infrared Remote for Self-Amplified Paging System</t>
  </si>
  <si>
    <t>VIK-SA-TBA</t>
  </si>
  <si>
    <t>Tile Bridge for Ceiling Speakers</t>
  </si>
  <si>
    <t>VIK-SA-X12</t>
  </si>
  <si>
    <t>Self Amplified Paging Expander / Adapter</t>
  </si>
  <si>
    <t>VIK-SL-2</t>
  </si>
  <si>
    <t>LED Strobe / Beacon Visual Indicator</t>
  </si>
  <si>
    <t>VIK-SLP-1</t>
  </si>
  <si>
    <t>Single Line Paging Controller</t>
  </si>
  <si>
    <t>VIK-SLP-4</t>
  </si>
  <si>
    <t>Single Line Paging Controller with CD Quality Chimes</t>
  </si>
  <si>
    <t>VIK-SO-24A</t>
  </si>
  <si>
    <t>Service Observation Unit</t>
  </si>
  <si>
    <t>VIK-SR-1</t>
  </si>
  <si>
    <t>Single Line Loud Ringer</t>
  </si>
  <si>
    <t>VIK-SR-IP</t>
  </si>
  <si>
    <t>SIP Audible Ringing</t>
  </si>
  <si>
    <t>VIK-SRC-1</t>
  </si>
  <si>
    <t xml:space="preserve">Secure Relay Controller </t>
  </si>
  <si>
    <t>VIK-SV-5W</t>
  </si>
  <si>
    <t>Speaker Volume Control</t>
  </si>
  <si>
    <t>VIK-CL-A12</t>
  </si>
  <si>
    <t>12" Analog Clock</t>
  </si>
  <si>
    <t>VIK-CL-A16</t>
  </si>
  <si>
    <t>16" Analog Clock</t>
  </si>
  <si>
    <t>VIK-CL-RFT</t>
  </si>
  <si>
    <t>RF Transmitter / Repeater for Viking Clocks</t>
  </si>
  <si>
    <t>VIK-PRX-1</t>
  </si>
  <si>
    <t>Compact 125 KHz Proximity Reader</t>
  </si>
  <si>
    <t>VIK-PRX-2</t>
  </si>
  <si>
    <t>Proximity Reader with Built-In Keypad</t>
  </si>
  <si>
    <t>VIK-PRX-3-MK-VEGNP</t>
  </si>
  <si>
    <t>High Performance Medium Range Proximity Reader</t>
  </si>
  <si>
    <t>Pedestal Mounting Kit for the PRX-3 and a VE Surface Mount Box</t>
  </si>
  <si>
    <t>VIK-PRX-4</t>
  </si>
  <si>
    <t>Keypad with Wiegand Output</t>
  </si>
  <si>
    <t>VIK-PRX-C-ISO</t>
  </si>
  <si>
    <t>Durable Proximity Card</t>
  </si>
  <si>
    <t>Flexible Proximity Card</t>
  </si>
  <si>
    <t>VIK-PRX-FOB</t>
  </si>
  <si>
    <t>Compact Security Fob</t>
  </si>
  <si>
    <t>VIK-ACA-1A</t>
  </si>
  <si>
    <t>Automated Call Attendant</t>
  </si>
  <si>
    <t>VIK-AES-2000S</t>
  </si>
  <si>
    <t>Accessible Entry System, Surface Mount</t>
  </si>
  <si>
    <t>VIK-AES-2005F</t>
  </si>
  <si>
    <t>Accessible Entry System with Color Video Camera</t>
  </si>
  <si>
    <t>VIK-AR-1</t>
  </si>
  <si>
    <t>Automated Receptionist</t>
  </si>
  <si>
    <t>VIK-BLK-4</t>
  </si>
  <si>
    <t>LED Strobe / Beacon</t>
  </si>
  <si>
    <t>VIK-BLK-4-EWP</t>
  </si>
  <si>
    <t>VIK-BTR-3</t>
  </si>
  <si>
    <t>BTR-3 Wireless Remote</t>
  </si>
  <si>
    <t>VIK-C-1000B</t>
  </si>
  <si>
    <t>Two Door Entry and CCTV Camera Controller</t>
  </si>
  <si>
    <t>VIK-C-200</t>
  </si>
  <si>
    <t>Entry Phone Interface</t>
  </si>
  <si>
    <t>VIK-C-2000B</t>
  </si>
  <si>
    <t>Four Door Entry Phone Controller</t>
  </si>
  <si>
    <t>VIK-C-250</t>
  </si>
  <si>
    <t>Entry Phone Controller with Call Forwarding</t>
  </si>
  <si>
    <t>VIK-C-500</t>
  </si>
  <si>
    <t>Access Control</t>
  </si>
  <si>
    <t>VIK-C-3000</t>
  </si>
  <si>
    <t>Apartment Entry Controller</t>
  </si>
  <si>
    <t>VIK-C-4000</t>
  </si>
  <si>
    <t>250 Apartment / Office Entry Controller</t>
  </si>
  <si>
    <t>VIK-CPC-1</t>
  </si>
  <si>
    <t>CPC Disconnect, 1 Line</t>
  </si>
  <si>
    <t>VIK-CPC-4</t>
  </si>
  <si>
    <t>CPC Disconnect, 4 Lines</t>
  </si>
  <si>
    <t>VIK-CTG-1A</t>
  </si>
  <si>
    <t>Clock Controlled Tone Generator</t>
  </si>
  <si>
    <t>VIK-CTG-2A</t>
  </si>
  <si>
    <t>Networked Clock Controlled Tone / Message Generator and Master Clock</t>
  </si>
  <si>
    <t>VIK-D10</t>
  </si>
  <si>
    <t>10 Name Directory</t>
  </si>
  <si>
    <t>VIK-D22</t>
  </si>
  <si>
    <t>22 Name Directory</t>
  </si>
  <si>
    <t>VIK-D32</t>
  </si>
  <si>
    <t>32 Name Directory</t>
  </si>
  <si>
    <t>VIK-DB-40-WH</t>
  </si>
  <si>
    <t>Door Bell Button Panel</t>
  </si>
  <si>
    <t>VIK-DLE-200B</t>
  </si>
  <si>
    <t>Phone Line Simulator</t>
  </si>
  <si>
    <t>VIK-DLE-300</t>
  </si>
  <si>
    <t>Advanced Phone Line Simulator</t>
  </si>
  <si>
    <t>VIK-DNA-510</t>
  </si>
  <si>
    <t>Digital Mass Notification Announcer</t>
  </si>
  <si>
    <t>VIK-DVA-1003B</t>
  </si>
  <si>
    <t>3 Channel Digital Voice Announcer</t>
  </si>
  <si>
    <t>VIK-DVA-2WA</t>
  </si>
  <si>
    <t>7.5 Minute Digital Voice Announcer</t>
  </si>
  <si>
    <t>VIK-DVA-500A</t>
  </si>
  <si>
    <t>Digital Voice Announcer</t>
  </si>
  <si>
    <t>VIK-DVA-LPA</t>
  </si>
  <si>
    <t>Line Powered Digital Voice Announcer</t>
  </si>
  <si>
    <t>VIK-DVA-TNT</t>
  </si>
  <si>
    <t>Time and Temperature Announcer</t>
  </si>
  <si>
    <t>VIK-ERAM-60</t>
  </si>
  <si>
    <t>Memory Expansion Kit for the DVA-3003</t>
  </si>
  <si>
    <t>VIK-ES-1</t>
  </si>
  <si>
    <t>Stand Alone Door Entry Controller</t>
  </si>
  <si>
    <t>VIK-ES-3</t>
  </si>
  <si>
    <t>Door Controller for AES-2000 and AES-2005</t>
  </si>
  <si>
    <t>VIK-EV-1</t>
  </si>
  <si>
    <t>Emergency Voice Location Announcer</t>
  </si>
  <si>
    <t>VIK-VK-F629100A</t>
  </si>
  <si>
    <t>FaxJack Phone/Fax Switch modular jack</t>
  </si>
  <si>
    <t>VIK-FAXJ-1000</t>
  </si>
  <si>
    <t>FaxJack Phone/Fax Switch</t>
  </si>
  <si>
    <t>VIK-FBI-1A</t>
  </si>
  <si>
    <t>Digital Feedback Eliminator</t>
  </si>
  <si>
    <t>VIK-FXI-1A</t>
  </si>
  <si>
    <t>FXO / FXS / Telecom Smart Paging Interface</t>
  </si>
  <si>
    <t>VIK-GLS-12</t>
  </si>
  <si>
    <t>12 Circuit Ground to Loop Start Converter</t>
  </si>
  <si>
    <t>VIK-HD-1</t>
  </si>
  <si>
    <t>Handset Interfaced Touch Tone Dialer</t>
  </si>
  <si>
    <t>VIK-HF-3W</t>
  </si>
  <si>
    <t>Handsfree Talk-Back Amplifier</t>
  </si>
  <si>
    <t>VIK-K-2000-DVA</t>
  </si>
  <si>
    <t>Eight Input Voice Dialer / Announcer</t>
  </si>
  <si>
    <t>VIK-K-202-DVA</t>
  </si>
  <si>
    <t>Two Input Voice Alarm Dialer</t>
  </si>
  <si>
    <t>VIK-K-600F</t>
  </si>
  <si>
    <t>Night Bell Over Paging Adapter</t>
  </si>
  <si>
    <t>VIK-LC-3</t>
  </si>
  <si>
    <t>Line Concentrator</t>
  </si>
  <si>
    <t>VIK-LC-6</t>
  </si>
  <si>
    <t>Six Port Line Concentrator</t>
  </si>
  <si>
    <t>VIK-LC-8</t>
  </si>
  <si>
    <t>VIK-LDB-1</t>
  </si>
  <si>
    <t>Loop Detect Board</t>
  </si>
  <si>
    <t>VIK-LDB-2</t>
  </si>
  <si>
    <t>Loop and/or Ring Detector</t>
  </si>
  <si>
    <t>VIK-LDB-3</t>
  </si>
  <si>
    <t xml:space="preserve">Advanced Loop and/or Ring Detector </t>
  </si>
  <si>
    <t>VIK-LLA-1</t>
  </si>
  <si>
    <t>Long Loop Adapter</t>
  </si>
  <si>
    <t>VIK-LLA-4</t>
  </si>
  <si>
    <t>Four Line Long Loop Adapter</t>
  </si>
  <si>
    <t>VIK-LM-1A</t>
  </si>
  <si>
    <t>Message Waiting LED Lamp Retrofit Kit</t>
  </si>
  <si>
    <t>VIK-LM-24D</t>
  </si>
  <si>
    <t>Line Status Display</t>
  </si>
  <si>
    <t>VIK-LPL-1</t>
  </si>
  <si>
    <t>Line Powered Visual Indication</t>
  </si>
  <si>
    <t>VIK-LPR-1</t>
  </si>
  <si>
    <t>Telephone Line Powered Ringer</t>
  </si>
  <si>
    <t>VIK-LRR-4</t>
  </si>
  <si>
    <t>Long Range 4 Channel Receiver</t>
  </si>
  <si>
    <t>VIK-LRT-4</t>
  </si>
  <si>
    <t>Long Range 4 Channel Transmitter</t>
  </si>
  <si>
    <t>VIK-LS-911</t>
  </si>
  <si>
    <t>Analog Emergency Line Sharing Device</t>
  </si>
  <si>
    <t>VIK-LSD-2</t>
  </si>
  <si>
    <t>Line Sharing Device</t>
  </si>
  <si>
    <t>VIK-LSR-1</t>
  </si>
  <si>
    <t>Line Seizure Relay</t>
  </si>
  <si>
    <t>VIK-LV-1K</t>
  </si>
  <si>
    <t>Line Verification Panel with Key Switch</t>
  </si>
  <si>
    <t>VIK-M2W</t>
  </si>
  <si>
    <t>Paging Power Amplifier</t>
  </si>
  <si>
    <t>VIK-MSB-30</t>
  </si>
  <si>
    <t>Mic / Speaker / Button Panel for IP Cameras</t>
  </si>
  <si>
    <t>VIK-MTG-10</t>
  </si>
  <si>
    <t>Multi-Tone Generator</t>
  </si>
  <si>
    <t>VIK-NS-1</t>
  </si>
  <si>
    <t>Night Switch</t>
  </si>
  <si>
    <t>VIK-PAN-1A</t>
  </si>
  <si>
    <t>Panasonic Doorphone Station Adapter</t>
  </si>
  <si>
    <t>VIK-PB-100</t>
  </si>
  <si>
    <t>Panic Button Kit</t>
  </si>
  <si>
    <t>Polling Bridge and Phone Line Interface</t>
  </si>
  <si>
    <t>VIK-PB-3</t>
  </si>
  <si>
    <t>Emergency Phone Panic Button</t>
  </si>
  <si>
    <t>VIK-PC-7</t>
  </si>
  <si>
    <t>Teleguard Privacy Device</t>
  </si>
  <si>
    <t>VIK-PF-6A</t>
  </si>
  <si>
    <t>Power Failure Bypass System</t>
  </si>
  <si>
    <t>VIK-PI-1A</t>
  </si>
  <si>
    <t>Telecom Paging Interface</t>
  </si>
  <si>
    <t>VIK-PJ-14</t>
  </si>
  <si>
    <t>VIK-PNL50-BK</t>
  </si>
  <si>
    <t>E-50 Replacement Faceplate, Textured Black Finish</t>
  </si>
  <si>
    <t>VIK-PNL60-SS</t>
  </si>
  <si>
    <t>E-60 Replacement Faceplate, Brushed Stainless Finish</t>
  </si>
  <si>
    <t>VIK-PS-1A</t>
  </si>
  <si>
    <t>Power Supply: 120 VAC / 13.8 VAC</t>
  </si>
  <si>
    <t>VIK-PS-2</t>
  </si>
  <si>
    <t xml:space="preserve">Power Supply: 120 VAC / 12 VDC </t>
  </si>
  <si>
    <t>VIK-PS-48-RGA</t>
  </si>
  <si>
    <t>Talk Battery and Ring Voltage Power Supply</t>
  </si>
  <si>
    <t>VIK-PTR-1</t>
  </si>
  <si>
    <t>Telecom Recorder</t>
  </si>
  <si>
    <t>VIK-RAD-1A</t>
  </si>
  <si>
    <t xml:space="preserve">Remote Access Device </t>
  </si>
  <si>
    <t>VIK-RAD-AMP</t>
  </si>
  <si>
    <t>Amplified Remote Access Device</t>
  </si>
  <si>
    <t>VIK-RC-2A</t>
  </si>
  <si>
    <t xml:space="preserve">Remote Touch Tone Controller </t>
  </si>
  <si>
    <t>VIK-RC-3</t>
  </si>
  <si>
    <t>Remote Touch Tone Controller, Three Relays</t>
  </si>
  <si>
    <t>VIK-RC-4</t>
  </si>
  <si>
    <t>Network Enabled Relay Controller</t>
  </si>
  <si>
    <t>VIK-RG-10A</t>
  </si>
  <si>
    <t xml:space="preserve">Ring Booster </t>
  </si>
  <si>
    <t>VIK-RG-204</t>
  </si>
  <si>
    <t>Four Line Ring Shaper / Booster</t>
  </si>
  <si>
    <t>VIK-RG-4</t>
  </si>
  <si>
    <t>Ring Shaper / Booster</t>
  </si>
  <si>
    <t>VIK-TDR-1</t>
  </si>
  <si>
    <t>Time Delay Relay</t>
  </si>
  <si>
    <t>VIK-TG-1</t>
  </si>
  <si>
    <t>VIK-TR-1</t>
  </si>
  <si>
    <t>Programmable Tone/Pulse Toll Restrictor</t>
  </si>
  <si>
    <t>VIK-VCAM-1</t>
  </si>
  <si>
    <t>Replacement Camera</t>
  </si>
  <si>
    <t>VIK-VR-1B</t>
  </si>
  <si>
    <t>Universal Visual Indicator</t>
  </si>
  <si>
    <t>VIK-ZPI-4</t>
  </si>
  <si>
    <t>Four Zone Paging Interface</t>
  </si>
  <si>
    <t>VALCOM</t>
  </si>
  <si>
    <t>VAL-V-1001</t>
  </si>
  <si>
    <t xml:space="preserve">One-Way P-Tec™ Ceiling Speaker </t>
  </si>
  <si>
    <t>VAL-V-1010C</t>
  </si>
  <si>
    <t>4" One-Way Ceiling Speaker</t>
  </si>
  <si>
    <t>VAL-V-1013B-WW</t>
  </si>
  <si>
    <t>One-Way Track-Style, 1-Watt Speaker White/White</t>
  </si>
  <si>
    <t>VAL-V-1014B</t>
  </si>
  <si>
    <t>One-Way Track-Style, 5-Watt Speaker</t>
  </si>
  <si>
    <t>VAL-V-1015B</t>
  </si>
  <si>
    <t>One-Way Pendant Speaker</t>
  </si>
  <si>
    <t>VAL-V-1015B-WW</t>
  </si>
  <si>
    <t>One-Way Pendant Speaker White/White</t>
  </si>
  <si>
    <t>VAL-V-1016-BK</t>
  </si>
  <si>
    <t>One-Way Wall Speaker (Black or White)</t>
  </si>
  <si>
    <t>VAL-V-1016-W</t>
  </si>
  <si>
    <t>VAL-V-1020C</t>
  </si>
  <si>
    <t>8" One-Way Ceiling Speaker</t>
  </si>
  <si>
    <t>VAL-V-1022C</t>
  </si>
  <si>
    <t>One-Way Woodgrain Wall Speaker (Weave)</t>
  </si>
  <si>
    <t>VAL-V-1023C</t>
  </si>
  <si>
    <t>One-Way Woodgrain Wall Speaker (Cloth)</t>
  </si>
  <si>
    <t>VAL-V-1026C</t>
  </si>
  <si>
    <t>One-Way Woodgrain Corridor Speaker (Weave)</t>
  </si>
  <si>
    <t>VAL-V-1026C-W</t>
  </si>
  <si>
    <t>One-Way Woodgrain Corridor Speaker (White)</t>
  </si>
  <si>
    <t>VAL-V-1040</t>
  </si>
  <si>
    <t>Clean Room Speaker</t>
  </si>
  <si>
    <t xml:space="preserve">VAL-V-1042 -BK - GY -W -CC </t>
  </si>
  <si>
    <t>Slimline™ One-Way Wall Speaker</t>
  </si>
  <si>
    <t>VAL-V-1052C</t>
  </si>
  <si>
    <t>Metal Wall Speaker</t>
  </si>
  <si>
    <t>VAL-V-1054</t>
  </si>
  <si>
    <t>Corner Metal Wall Speaker (One-Way)</t>
  </si>
  <si>
    <t>VAL-V-1060A</t>
  </si>
  <si>
    <t>8" Talkback Ceiling Speaker</t>
  </si>
  <si>
    <t>VAL-V-1061 -BK -W</t>
  </si>
  <si>
    <t>Talkback Wall Speaker (Black or White)</t>
  </si>
  <si>
    <t>VAL-V-1063A</t>
  </si>
  <si>
    <t>Talkback Woodgrain Wall Speaker (Cloth)</t>
  </si>
  <si>
    <t>VAL-V-1071</t>
  </si>
  <si>
    <t>Metal Wall Speaker (Talkback)</t>
  </si>
  <si>
    <t>VAL-V-1072A-ST</t>
  </si>
  <si>
    <t>Flush Mount Doorplate Speaker</t>
  </si>
  <si>
    <t>VAL-V-1072B-ST</t>
  </si>
  <si>
    <t>Flush Mount Doorplate Speaker w/LED</t>
  </si>
  <si>
    <t>VAL-V-1073</t>
  </si>
  <si>
    <t>Vandal-Resistant Doorplate Speaker</t>
  </si>
  <si>
    <t>VAL-V-1074</t>
  </si>
  <si>
    <t xml:space="preserve">Surface Mount Doorplate Speaker </t>
  </si>
  <si>
    <t>VAL-V-1093-BK</t>
  </si>
  <si>
    <t>6' Extension Chain for Pendant Speakers</t>
  </si>
  <si>
    <t>VAL-V-1220</t>
  </si>
  <si>
    <t>8" Dual-Input Ceiling Speaker</t>
  </si>
  <si>
    <t>VAL-V-1420</t>
  </si>
  <si>
    <t>High-Fidelity Signature Series™ Ceiling Spkr</t>
  </si>
  <si>
    <t>VAL-V-1422</t>
  </si>
  <si>
    <t>High-Fidelity Signature Series™ Lay-in Ceiling Spkr</t>
  </si>
  <si>
    <t>VAL-V-1440 -BK -W -CC</t>
  </si>
  <si>
    <t>High-Fidelity Signature Series™ Monitor Spkr</t>
  </si>
  <si>
    <t>VAL-V-1450</t>
  </si>
  <si>
    <t>High-Fidelity Signature Series™ In-Wall Spkr</t>
  </si>
  <si>
    <t>VAL-V-1920C</t>
  </si>
  <si>
    <t>Square Amplified Speaker</t>
  </si>
  <si>
    <t>VAL-V-1921</t>
  </si>
  <si>
    <t>One-Way Square Amplified Speaker</t>
  </si>
  <si>
    <t>VAL-V-1961</t>
  </si>
  <si>
    <t>Talkback Square Amplified Speaker</t>
  </si>
  <si>
    <t>VAL-V-763</t>
  </si>
  <si>
    <t>Desk Top/Wall One-Way Speaker</t>
  </si>
  <si>
    <t>VAL-V-9010-W</t>
  </si>
  <si>
    <t>Vandal-Resistant Ceiling Speaker</t>
  </si>
  <si>
    <t>VAL-V-9021</t>
  </si>
  <si>
    <t xml:space="preserve">Lay-In 1'x2' One-Way Ceiling Speaker w/Backbox </t>
  </si>
  <si>
    <t>VAL-V-9022A-2</t>
  </si>
  <si>
    <t xml:space="preserve">Lay-In 2'x2' One-Way Ceiling Speaker w/Backbox </t>
  </si>
  <si>
    <t>VAL-V-9028</t>
  </si>
  <si>
    <t>Lay-In 2' x 2' Dual Input Ceiling Speaker</t>
  </si>
  <si>
    <t>VAL-V-9062</t>
  </si>
  <si>
    <t>Lay-In 2' x 2' Talkback Ceiling Speaker w/Backbox</t>
  </si>
  <si>
    <t>VAL-V-936400</t>
  </si>
  <si>
    <t>8" 25/70 Volt Speaker</t>
  </si>
  <si>
    <t>VAL-V-9422</t>
  </si>
  <si>
    <t>Lay-In 2' x 2' Spot Sound Masking Speaker</t>
  </si>
  <si>
    <t>VAL-V-9815</t>
  </si>
  <si>
    <t>Stealth Corridor Speaker</t>
  </si>
  <si>
    <t>VAL-V-9852</t>
  </si>
  <si>
    <t>8" Wall Speaker One-Way (includes V-9807)</t>
  </si>
  <si>
    <t xml:space="preserve">VAL-VIP-120A </t>
  </si>
  <si>
    <t>IP 8" Ceiling Speaker, One-Way</t>
  </si>
  <si>
    <t>VAL-VIP-120A-IC</t>
  </si>
  <si>
    <t>InformaCast IP 8" Ceiling Speaker</t>
  </si>
  <si>
    <t>VAL-VIP-140A</t>
  </si>
  <si>
    <t>VAL-VIP-160A</t>
  </si>
  <si>
    <t>IP Talkback 8" Inch Ceiling Speaker</t>
  </si>
  <si>
    <t xml:space="preserve">VAL-VIP-160A-IC </t>
  </si>
  <si>
    <t xml:space="preserve">InformaCast IP Talkback 8" Inch Ceiling Speaker </t>
  </si>
  <si>
    <t xml:space="preserve">VAL-VIP-402A </t>
  </si>
  <si>
    <t>IP 2' x 2' Lay-In Ceiling Speaker™ - One-Way</t>
  </si>
  <si>
    <t xml:space="preserve">VAL-VIP-402A-SA </t>
  </si>
  <si>
    <t>Syn-Apps IP 2' x 2' Lay-In Ceiling Speaker™- One-Way</t>
  </si>
  <si>
    <t xml:space="preserve">VAL-VIP-402A-IC </t>
  </si>
  <si>
    <t>InformaCast IP 2' x 2' Lay-In Ceiling Speaker™ - One-Way</t>
  </si>
  <si>
    <t xml:space="preserve">VAL-VIP-410A-IC </t>
  </si>
  <si>
    <t>InformaCast IP Wall Speaker Assembly - One-Way</t>
  </si>
  <si>
    <t xml:space="preserve">VAL-VIP-411A-DS-IC </t>
  </si>
  <si>
    <t>InformaCast IP Surface Mount Speaker Angled w/Digital Clock - One-Way</t>
  </si>
  <si>
    <t>VAL-VIP-415-IC</t>
  </si>
  <si>
    <t xml:space="preserve">InformaCast IP Pendant Speaker </t>
  </si>
  <si>
    <t xml:space="preserve">VAL-VIP-418A-IC </t>
  </si>
  <si>
    <t>InformaCast IP Square Faceplate - One-Way</t>
  </si>
  <si>
    <t xml:space="preserve">VAL-VIP-419A-D-IC </t>
  </si>
  <si>
    <t>InformaCast IP Speaker Faceplate Unit w/ Digital Clock - One-Way</t>
  </si>
  <si>
    <t xml:space="preserve">VAL-VIP-422A </t>
  </si>
  <si>
    <t xml:space="preserve">IP 2' x 2' Lay-In Ceiling Speaker™ - Talkback </t>
  </si>
  <si>
    <t xml:space="preserve">VAL-VIP-422A-SA </t>
  </si>
  <si>
    <t xml:space="preserve">Syn-Apps IP 2' x 2' Lay-In Ceiling Speaker™- Talkback </t>
  </si>
  <si>
    <t xml:space="preserve">VAL-VIP-422A-IC </t>
  </si>
  <si>
    <t xml:space="preserve">InformaCast IP 2' x 2' Lay-In Ceiling Speaker™ - Talkback </t>
  </si>
  <si>
    <t>VAL-VIP-9831A/VIP-9831A-W</t>
  </si>
  <si>
    <t>IP Stealth Speaker - Indoor</t>
  </si>
  <si>
    <t>VAL-V-CTLA-2</t>
  </si>
  <si>
    <t>Talkback 2'x2' Layin Ceiling Speaker w/ Backbox (packaged 2 per box)</t>
  </si>
  <si>
    <t>VAL-V-1030C-GY</t>
  </si>
  <si>
    <t>5-Watt, High-Efficiency Horn (Beige)</t>
  </si>
  <si>
    <t>VAL-V-1030C</t>
  </si>
  <si>
    <t>5-Watt, High-Efficiency Horn (Gray)</t>
  </si>
  <si>
    <t>VAL-V-1030M</t>
  </si>
  <si>
    <t>5-Watt, Marine Horn</t>
  </si>
  <si>
    <t>VAL-V-1036C-GY</t>
  </si>
  <si>
    <t>15-Watt, High-Efficiency Horn (Beige)</t>
  </si>
  <si>
    <t>VAL-V-1036C</t>
  </si>
  <si>
    <t>15-Watt, High-Efficiency Horn</t>
  </si>
  <si>
    <t>VAL-V-1036M</t>
  </si>
  <si>
    <t>15-Watt, Marine Horn</t>
  </si>
  <si>
    <t>VAL-V-1038</t>
  </si>
  <si>
    <t>30-Watt, High-Efficiency Horn</t>
  </si>
  <si>
    <t>VAL-V-1039A</t>
  </si>
  <si>
    <t>Explosion-Proof, One-Way Horn</t>
  </si>
  <si>
    <t>VAL-V-1048C</t>
  </si>
  <si>
    <t>Talkback Horn (Beige)</t>
  </si>
  <si>
    <t>VAL-V-1048C-GY</t>
  </si>
  <si>
    <t>Talkback Horn (Gray)</t>
  </si>
  <si>
    <t>VAL-V-1048M</t>
  </si>
  <si>
    <t>Talkback Marine Horn</t>
  </si>
  <si>
    <t>VAL-V-1050C</t>
  </si>
  <si>
    <t>Bi-Directional Horn</t>
  </si>
  <si>
    <t xml:space="preserve">VAL-V-1080 -BGE -GY -W </t>
  </si>
  <si>
    <t>FlexHorn™ One-Way</t>
  </si>
  <si>
    <t xml:space="preserve">VAL-V-1090 -BK -GY -W </t>
  </si>
  <si>
    <t>FlexHorn™ Talkback</t>
  </si>
  <si>
    <t xml:space="preserve">VAL-VIP-130AL-BGE </t>
  </si>
  <si>
    <t xml:space="preserve">IP Horn, One-Way High Efficiency Horn Beige </t>
  </si>
  <si>
    <t>VAL-VIP-130AL-GY </t>
  </si>
  <si>
    <t xml:space="preserve">IP Horn, One-Way High Efficiency Horn Gray </t>
  </si>
  <si>
    <t>VAL-VIP-130AL-M -IC</t>
  </si>
  <si>
    <t xml:space="preserve">IP Horn, One-Way High Efficiency Horn, Marine (White) </t>
  </si>
  <si>
    <t xml:space="preserve">VAL-VIP-130AL-BGE-IC </t>
  </si>
  <si>
    <t xml:space="preserve">InformaCast IP Horn, Beige </t>
  </si>
  <si>
    <t>VAL-VIP-130AL-GY -IC</t>
  </si>
  <si>
    <t xml:space="preserve">InformaCast IP Horn, Gray </t>
  </si>
  <si>
    <t xml:space="preserve">InformaCast IP Horn, Marine (White) </t>
  </si>
  <si>
    <t>VAL-VIP-130AL-M-SA</t>
  </si>
  <si>
    <t xml:space="preserve">Syn-Apps IP Horn, Marine (White) </t>
  </si>
  <si>
    <t>VAL-VIP-148AL-GY </t>
  </si>
  <si>
    <t xml:space="preserve">IP Talkback Horn, Gray </t>
  </si>
  <si>
    <t>VAL-VIP-148AL-M </t>
  </si>
  <si>
    <t xml:space="preserve">IP Talkback Horn, Marine (White) </t>
  </si>
  <si>
    <t>VAL-VIP-148AL-GY -IC</t>
  </si>
  <si>
    <t xml:space="preserve">InformaCast IP Talkback Horn, Gray </t>
  </si>
  <si>
    <t xml:space="preserve">VAL-VIP-480AL-GY </t>
  </si>
  <si>
    <t xml:space="preserve">IP One-Way FlexHorn, Gray </t>
  </si>
  <si>
    <t xml:space="preserve">VAL-VIP-480AL-W </t>
  </si>
  <si>
    <t xml:space="preserve">IP One-Way FlexHorn, White </t>
  </si>
  <si>
    <t>VAL-VIP-480AL-GY-IC</t>
  </si>
  <si>
    <t xml:space="preserve">InformaCast IP FlexHorn, Gray </t>
  </si>
  <si>
    <t>VAL-VIP-480AL-W-IC</t>
  </si>
  <si>
    <t xml:space="preserve">InformaCast IP FlexHorn, White </t>
  </si>
  <si>
    <t>VAL-VIP-480AL-GY-SA</t>
  </si>
  <si>
    <t xml:space="preserve">Syn-Apps IP FlexHorn, Gray </t>
  </si>
  <si>
    <t>VAL-V-A2412B</t>
  </si>
  <si>
    <t>12" round clock  black, surface mount, 24V</t>
  </si>
  <si>
    <t>VAL-V-A2416B</t>
  </si>
  <si>
    <t>16" round clock, black, surface mount, 24V</t>
  </si>
  <si>
    <t>VAL-V-AW12B</t>
  </si>
  <si>
    <t>12" round wireless clock, black, surface mount, battery operated</t>
  </si>
  <si>
    <t>VAL-V-AW16BLP</t>
  </si>
  <si>
    <t>16" round wireless clock, black, surface mount, battery operated</t>
  </si>
  <si>
    <t>VAL-V-D2425B</t>
  </si>
  <si>
    <t>2.5" Digital Clock, 24V</t>
  </si>
  <si>
    <t>VAL-V-D2440B</t>
  </si>
  <si>
    <t>4.0" Digital Clock, 24V</t>
  </si>
  <si>
    <t xml:space="preserve">VAL-VIP-A12A </t>
  </si>
  <si>
    <t xml:space="preserve">IP PoE 12" Analog Clock </t>
  </si>
  <si>
    <t xml:space="preserve">VAL-VIP-A12ADS </t>
  </si>
  <si>
    <t>VAL-VIP-A16A</t>
  </si>
  <si>
    <t>IP PoE 16" Analog Clock</t>
  </si>
  <si>
    <t>VAL-VIP-A16ADS</t>
  </si>
  <si>
    <t xml:space="preserve">VAL-VIP-D425A </t>
  </si>
  <si>
    <t>IP PoE 2.5"/4 Digit Digital Clocks</t>
  </si>
  <si>
    <t>VAL-VIP-D440A</t>
  </si>
  <si>
    <t>IP PoE 4.0"/4 Digit Digital Clocks</t>
  </si>
  <si>
    <t>VAL-VIP-D440ADS</t>
  </si>
  <si>
    <t>IP PoE 4.0"/4 Digit Digital Clocks (Double Sided)</t>
  </si>
  <si>
    <t>VAL-VIP-D625A</t>
  </si>
  <si>
    <t>IP PoE 2.5"/6 Digit Digital Clocks</t>
  </si>
  <si>
    <t>VAL-VIP-D640A</t>
  </si>
  <si>
    <t>IP PoE 4.0"/6 Digit Digital Clocks</t>
  </si>
  <si>
    <t>VAL-VIP-D640ADS</t>
  </si>
  <si>
    <t>IP PoE 4.0"/6 Digit Digital Clocks (Double Sided)</t>
  </si>
  <si>
    <t>VAL-V-1092</t>
  </si>
  <si>
    <t>Wall Mount Volume Control with Bell Box</t>
  </si>
  <si>
    <t>VAL-V-1092B</t>
  </si>
  <si>
    <t>Wall Mount Volume Control without Bell Box</t>
  </si>
  <si>
    <t>VAL-V-1094A</t>
  </si>
  <si>
    <t>Page Port Preamp/Expander with Bell Box</t>
  </si>
  <si>
    <t>VAL-V-1094B</t>
  </si>
  <si>
    <t>Page Port Preamp/Expander without Bell Box</t>
  </si>
  <si>
    <t>VAL-V-1095</t>
  </si>
  <si>
    <t>70 Volt Expander</t>
  </si>
  <si>
    <t>VAL-V-1096</t>
  </si>
  <si>
    <t>Audio Interface</t>
  </si>
  <si>
    <t>VAL-V-2000A</t>
  </si>
  <si>
    <t>1 Zone One-Way Page Control w/Power</t>
  </si>
  <si>
    <t>VAL-V-2001A/V-2001A-E</t>
  </si>
  <si>
    <t>1 Zone One-Way Enhanced Page Control w/Power</t>
  </si>
  <si>
    <t>VAL-V-2003A/V-2003A-E</t>
  </si>
  <si>
    <t>3 Zone One-Way Page Control w/Power</t>
  </si>
  <si>
    <t>VAL-V-2003AHF</t>
  </si>
  <si>
    <t>3 Zone Talkback Page Control w/Power</t>
  </si>
  <si>
    <t>VAL-V-2006A/V-2006A-E</t>
  </si>
  <si>
    <t>6 Zone One-Way Page Control w/Power</t>
  </si>
  <si>
    <t>VAL-V-2006AHF</t>
  </si>
  <si>
    <t>6 Zone Talkback Page Control w/Power</t>
  </si>
  <si>
    <t>VAL-V-2900</t>
  </si>
  <si>
    <t>1 Door Answering Device</t>
  </si>
  <si>
    <t>VAL-V-2901A</t>
  </si>
  <si>
    <t>1 Door w/Door Unlock</t>
  </si>
  <si>
    <t>VAL-V-2904</t>
  </si>
  <si>
    <t>4 Door w/Door Unlock</t>
  </si>
  <si>
    <t>VAL-V-2970</t>
  </si>
  <si>
    <t>Emergency/Normal Call-In Switch</t>
  </si>
  <si>
    <t>VAL-V-2971</t>
  </si>
  <si>
    <t>Call-In Switch</t>
  </si>
  <si>
    <t>VAL-V-2972</t>
  </si>
  <si>
    <t>Call-In Switch w/ Rocker Switch</t>
  </si>
  <si>
    <t>VAL-V-2972PK</t>
  </si>
  <si>
    <t xml:space="preserve">Call-In Switch w/ Rocker Switch </t>
  </si>
  <si>
    <t>VAL-V-2991-W</t>
  </si>
  <si>
    <t>Call Switch w/ Volume Control</t>
  </si>
  <si>
    <t>VAL-V-2992-W</t>
  </si>
  <si>
    <t>Wall Mount Volume Control, White</t>
  </si>
  <si>
    <t>VAL-V-2994-W</t>
  </si>
  <si>
    <t>Page Port Pre-Amp Expander, White</t>
  </si>
  <si>
    <t>VAL-V-2995-W</t>
  </si>
  <si>
    <t>Emergency/Normal Call Switch With Volume Control – White</t>
  </si>
  <si>
    <t>VAL-V-400</t>
  </si>
  <si>
    <t>Desk Paging Microphone</t>
  </si>
  <si>
    <t>VAL-V-420</t>
  </si>
  <si>
    <t>Dynamic Noise Canceling Microphone</t>
  </si>
  <si>
    <t>VAL-V-450</t>
  </si>
  <si>
    <t>Gooseneck Microphone</t>
  </si>
  <si>
    <t>VAL-V-5335100</t>
  </si>
  <si>
    <t>PagePal Interface</t>
  </si>
  <si>
    <t>VAL-V-5580041C</t>
  </si>
  <si>
    <t>ADA Compliant Strobe</t>
  </si>
  <si>
    <t>VAL-V-6120</t>
  </si>
  <si>
    <t>6 Channel Amplifier</t>
  </si>
  <si>
    <t>VAL-V-9130-W</t>
  </si>
  <si>
    <t>Remote Input Module</t>
  </si>
  <si>
    <t>VAL-V-936480</t>
  </si>
  <si>
    <t xml:space="preserve">Square Grille </t>
  </si>
  <si>
    <t>VAL-V-9804</t>
  </si>
  <si>
    <t>Mounting Bracket for Flexhorn, Monitor Speakers</t>
  </si>
  <si>
    <t>VAL-V-9805</t>
  </si>
  <si>
    <t>Vandal-Resistant Enclosure for FlexHorn</t>
  </si>
  <si>
    <t xml:space="preserve">VAL-V-9807 </t>
  </si>
  <si>
    <t>8" Wall Speaker Enclosure + Faceplate</t>
  </si>
  <si>
    <t xml:space="preserve">VAL-V-9809 </t>
  </si>
  <si>
    <t>FlexHorn™ Wall Enclosure + Faceplate</t>
  </si>
  <si>
    <t>VAL-V-9816M</t>
  </si>
  <si>
    <t>Bridge/Backbox Combo for use with the V-1420</t>
  </si>
  <si>
    <t>VAL-V-9830/V-9830-W</t>
  </si>
  <si>
    <t>Stealth Horn (Indoor/Outdoor)</t>
  </si>
  <si>
    <t>VAL-V-9880</t>
  </si>
  <si>
    <t>FlexHorn™ One-Way (includes V-9809)</t>
  </si>
  <si>
    <t>VAL-V-9904M-5</t>
  </si>
  <si>
    <t xml:space="preserve">Metal Bridge for 4" Ceiling Speaker </t>
  </si>
  <si>
    <t>VAL-V-9908</t>
  </si>
  <si>
    <t>Stored Message/Mic Page Panel</t>
  </si>
  <si>
    <t>VAL-V-9910 -BK -YEL</t>
  </si>
  <si>
    <t>Doorbox Weather Guard, Black or Yellow</t>
  </si>
  <si>
    <t>VAL-V-9912M-10</t>
  </si>
  <si>
    <t xml:space="preserve">Metal Speaker Support Ring </t>
  </si>
  <si>
    <t>VAL-V-9912P-12</t>
  </si>
  <si>
    <t xml:space="preserve">Plastic Speaker Support Ring </t>
  </si>
  <si>
    <t>VAL-V-9914M-5</t>
  </si>
  <si>
    <t xml:space="preserve">Metal Bridge </t>
  </si>
  <si>
    <t>VAL-V-9915M-5</t>
  </si>
  <si>
    <t xml:space="preserve">Metal Backbox </t>
  </si>
  <si>
    <t>VAL-V-9916M</t>
  </si>
  <si>
    <t>Metal Bridge/Backbox</t>
  </si>
  <si>
    <t>VAL-V-9924C</t>
  </si>
  <si>
    <t>CO Audible Ringer</t>
  </si>
  <si>
    <t>VAL-V-9925A</t>
  </si>
  <si>
    <t>Loud Warble Ringer Horn</t>
  </si>
  <si>
    <t>VAL-V-9927A</t>
  </si>
  <si>
    <t>VAL-V-9933A</t>
  </si>
  <si>
    <t>Noise Sensing Volume Control</t>
  </si>
  <si>
    <t>VAL-V-9934</t>
  </si>
  <si>
    <t>Remote Microphone</t>
  </si>
  <si>
    <t>VAL-V-9936A</t>
  </si>
  <si>
    <t>6 Line Audible Ring Unit</t>
  </si>
  <si>
    <t>VAL-V-9939C</t>
  </si>
  <si>
    <t>Microphone Adapter</t>
  </si>
  <si>
    <t>VAL-V-9940</t>
  </si>
  <si>
    <t>Station Level Page Adapter</t>
  </si>
  <si>
    <t>VAL-V-9941A</t>
  </si>
  <si>
    <t>1 Zone Talkback Page Control</t>
  </si>
  <si>
    <t>VAL-V-9945A</t>
  </si>
  <si>
    <t>Loud Ringer Horn</t>
  </si>
  <si>
    <t>VAL-V-9955</t>
  </si>
  <si>
    <t>Auxiliary Relay Unit</t>
  </si>
  <si>
    <t>VAL-V-9964</t>
  </si>
  <si>
    <t>Stacking Feedback Eliminator</t>
  </si>
  <si>
    <t>VAL-V-9972</t>
  </si>
  <si>
    <t xml:space="preserve">Universal Paging Interface </t>
  </si>
  <si>
    <t>VAL-V-9983-W</t>
  </si>
  <si>
    <t>In-Wall Audio Mixer, White</t>
  </si>
  <si>
    <t>VAL-V-9984-W</t>
  </si>
  <si>
    <t>In-Wall Remote Mixer, White</t>
  </si>
  <si>
    <t>VAL-V-9985-W</t>
  </si>
  <si>
    <t>In-Wall Audio Mixer w/Remote, White</t>
  </si>
  <si>
    <t>VAL-V-9988</t>
  </si>
  <si>
    <t>USB Message-On-Hold Device</t>
  </si>
  <si>
    <t>VAL-V-9989</t>
  </si>
  <si>
    <t>USB Multi-Messager Device</t>
  </si>
  <si>
    <t>VAL-V-ACS45</t>
  </si>
  <si>
    <t>Advanced Communication System 45Ohm Talkback</t>
  </si>
  <si>
    <t>VAL-V-ACS25</t>
  </si>
  <si>
    <t>Advanced Communication System 25V Talkback</t>
  </si>
  <si>
    <t>VAL-V-BDM12-S</t>
  </si>
  <si>
    <t>12" Clock Double Mount Bracket for Wired Clocks</t>
  </si>
  <si>
    <t>VAL-VBB-1424</t>
  </si>
  <si>
    <t>Battery Back-Up Power</t>
  </si>
  <si>
    <t xml:space="preserve">VAL-VB-A13 </t>
  </si>
  <si>
    <t>Angled Mount for use w/VIP-428A, V-CTSQPK, V-936480, V-1920C, V-1921, V-1961</t>
  </si>
  <si>
    <t xml:space="preserve">VAL-VB-A21 </t>
  </si>
  <si>
    <t xml:space="preserve">Angled Mount for use w/ VIP-432A-DF, 432A-DF-IC, 412A-DF-IC, V-CSB25 </t>
  </si>
  <si>
    <t xml:space="preserve">VAL-VB-R12 </t>
  </si>
  <si>
    <t>Recessed Mount for use w/VIP-428A, 428A-IC, V-CTSQPK, V-936480, V-1920C, V-1921, V-1961</t>
  </si>
  <si>
    <t xml:space="preserve">VAL-VB-R17-D </t>
  </si>
  <si>
    <t>Recessed Mount for use w/VIP-9880A, VIP-9880A-IC</t>
  </si>
  <si>
    <t xml:space="preserve">VAL-VB-R19 </t>
  </si>
  <si>
    <t xml:space="preserve">Recessed Mount for use w/VIP-431A-A-IC, 432A-DF, 432A-DF-IC, 412A-DF-IC, V-CSB12S, V-CSB25 </t>
  </si>
  <si>
    <t xml:space="preserve">VAL-VB-R22 </t>
  </si>
  <si>
    <t xml:space="preserve">Recessed Mount for use w/ VIP-419A-D-IC, 429A-A, 429A-A-IC, 429A-D-IC, 426A-D, 429A-D </t>
  </si>
  <si>
    <t xml:space="preserve">VAL-VB-S11 </t>
  </si>
  <si>
    <t xml:space="preserve">Surface Mount for use w/ VIP-428A, VIP-428A-IC, V-CTSQPK, V-936480, V-1920C, V-1921, V-1961 </t>
  </si>
  <si>
    <t xml:space="preserve">VAL-VB-S20 </t>
  </si>
  <si>
    <t xml:space="preserve">Surface  Mount for use w/ Use with  VIP-431A-A-IC, 432A-DF, 412A-DF-IC, V-CSB12S, V-CSB25 </t>
  </si>
  <si>
    <t xml:space="preserve">VAL-VB-S23 </t>
  </si>
  <si>
    <t>Surface Mount for use w/ VIP-419A-D-IC, 429A-A, 429A-A-IC, 429A-D-IC, 426A-D, 429A-D</t>
  </si>
  <si>
    <t>VAL-VC-1061 -BK -W</t>
  </si>
  <si>
    <t xml:space="preserve">45 Ohm Wall Speaker w/Volume Settings (Black or White) </t>
  </si>
  <si>
    <t>VAL-VC-1090</t>
  </si>
  <si>
    <t xml:space="preserve">Talkback FlexHorn™ </t>
  </si>
  <si>
    <t>VAL-VC40R-4</t>
  </si>
  <si>
    <t>4 Position Feature Cards</t>
  </si>
  <si>
    <t>VAL-VC40R-9T</t>
  </si>
  <si>
    <t>9 Position Feature Cards (includes backplane terminator)</t>
  </si>
  <si>
    <t>VAL-V-C6124P</t>
  </si>
  <si>
    <t>Power Supply 6 amp Positive 24 Vdc</t>
  </si>
  <si>
    <t>VAL-V-C806PK</t>
  </si>
  <si>
    <t>8" Talkback Ceiling Speaker w/ Taps ( 6 Per Pack)</t>
  </si>
  <si>
    <t>VAL-V-CIO</t>
  </si>
  <si>
    <t>Clock Relay Card</t>
  </si>
  <si>
    <t xml:space="preserve">VAL-V-CLK </t>
  </si>
  <si>
    <t>Clock Control Interface Package</t>
  </si>
  <si>
    <t>VAL-V-CSB12S</t>
  </si>
  <si>
    <t>12" Analog Clock/8" Speaker Baffle</t>
  </si>
  <si>
    <t>VAL-V-CSB25</t>
  </si>
  <si>
    <t>2.5" Digital Clock/8" Speaker Baffle</t>
  </si>
  <si>
    <t>VAL-V-DCH</t>
  </si>
  <si>
    <t>Digital Clock Head End</t>
  </si>
  <si>
    <t>VAL-V-DCPI</t>
  </si>
  <si>
    <t>Digital Clock Protocol Interface</t>
  </si>
  <si>
    <t>VAL-V-DMKIT</t>
  </si>
  <si>
    <t>Double-Sided Brackets for 4-Digit Digital Clocks</t>
  </si>
  <si>
    <t>VAL-V-DW11040B</t>
  </si>
  <si>
    <t>4.0" Wireless Digital Clock, 110V</t>
  </si>
  <si>
    <t>VAL-V-DSP</t>
  </si>
  <si>
    <t>Large LED Display Package</t>
  </si>
  <si>
    <t>VAL-V-GPSA</t>
  </si>
  <si>
    <t xml:space="preserve">Valcom GPS Clock, Wired - Rack Mount </t>
  </si>
  <si>
    <t>VAL-V-GPS-TX</t>
  </si>
  <si>
    <t>Valcom GPS Clock, Wireless- Surface Mount</t>
  </si>
  <si>
    <t xml:space="preserve">VAL-VIP-172AL–ST </t>
  </si>
  <si>
    <t xml:space="preserve">IP Intercom – Flush Mount Brushed Stainless Steel Plate w/ Call Button &amp; LED </t>
  </si>
  <si>
    <t xml:space="preserve">VAL-VIP-172AL–VRSS </t>
  </si>
  <si>
    <t>VAL-VIP-176A-IC</t>
  </si>
  <si>
    <t>SIP Vandal Resistant DoorPlate Intercom</t>
  </si>
  <si>
    <t xml:space="preserve">VAL-VIP-201A </t>
  </si>
  <si>
    <t xml:space="preserve">SIP Based Paging Server -- 1 Analog Output </t>
  </si>
  <si>
    <t xml:space="preserve">VAL-VIP-204B </t>
  </si>
  <si>
    <t xml:space="preserve">SIP Based Paging Server -- 4 Analog Outputs </t>
  </si>
  <si>
    <t xml:space="preserve">VAL-VIP-324D </t>
  </si>
  <si>
    <t>24VDC Digital Power Supply</t>
  </si>
  <si>
    <t xml:space="preserve">VAL-VIP-428A </t>
  </si>
  <si>
    <t xml:space="preserve">IP 8" Square Speaker Faceplate </t>
  </si>
  <si>
    <t xml:space="preserve">VAL-VIP-428A-IC </t>
  </si>
  <si>
    <t>InformaCast IP 8" Square Speaker Faceplate</t>
  </si>
  <si>
    <t xml:space="preserve">VAL-VIP-428A-SA </t>
  </si>
  <si>
    <t>Syn-Apps IP 8" Square Speaker Faceplate</t>
  </si>
  <si>
    <t xml:space="preserve">VAL-VIP-429A-D </t>
  </si>
  <si>
    <t xml:space="preserve">IP Speaker Faceplate Unit w/ Digital Clock </t>
  </si>
  <si>
    <t xml:space="preserve">VAL-VIP-429A-D-IC </t>
  </si>
  <si>
    <t xml:space="preserve">InformaCast IP Speaker Faceplate Unit w/ Digital Clock </t>
  </si>
  <si>
    <t xml:space="preserve">VAL-VIP-430A </t>
  </si>
  <si>
    <t xml:space="preserve">IP Wall Speaker Assembly </t>
  </si>
  <si>
    <t xml:space="preserve">VAL-VIP-430A-IC </t>
  </si>
  <si>
    <t xml:space="preserve">InformaCast IP Wall Speaker Assembly </t>
  </si>
  <si>
    <t xml:space="preserve">VAL-VIP-430A-SA </t>
  </si>
  <si>
    <t xml:space="preserve">Syn-Apps IP Wall Speaker Assembly </t>
  </si>
  <si>
    <t xml:space="preserve">VAL-VIP-431A-DS </t>
  </si>
  <si>
    <t xml:space="preserve">IP Surface Mount Speaker Angled w/ Digital Clock </t>
  </si>
  <si>
    <t xml:space="preserve">VAL-VIP-431A-A-IC </t>
  </si>
  <si>
    <t xml:space="preserve">InformaCast IP Speaker w/ Analog Clock </t>
  </si>
  <si>
    <t xml:space="preserve">VAL-VIP-431A-DS-IC </t>
  </si>
  <si>
    <t xml:space="preserve">InformaCast IP Surface Mount Speaker Angled w/ Digital Clock </t>
  </si>
  <si>
    <t xml:space="preserve">VAL-VIP-432A-DF </t>
  </si>
  <si>
    <t xml:space="preserve">VAL-VIP-432A-DF-IC </t>
  </si>
  <si>
    <t xml:space="preserve">VAL-VIP-580A-IC </t>
  </si>
  <si>
    <t>InformaCast IP FlexHorn™ Surface Mount Unit (Vandal-Resistant)</t>
  </si>
  <si>
    <t>VAL-VIP-581A</t>
  </si>
  <si>
    <t>IP FlexHorn™ Angled Surface Mount Unit (Vandal-Resistant)</t>
  </si>
  <si>
    <t xml:space="preserve">VAL-VIP-581A-IC </t>
  </si>
  <si>
    <t>InformaCast IP FlexHorn™ Angled Surface Mount Unit (Vandal-Resistant)</t>
  </si>
  <si>
    <t>VAL-VIP-801A</t>
  </si>
  <si>
    <t xml:space="preserve">IP One Audio Port, Networked </t>
  </si>
  <si>
    <t>VAL-VIP-801A-SA</t>
  </si>
  <si>
    <t>Syn-Apps IP One Audio Port, Networked</t>
  </si>
  <si>
    <t>VAL-VIP-801A-IC</t>
  </si>
  <si>
    <t>InformaCast IP One Audio Port, Networked</t>
  </si>
  <si>
    <t>VAL-VIP-802B</t>
  </si>
  <si>
    <t xml:space="preserve">Dual Enhanced Network Audio Port </t>
  </si>
  <si>
    <t xml:space="preserve">VAL-VIP-804B </t>
  </si>
  <si>
    <t xml:space="preserve">Quad Enhanced Network Audio Port </t>
  </si>
  <si>
    <t>VAL-VIP-811A</t>
  </si>
  <si>
    <t xml:space="preserve">Enhanced Network Station Port </t>
  </si>
  <si>
    <t>VAL-VIP-814B</t>
  </si>
  <si>
    <t xml:space="preserve">Quad Enhanced Network Station Port </t>
  </si>
  <si>
    <t>VAL-VIP-821A</t>
  </si>
  <si>
    <t xml:space="preserve">Enhanced Network Trunk Port </t>
  </si>
  <si>
    <t>VAL-VIP-822A</t>
  </si>
  <si>
    <t xml:space="preserve">Dual Enhanced Network Trunk Port </t>
  </si>
  <si>
    <t>VAL-VIP-824A</t>
  </si>
  <si>
    <t xml:space="preserve">Quad Enhanced Network Trunk Port </t>
  </si>
  <si>
    <t>VAL-VIP-851-25</t>
  </si>
  <si>
    <t xml:space="preserve">25-Volt IP/SIP 20W Amplifier </t>
  </si>
  <si>
    <t>VAL-VIP-851-70/100</t>
  </si>
  <si>
    <t xml:space="preserve">25/70/100-Volt IP/SIP 20W Amplifier </t>
  </si>
  <si>
    <t>VAL-VIP-9880A</t>
  </si>
  <si>
    <t>IP FlexHorn™ Interior Square Faceplate, White</t>
  </si>
  <si>
    <t xml:space="preserve">VAL-VIP-9880-IC </t>
  </si>
  <si>
    <t xml:space="preserve">InformaCast IP FlexHorn™ Interior Square Faceplate, White </t>
  </si>
  <si>
    <t xml:space="preserve">VAL-VIP-9880A-SA </t>
  </si>
  <si>
    <t xml:space="preserve">Syn-Apps IP FlexHorn™ Interior Square Faceplate, White </t>
  </si>
  <si>
    <t>VAL-VIP-9890A-EM</t>
  </si>
  <si>
    <t>Vandal-Resistant IP Emergency Call Station</t>
  </si>
  <si>
    <t>VAL-VIP-998-AM-IC</t>
  </si>
  <si>
    <t>IP Strobe Alert (Amber, Blue, White)</t>
  </si>
  <si>
    <t>VAL-VL520 (BK-F) (SS-F)</t>
  </si>
  <si>
    <t>IP Compact  Speaker, Text &amp; Flashers (Black or Stainless Steel)</t>
  </si>
  <si>
    <t xml:space="preserve">VAL-V-LPT </t>
  </si>
  <si>
    <t>One-Way Paging Adapter</t>
  </si>
  <si>
    <t>VAL-VM-150</t>
  </si>
  <si>
    <t>Screw Terminal Block</t>
  </si>
  <si>
    <t>VAL-VMT-1</t>
  </si>
  <si>
    <t>Matching Transformer</t>
  </si>
  <si>
    <t>VAL-VMT-2</t>
  </si>
  <si>
    <t>Audio  Isolation Transformer</t>
  </si>
  <si>
    <t>VAL-VP-1124D/VP-1124D-EC/VP-1124D-UK</t>
  </si>
  <si>
    <t>1 Amp, 24 Volt Digital Power Supply</t>
  </si>
  <si>
    <t>VAL-VP-12124</t>
  </si>
  <si>
    <t>12 Amp, 24 Vdc, Filtered, Wall Mount Power Supply</t>
  </si>
  <si>
    <t>VAL-VP-2124D</t>
  </si>
  <si>
    <t>2 Amp, 24 Volt Digital, Power Supply</t>
  </si>
  <si>
    <t>VAL-VP-2148D</t>
  </si>
  <si>
    <t>2 Amp, 48 Volt Digit Power Supply</t>
  </si>
  <si>
    <t>VAL-VP-324D</t>
  </si>
  <si>
    <t>Digital Power Supply</t>
  </si>
  <si>
    <t>VAL-VP-412A</t>
  </si>
  <si>
    <t>400mA, -12Vdc, Unfiltered, Power Supply</t>
  </si>
  <si>
    <t>VAL-VP-4124D/VP-4124D-EC</t>
  </si>
  <si>
    <t>4 Amp, 24 Volt Digital Power Supply</t>
  </si>
  <si>
    <t>VAL-VP-6124/VP-6124-E</t>
  </si>
  <si>
    <t>6 Amp, -24Vdc, Filtered, Power Supply</t>
  </si>
  <si>
    <t>VAL-VP-6124-UPS</t>
  </si>
  <si>
    <t>Battery Back-Up Charger</t>
  </si>
  <si>
    <t>VAL-VP-624D</t>
  </si>
  <si>
    <t>600mA, 24 Volt, Digital Power Supply</t>
  </si>
  <si>
    <t>VAL-VP-9202</t>
  </si>
  <si>
    <t>Shelf Mount for VP-6124</t>
  </si>
  <si>
    <t>VAL-VPB-260</t>
  </si>
  <si>
    <t>VAL-VSA-1020C</t>
  </si>
  <si>
    <t>8" Amplified Speaker w/o Grille</t>
  </si>
  <si>
    <t>VAL-V-SER</t>
  </si>
  <si>
    <t>Serial Card</t>
  </si>
  <si>
    <t>VAL-V-SMR12A</t>
  </si>
  <si>
    <t>12" Wired Clock Surface Mount Ring</t>
  </si>
  <si>
    <t>VAL-V-TBAR</t>
  </si>
  <si>
    <t>Trim T-Bar (10 pack)</t>
  </si>
  <si>
    <t>VAL-V-VCPANEL - BK -GY</t>
  </si>
  <si>
    <t>3U 6-Gang Volume Control Panel, Black or Gray</t>
  </si>
  <si>
    <t>VAL-V-VCU</t>
  </si>
  <si>
    <t>6 Amp 2 Wire Clock Driver</t>
  </si>
  <si>
    <t>VAL-V-WDM-16</t>
  </si>
  <si>
    <t>Double-Sided Bracket for 16-Inch Wireless Clock</t>
  </si>
  <si>
    <t>VAL-V-WGACLK</t>
  </si>
  <si>
    <t>Wire guard for Analog Clocks</t>
  </si>
  <si>
    <t>VAL-V-WGFLEX-2</t>
  </si>
  <si>
    <t>Wire Guard use with FlexHorns (Order in Increments of: 2)</t>
  </si>
  <si>
    <t>VAL-V-WGHORN-2</t>
  </si>
  <si>
    <t>Wire Guard use with Paging Horns (Order in Increments of: 2)</t>
  </si>
  <si>
    <t>VAL-V-WGWALL-2</t>
  </si>
  <si>
    <t>Wire Guard use with Wall Speakers (Order in Increments of: 2)</t>
  </si>
  <si>
    <t>VAL-V-WMCA</t>
  </si>
  <si>
    <t>Wireless master clock transceiver</t>
  </si>
  <si>
    <t>VAL-V-WMCRA</t>
  </si>
  <si>
    <t>Wireless master clock repeater</t>
  </si>
  <si>
    <t>VAL-V-WTGY</t>
  </si>
  <si>
    <t>8" Talkback Wall Speaker w/ Taps, Gray/Black Grille, Paintable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</si>
</sst>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</numFmts>
  <fonts count="11" x14ac:knownFonts="1">
    <font>
      <sz val="11"/>
      <color theme="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3F48"/>
      <name val="Arial"/>
      <family val="2"/>
    </font>
    <font>
      <sz val="10"/>
      <color rgb="FF464749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9" fontId="2" fillId="0" borderId="0" xfId="0" applyNumberFormat="1" applyFont="1"/>
    <xf numFmtId="4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4" fontId="2" fillId="0" borderId="0" xfId="0" applyNumberFormat="1" applyFont="1"/>
    <xf numFmtId="44" fontId="2" fillId="0" borderId="0" xfId="0" applyNumberFormat="1" applyFont="1" applyAlignment="1">
      <alignment horizontal="center"/>
    </xf>
    <xf numFmtId="44" fontId="2" fillId="0" borderId="1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4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9" fontId="2" fillId="0" borderId="5" xfId="0" applyNumberFormat="1" applyFont="1" applyBorder="1" applyAlignment="1">
      <alignment horizontal="center"/>
    </xf>
    <xf numFmtId="44" fontId="2" fillId="0" borderId="1" xfId="0" applyNumberFormat="1" applyFont="1" applyBorder="1"/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4" fontId="2" fillId="0" borderId="0" xfId="0" applyNumberFormat="1" applyFont="1"/>
    <xf numFmtId="164" fontId="4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horizontal="left"/>
    </xf>
    <xf numFmtId="0" fontId="9" fillId="0" borderId="0" xfId="0" applyFont="1"/>
    <xf numFmtId="44" fontId="9" fillId="0" borderId="0" xfId="0" applyNumberFormat="1" applyFont="1"/>
    <xf numFmtId="0" fontId="10" fillId="0" borderId="0" xfId="0" applyFont="1"/>
    <xf numFmtId="0" fontId="5" fillId="0" borderId="0" xfId="0" applyFont="1"/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9" fillId="0" borderId="5" xfId="0" applyFont="1" applyBorder="1"/>
    <xf numFmtId="0" fontId="10" fillId="0" borderId="5" xfId="0" applyFont="1" applyBorder="1"/>
    <xf numFmtId="164" fontId="9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wrapText="1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8" fontId="5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8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8" fontId="5" fillId="0" borderId="0" xfId="0" applyNumberFormat="1" applyFont="1"/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43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43" fontId="5" fillId="0" borderId="0" xfId="0" applyNumberFormat="1" applyFont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4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0" fillId="3" borderId="0" xfId="0" applyFont="1" applyFill="1" applyAlignment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44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9" fontId="2" fillId="4" borderId="2" xfId="0" applyNumberFormat="1" applyFont="1" applyFill="1" applyBorder="1" applyAlignment="1">
      <alignment horizontal="center"/>
    </xf>
    <xf numFmtId="44" fontId="2" fillId="4" borderId="2" xfId="0" applyNumberFormat="1" applyFont="1" applyFill="1" applyBorder="1"/>
    <xf numFmtId="0" fontId="1" fillId="3" borderId="0" xfId="0" applyFont="1" applyFill="1" applyAlignment="1">
      <alignment horizontal="center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4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9" fontId="2" fillId="4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3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4" borderId="2" xfId="0" applyFont="1" applyFill="1" applyBorder="1" applyAlignment="1">
      <alignment horizontal="left" vertical="center" wrapText="1"/>
    </xf>
    <xf numFmtId="164" fontId="1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pane ySplit="1" topLeftCell="A48" activePane="bottomLeft" state="frozen"/>
      <selection pane="bottomLeft" activeCell="J2" sqref="J2:J76"/>
    </sheetView>
  </sheetViews>
  <sheetFormatPr defaultColWidth="14.44140625" defaultRowHeight="15" customHeight="1" x14ac:dyDescent="0.3"/>
  <cols>
    <col min="1" max="1" width="13.109375" customWidth="1"/>
    <col min="2" max="2" width="18.6640625" customWidth="1"/>
    <col min="3" max="3" width="70.5546875" customWidth="1"/>
    <col min="4" max="4" width="5.44140625" customWidth="1"/>
    <col min="5" max="6" width="9.109375" customWidth="1"/>
    <col min="7" max="7" width="13.88671875" customWidth="1"/>
    <col min="8" max="8" width="7.44140625" customWidth="1"/>
    <col min="9" max="9" width="1.6640625" customWidth="1"/>
    <col min="10" max="10" width="8.5546875" customWidth="1"/>
    <col min="11" max="11" width="9.109375" customWidth="1"/>
    <col min="12" max="12" width="7.44140625" customWidth="1"/>
    <col min="13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 t="s">
        <v>8</v>
      </c>
      <c r="K1" s="2" t="s">
        <v>9</v>
      </c>
      <c r="L1" s="3" t="s">
        <v>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10</v>
      </c>
      <c r="B2" s="4" t="s">
        <v>11</v>
      </c>
      <c r="C2" s="4" t="s">
        <v>12</v>
      </c>
      <c r="D2" s="5" t="s">
        <v>13</v>
      </c>
      <c r="E2" s="6">
        <v>119</v>
      </c>
      <c r="F2" s="6"/>
      <c r="G2" s="6">
        <v>60.69</v>
      </c>
      <c r="H2" s="7">
        <f t="shared" ref="H2:H24" si="0">1-(G2/E2)</f>
        <v>0.49</v>
      </c>
      <c r="I2" s="7"/>
      <c r="J2" s="7">
        <v>0.38</v>
      </c>
      <c r="K2" s="6">
        <f t="shared" ref="K2:K24" si="1">E2*(1-J2)</f>
        <v>73.78</v>
      </c>
      <c r="L2" s="7">
        <f t="shared" ref="L2:L24" si="2">1-(G2/K2)</f>
        <v>0.17741935483870974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10</v>
      </c>
      <c r="B3" s="4" t="s">
        <v>14</v>
      </c>
      <c r="C3" s="4" t="s">
        <v>15</v>
      </c>
      <c r="D3" s="5" t="s">
        <v>13</v>
      </c>
      <c r="E3" s="6">
        <v>174</v>
      </c>
      <c r="F3" s="6"/>
      <c r="G3" s="6">
        <v>95.7</v>
      </c>
      <c r="H3" s="7">
        <f t="shared" si="0"/>
        <v>0.44999999999999996</v>
      </c>
      <c r="I3" s="7"/>
      <c r="J3" s="7">
        <v>0.32</v>
      </c>
      <c r="K3" s="6">
        <f t="shared" si="1"/>
        <v>118.32</v>
      </c>
      <c r="L3" s="7">
        <f t="shared" si="2"/>
        <v>0.19117647058823517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10</v>
      </c>
      <c r="B4" s="4" t="s">
        <v>16</v>
      </c>
      <c r="C4" s="4" t="s">
        <v>17</v>
      </c>
      <c r="D4" s="5" t="s">
        <v>13</v>
      </c>
      <c r="E4" s="6">
        <v>159</v>
      </c>
      <c r="F4" s="6"/>
      <c r="G4" s="6">
        <v>81.09</v>
      </c>
      <c r="H4" s="7">
        <f t="shared" si="0"/>
        <v>0.49</v>
      </c>
      <c r="I4" s="7"/>
      <c r="J4" s="7">
        <v>0.38</v>
      </c>
      <c r="K4" s="6">
        <f t="shared" si="1"/>
        <v>98.58</v>
      </c>
      <c r="L4" s="7">
        <f t="shared" si="2"/>
        <v>0.17741935483870963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10</v>
      </c>
      <c r="B5" s="4" t="s">
        <v>18</v>
      </c>
      <c r="C5" s="4" t="s">
        <v>19</v>
      </c>
      <c r="D5" s="5" t="s">
        <v>13</v>
      </c>
      <c r="E5" s="6">
        <v>379</v>
      </c>
      <c r="F5" s="6"/>
      <c r="G5" s="6">
        <v>254.69</v>
      </c>
      <c r="H5" s="7">
        <f t="shared" si="0"/>
        <v>0.32799472295514509</v>
      </c>
      <c r="I5" s="7"/>
      <c r="J5" s="7">
        <v>0.18</v>
      </c>
      <c r="K5" s="6">
        <f t="shared" si="1"/>
        <v>310.78000000000003</v>
      </c>
      <c r="L5" s="7">
        <f t="shared" si="2"/>
        <v>0.18048136945749416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10</v>
      </c>
      <c r="B6" s="4" t="s">
        <v>20</v>
      </c>
      <c r="C6" s="4" t="s">
        <v>21</v>
      </c>
      <c r="D6" s="5" t="s">
        <v>13</v>
      </c>
      <c r="E6" s="6">
        <v>105</v>
      </c>
      <c r="F6" s="6"/>
      <c r="G6" s="6">
        <v>90</v>
      </c>
      <c r="H6" s="7">
        <f t="shared" si="0"/>
        <v>0.1428571428571429</v>
      </c>
      <c r="I6" s="7"/>
      <c r="J6" s="7">
        <v>0</v>
      </c>
      <c r="K6" s="6">
        <f t="shared" si="1"/>
        <v>105</v>
      </c>
      <c r="L6" s="7">
        <f t="shared" si="2"/>
        <v>0.1428571428571429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10</v>
      </c>
      <c r="B7" s="4" t="s">
        <v>22</v>
      </c>
      <c r="C7" s="4" t="s">
        <v>23</v>
      </c>
      <c r="D7" s="5" t="s">
        <v>13</v>
      </c>
      <c r="E7" s="6">
        <v>225</v>
      </c>
      <c r="F7" s="6"/>
      <c r="G7" s="6">
        <v>168.75</v>
      </c>
      <c r="H7" s="7">
        <f t="shared" si="0"/>
        <v>0.25</v>
      </c>
      <c r="I7" s="7"/>
      <c r="J7" s="7">
        <v>0.08</v>
      </c>
      <c r="K7" s="6">
        <f t="shared" si="1"/>
        <v>207</v>
      </c>
      <c r="L7" s="7">
        <f t="shared" si="2"/>
        <v>0.18478260869565222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10</v>
      </c>
      <c r="B8" s="4" t="s">
        <v>24</v>
      </c>
      <c r="C8" s="4" t="s">
        <v>25</v>
      </c>
      <c r="D8" s="5" t="s">
        <v>13</v>
      </c>
      <c r="E8" s="6">
        <v>209</v>
      </c>
      <c r="F8" s="6"/>
      <c r="G8" s="6">
        <v>106.08</v>
      </c>
      <c r="H8" s="7">
        <f t="shared" si="0"/>
        <v>0.49244019138755979</v>
      </c>
      <c r="I8" s="7"/>
      <c r="J8" s="7">
        <v>0.38</v>
      </c>
      <c r="K8" s="6">
        <f t="shared" si="1"/>
        <v>129.58000000000001</v>
      </c>
      <c r="L8" s="7">
        <f t="shared" si="2"/>
        <v>0.18135514739929015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10</v>
      </c>
      <c r="B9" s="4" t="s">
        <v>26</v>
      </c>
      <c r="C9" s="4" t="s">
        <v>27</v>
      </c>
      <c r="D9" s="5" t="s">
        <v>13</v>
      </c>
      <c r="E9" s="6">
        <v>194</v>
      </c>
      <c r="F9" s="6"/>
      <c r="G9" s="6">
        <v>106.7</v>
      </c>
      <c r="H9" s="7">
        <f t="shared" si="0"/>
        <v>0.44999999999999996</v>
      </c>
      <c r="I9" s="7"/>
      <c r="J9" s="7">
        <v>0.32</v>
      </c>
      <c r="K9" s="6">
        <f t="shared" si="1"/>
        <v>131.91999999999999</v>
      </c>
      <c r="L9" s="7">
        <f t="shared" si="2"/>
        <v>0.19117647058823517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10</v>
      </c>
      <c r="B10" s="4" t="s">
        <v>28</v>
      </c>
      <c r="C10" s="4" t="s">
        <v>29</v>
      </c>
      <c r="D10" s="5" t="s">
        <v>13</v>
      </c>
      <c r="E10" s="6">
        <v>179</v>
      </c>
      <c r="F10" s="6"/>
      <c r="G10" s="6">
        <v>91.29</v>
      </c>
      <c r="H10" s="7">
        <f t="shared" si="0"/>
        <v>0.49</v>
      </c>
      <c r="I10" s="7"/>
      <c r="J10" s="7">
        <v>0.38</v>
      </c>
      <c r="K10" s="6">
        <f t="shared" si="1"/>
        <v>110.98</v>
      </c>
      <c r="L10" s="7">
        <f t="shared" si="2"/>
        <v>0.17741935483870963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10</v>
      </c>
      <c r="B11" s="4" t="s">
        <v>30</v>
      </c>
      <c r="C11" s="4" t="s">
        <v>31</v>
      </c>
      <c r="D11" s="5" t="s">
        <v>13</v>
      </c>
      <c r="E11" s="6">
        <v>234</v>
      </c>
      <c r="F11" s="6"/>
      <c r="G11" s="6">
        <v>128.69999999999999</v>
      </c>
      <c r="H11" s="7">
        <f t="shared" si="0"/>
        <v>0.45000000000000007</v>
      </c>
      <c r="I11" s="7"/>
      <c r="J11" s="7">
        <v>0.32</v>
      </c>
      <c r="K11" s="6">
        <f t="shared" si="1"/>
        <v>159.11999999999998</v>
      </c>
      <c r="L11" s="7">
        <f t="shared" si="2"/>
        <v>0.19117647058823528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10</v>
      </c>
      <c r="B12" s="4" t="s">
        <v>32</v>
      </c>
      <c r="C12" s="4" t="s">
        <v>33</v>
      </c>
      <c r="D12" s="5" t="s">
        <v>13</v>
      </c>
      <c r="E12" s="6">
        <v>219</v>
      </c>
      <c r="F12" s="6"/>
      <c r="G12" s="6">
        <v>111.69</v>
      </c>
      <c r="H12" s="7">
        <f t="shared" si="0"/>
        <v>0.49</v>
      </c>
      <c r="I12" s="7"/>
      <c r="J12" s="7">
        <v>0.38</v>
      </c>
      <c r="K12" s="6">
        <f t="shared" si="1"/>
        <v>135.78</v>
      </c>
      <c r="L12" s="7">
        <f t="shared" si="2"/>
        <v>0.17741935483870974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10</v>
      </c>
      <c r="B13" s="4" t="s">
        <v>34</v>
      </c>
      <c r="C13" s="4" t="s">
        <v>35</v>
      </c>
      <c r="D13" s="5" t="s">
        <v>13</v>
      </c>
      <c r="E13" s="6">
        <v>289</v>
      </c>
      <c r="F13" s="6"/>
      <c r="G13" s="6">
        <v>147.38999999999999</v>
      </c>
      <c r="H13" s="7">
        <f t="shared" si="0"/>
        <v>0.4900000000000001</v>
      </c>
      <c r="I13" s="7"/>
      <c r="J13" s="7">
        <v>0.38</v>
      </c>
      <c r="K13" s="6">
        <f t="shared" si="1"/>
        <v>179.18</v>
      </c>
      <c r="L13" s="7">
        <f t="shared" si="2"/>
        <v>0.17741935483870974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10</v>
      </c>
      <c r="B14" s="4" t="s">
        <v>36</v>
      </c>
      <c r="C14" s="4" t="s">
        <v>37</v>
      </c>
      <c r="D14" s="5" t="s">
        <v>13</v>
      </c>
      <c r="E14" s="6">
        <v>274</v>
      </c>
      <c r="F14" s="6"/>
      <c r="G14" s="6">
        <v>150.69999999999999</v>
      </c>
      <c r="H14" s="7">
        <f t="shared" si="0"/>
        <v>0.45000000000000007</v>
      </c>
      <c r="I14" s="7"/>
      <c r="J14" s="7">
        <v>0.32</v>
      </c>
      <c r="K14" s="6">
        <f t="shared" si="1"/>
        <v>186.32</v>
      </c>
      <c r="L14" s="7">
        <f t="shared" si="2"/>
        <v>0.19117647058823528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10</v>
      </c>
      <c r="B15" s="4" t="s">
        <v>38</v>
      </c>
      <c r="C15" s="4" t="s">
        <v>39</v>
      </c>
      <c r="D15" s="5" t="s">
        <v>13</v>
      </c>
      <c r="E15" s="6">
        <v>259</v>
      </c>
      <c r="F15" s="6"/>
      <c r="G15" s="6">
        <v>132.09</v>
      </c>
      <c r="H15" s="7">
        <f t="shared" si="0"/>
        <v>0.49</v>
      </c>
      <c r="I15" s="7"/>
      <c r="J15" s="7">
        <v>0.38</v>
      </c>
      <c r="K15" s="6">
        <f t="shared" si="1"/>
        <v>160.58000000000001</v>
      </c>
      <c r="L15" s="7">
        <f t="shared" si="2"/>
        <v>0.17741935483870974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10</v>
      </c>
      <c r="B16" s="4" t="s">
        <v>40</v>
      </c>
      <c r="C16" s="4" t="s">
        <v>41</v>
      </c>
      <c r="D16" s="5" t="s">
        <v>13</v>
      </c>
      <c r="E16" s="6">
        <v>329</v>
      </c>
      <c r="F16" s="6"/>
      <c r="G16" s="6">
        <v>167.79</v>
      </c>
      <c r="H16" s="7">
        <f t="shared" si="0"/>
        <v>0.49</v>
      </c>
      <c r="I16" s="7"/>
      <c r="J16" s="7">
        <v>0.38</v>
      </c>
      <c r="K16" s="6">
        <f t="shared" si="1"/>
        <v>203.98</v>
      </c>
      <c r="L16" s="7">
        <f t="shared" si="2"/>
        <v>0.17741935483870963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10</v>
      </c>
      <c r="B17" s="4" t="s">
        <v>42</v>
      </c>
      <c r="C17" s="4" t="s">
        <v>43</v>
      </c>
      <c r="D17" s="5" t="s">
        <v>13</v>
      </c>
      <c r="E17" s="6">
        <v>314</v>
      </c>
      <c r="F17" s="6"/>
      <c r="G17" s="6">
        <v>172.7</v>
      </c>
      <c r="H17" s="7">
        <f t="shared" si="0"/>
        <v>0.45000000000000007</v>
      </c>
      <c r="I17" s="7"/>
      <c r="J17" s="7">
        <v>0.32</v>
      </c>
      <c r="K17" s="6">
        <f t="shared" si="1"/>
        <v>213.51999999999998</v>
      </c>
      <c r="L17" s="7">
        <f t="shared" si="2"/>
        <v>0.19117647058823528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10</v>
      </c>
      <c r="B18" s="4" t="s">
        <v>44</v>
      </c>
      <c r="C18" s="4" t="s">
        <v>45</v>
      </c>
      <c r="D18" s="5" t="s">
        <v>13</v>
      </c>
      <c r="E18" s="6">
        <v>299</v>
      </c>
      <c r="F18" s="6"/>
      <c r="G18" s="6">
        <v>152.49</v>
      </c>
      <c r="H18" s="7">
        <f t="shared" si="0"/>
        <v>0.49</v>
      </c>
      <c r="I18" s="7"/>
      <c r="J18" s="7">
        <v>0.38</v>
      </c>
      <c r="K18" s="6">
        <f t="shared" si="1"/>
        <v>185.38</v>
      </c>
      <c r="L18" s="7">
        <f t="shared" si="2"/>
        <v>0.17741935483870963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10</v>
      </c>
      <c r="B19" s="4" t="s">
        <v>46</v>
      </c>
      <c r="C19" s="4" t="s">
        <v>47</v>
      </c>
      <c r="D19" s="5" t="s">
        <v>13</v>
      </c>
      <c r="E19" s="6">
        <v>409</v>
      </c>
      <c r="F19" s="6"/>
      <c r="G19" s="6">
        <v>208</v>
      </c>
      <c r="H19" s="7">
        <f t="shared" si="0"/>
        <v>0.49144254278728605</v>
      </c>
      <c r="I19" s="7"/>
      <c r="J19" s="7">
        <v>0.3</v>
      </c>
      <c r="K19" s="6">
        <f t="shared" si="1"/>
        <v>286.29999999999995</v>
      </c>
      <c r="L19" s="7">
        <f t="shared" si="2"/>
        <v>0.27348934683897996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10</v>
      </c>
      <c r="B20" s="4" t="s">
        <v>48</v>
      </c>
      <c r="C20" s="4" t="s">
        <v>49</v>
      </c>
      <c r="D20" s="5" t="s">
        <v>13</v>
      </c>
      <c r="E20" s="6">
        <v>394</v>
      </c>
      <c r="F20" s="6"/>
      <c r="G20" s="6">
        <v>216.7</v>
      </c>
      <c r="H20" s="7">
        <f t="shared" si="0"/>
        <v>0.45000000000000007</v>
      </c>
      <c r="I20" s="7"/>
      <c r="J20" s="7">
        <v>0.32</v>
      </c>
      <c r="K20" s="6">
        <f t="shared" si="1"/>
        <v>267.91999999999996</v>
      </c>
      <c r="L20" s="7">
        <f t="shared" si="2"/>
        <v>0.19117647058823517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10</v>
      </c>
      <c r="B21" s="4" t="s">
        <v>50</v>
      </c>
      <c r="C21" s="4" t="s">
        <v>51</v>
      </c>
      <c r="D21" s="5" t="s">
        <v>13</v>
      </c>
      <c r="E21" s="6">
        <v>379</v>
      </c>
      <c r="F21" s="6"/>
      <c r="G21" s="6">
        <v>193.29</v>
      </c>
      <c r="H21" s="7">
        <f t="shared" si="0"/>
        <v>0.49</v>
      </c>
      <c r="I21" s="7"/>
      <c r="J21" s="7">
        <v>0.38</v>
      </c>
      <c r="K21" s="6">
        <f t="shared" si="1"/>
        <v>234.98</v>
      </c>
      <c r="L21" s="7">
        <f t="shared" si="2"/>
        <v>0.17741935483870963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10</v>
      </c>
      <c r="B22" s="4" t="s">
        <v>52</v>
      </c>
      <c r="C22" s="4" t="s">
        <v>53</v>
      </c>
      <c r="D22" s="5" t="s">
        <v>13</v>
      </c>
      <c r="E22" s="6">
        <v>509</v>
      </c>
      <c r="F22" s="6"/>
      <c r="G22" s="6">
        <v>259.58999999999997</v>
      </c>
      <c r="H22" s="7">
        <f t="shared" si="0"/>
        <v>0.4900000000000001</v>
      </c>
      <c r="I22" s="7"/>
      <c r="J22" s="7">
        <v>0.3</v>
      </c>
      <c r="K22" s="6">
        <f t="shared" si="1"/>
        <v>356.29999999999995</v>
      </c>
      <c r="L22" s="7">
        <f t="shared" si="2"/>
        <v>0.27142857142857135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10</v>
      </c>
      <c r="B23" s="4" t="s">
        <v>54</v>
      </c>
      <c r="C23" s="4" t="s">
        <v>55</v>
      </c>
      <c r="D23" s="5" t="s">
        <v>13</v>
      </c>
      <c r="E23" s="6">
        <v>494</v>
      </c>
      <c r="F23" s="6"/>
      <c r="G23" s="6">
        <v>271.7</v>
      </c>
      <c r="H23" s="7">
        <f t="shared" si="0"/>
        <v>0.45000000000000007</v>
      </c>
      <c r="I23" s="7"/>
      <c r="J23" s="7">
        <v>0.32</v>
      </c>
      <c r="K23" s="6">
        <f t="shared" si="1"/>
        <v>335.91999999999996</v>
      </c>
      <c r="L23" s="7">
        <f t="shared" si="2"/>
        <v>0.19117647058823528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8" t="s">
        <v>10</v>
      </c>
      <c r="B24" s="8" t="s">
        <v>56</v>
      </c>
      <c r="C24" s="8" t="s">
        <v>57</v>
      </c>
      <c r="D24" s="9" t="s">
        <v>13</v>
      </c>
      <c r="E24" s="10">
        <v>479</v>
      </c>
      <c r="F24" s="10"/>
      <c r="G24" s="10">
        <v>244.29</v>
      </c>
      <c r="H24" s="11">
        <f t="shared" si="0"/>
        <v>0.49</v>
      </c>
      <c r="I24" s="11"/>
      <c r="J24" s="11">
        <v>0.38</v>
      </c>
      <c r="K24" s="10">
        <f t="shared" si="1"/>
        <v>296.98</v>
      </c>
      <c r="L24" s="11">
        <f t="shared" si="2"/>
        <v>0.17741935483870974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10</v>
      </c>
      <c r="B25" s="4" t="s">
        <v>58</v>
      </c>
      <c r="C25" s="4" t="s">
        <v>59</v>
      </c>
      <c r="D25" s="5" t="s">
        <v>13</v>
      </c>
      <c r="E25" s="6">
        <v>209</v>
      </c>
      <c r="F25" s="6"/>
      <c r="G25" s="6">
        <v>156.75</v>
      </c>
      <c r="H25" s="7">
        <f t="shared" ref="H25:H26" si="3">1-(G25/E25)</f>
        <v>0.25</v>
      </c>
      <c r="I25" s="7"/>
      <c r="J25" s="7">
        <v>0.08</v>
      </c>
      <c r="K25" s="6">
        <f t="shared" ref="K25:K26" si="4">E25*(1-J25)</f>
        <v>192.28</v>
      </c>
      <c r="L25" s="7">
        <f t="shared" ref="L25:L26" si="5">1-(G25/K25)</f>
        <v>0.18478260869565222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8" t="s">
        <v>10</v>
      </c>
      <c r="B26" s="8" t="s">
        <v>60</v>
      </c>
      <c r="C26" s="8" t="s">
        <v>61</v>
      </c>
      <c r="D26" s="9" t="s">
        <v>13</v>
      </c>
      <c r="E26" s="10">
        <v>129</v>
      </c>
      <c r="F26" s="10"/>
      <c r="G26" s="10">
        <v>96.75</v>
      </c>
      <c r="H26" s="11">
        <f t="shared" si="3"/>
        <v>0.25</v>
      </c>
      <c r="I26" s="11"/>
      <c r="J26" s="11">
        <v>0.08</v>
      </c>
      <c r="K26" s="10">
        <f t="shared" si="4"/>
        <v>118.68</v>
      </c>
      <c r="L26" s="11">
        <f t="shared" si="5"/>
        <v>0.18478260869565222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10</v>
      </c>
      <c r="B27" s="4" t="s">
        <v>62</v>
      </c>
      <c r="C27" s="4" t="s">
        <v>63</v>
      </c>
      <c r="D27" s="5" t="s">
        <v>13</v>
      </c>
      <c r="E27" s="6">
        <v>89</v>
      </c>
      <c r="F27" s="6"/>
      <c r="G27" s="6">
        <v>49.84</v>
      </c>
      <c r="H27" s="7">
        <f t="shared" ref="H27:H31" si="6">1-(G27/E27)</f>
        <v>0.43999999999999995</v>
      </c>
      <c r="I27" s="7"/>
      <c r="J27" s="7">
        <v>0.32</v>
      </c>
      <c r="K27" s="6">
        <f t="shared" ref="K27:K31" si="7">E27*(1-J27)</f>
        <v>60.519999999999996</v>
      </c>
      <c r="L27" s="7">
        <f t="shared" ref="L27:L31" si="8">1-(G27/K27)</f>
        <v>0.17647058823529405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10</v>
      </c>
      <c r="B28" s="4" t="s">
        <v>64</v>
      </c>
      <c r="C28" s="4" t="s">
        <v>65</v>
      </c>
      <c r="D28" s="5" t="s">
        <v>13</v>
      </c>
      <c r="E28" s="6">
        <v>179</v>
      </c>
      <c r="F28" s="6"/>
      <c r="G28" s="6">
        <v>93.98</v>
      </c>
      <c r="H28" s="7">
        <f t="shared" si="6"/>
        <v>0.47497206703910611</v>
      </c>
      <c r="I28" s="7"/>
      <c r="J28" s="7">
        <v>0.35</v>
      </c>
      <c r="K28" s="6">
        <f t="shared" si="7"/>
        <v>116.35000000000001</v>
      </c>
      <c r="L28" s="7">
        <f t="shared" si="8"/>
        <v>0.19226471852170179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10</v>
      </c>
      <c r="B29" s="4" t="s">
        <v>66</v>
      </c>
      <c r="C29" s="4" t="s">
        <v>67</v>
      </c>
      <c r="D29" s="5" t="s">
        <v>13</v>
      </c>
      <c r="E29" s="6">
        <v>239</v>
      </c>
      <c r="F29" s="6"/>
      <c r="G29" s="6">
        <v>128.46</v>
      </c>
      <c r="H29" s="7">
        <f t="shared" si="6"/>
        <v>0.46251046025104603</v>
      </c>
      <c r="I29" s="7"/>
      <c r="J29" s="7">
        <v>0.35</v>
      </c>
      <c r="K29" s="6">
        <f t="shared" si="7"/>
        <v>155.35</v>
      </c>
      <c r="L29" s="7">
        <f t="shared" si="8"/>
        <v>0.17309301577083991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10</v>
      </c>
      <c r="B30" s="4" t="s">
        <v>68</v>
      </c>
      <c r="C30" s="4" t="s">
        <v>69</v>
      </c>
      <c r="D30" s="5" t="s">
        <v>13</v>
      </c>
      <c r="E30" s="6">
        <v>279</v>
      </c>
      <c r="F30" s="6"/>
      <c r="G30" s="6">
        <v>149.96</v>
      </c>
      <c r="H30" s="7">
        <f t="shared" si="6"/>
        <v>0.46250896057347668</v>
      </c>
      <c r="I30" s="7"/>
      <c r="J30" s="7">
        <v>0.35</v>
      </c>
      <c r="K30" s="6">
        <f t="shared" si="7"/>
        <v>181.35</v>
      </c>
      <c r="L30" s="7">
        <f t="shared" si="8"/>
        <v>0.17309070857457942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8" t="s">
        <v>10</v>
      </c>
      <c r="B31" s="8" t="s">
        <v>70</v>
      </c>
      <c r="C31" s="8" t="s">
        <v>71</v>
      </c>
      <c r="D31" s="9" t="s">
        <v>13</v>
      </c>
      <c r="E31" s="10">
        <v>225</v>
      </c>
      <c r="F31" s="10"/>
      <c r="G31" s="10">
        <v>171</v>
      </c>
      <c r="H31" s="11">
        <f t="shared" si="6"/>
        <v>0.24</v>
      </c>
      <c r="I31" s="11"/>
      <c r="J31" s="11">
        <v>0.08</v>
      </c>
      <c r="K31" s="10">
        <f t="shared" si="7"/>
        <v>207</v>
      </c>
      <c r="L31" s="11">
        <f t="shared" si="8"/>
        <v>0.17391304347826086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10</v>
      </c>
      <c r="B32" s="4" t="s">
        <v>72</v>
      </c>
      <c r="C32" s="4" t="s">
        <v>73</v>
      </c>
      <c r="D32" s="5" t="s">
        <v>13</v>
      </c>
      <c r="E32" s="6">
        <v>179</v>
      </c>
      <c r="F32" s="6"/>
      <c r="G32" s="6">
        <v>93.98</v>
      </c>
      <c r="H32" s="7">
        <f t="shared" ref="H32:H35" si="9">1-(G32/E32)</f>
        <v>0.47497206703910611</v>
      </c>
      <c r="I32" s="4"/>
      <c r="J32" s="7">
        <v>0.35</v>
      </c>
      <c r="K32" s="6">
        <f t="shared" ref="K32:K35" si="10">E32*(1-J32)</f>
        <v>116.35000000000001</v>
      </c>
      <c r="L32" s="7">
        <f t="shared" ref="L32:L35" si="11">1-(G32/K32)</f>
        <v>0.19226471852170179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10</v>
      </c>
      <c r="B33" s="4" t="s">
        <v>74</v>
      </c>
      <c r="C33" s="4" t="s">
        <v>75</v>
      </c>
      <c r="D33" s="5" t="s">
        <v>13</v>
      </c>
      <c r="E33" s="6">
        <v>239</v>
      </c>
      <c r="F33" s="6"/>
      <c r="G33" s="6">
        <v>128.46</v>
      </c>
      <c r="H33" s="7">
        <f t="shared" si="9"/>
        <v>0.46251046025104603</v>
      </c>
      <c r="I33" s="7"/>
      <c r="J33" s="7">
        <v>0.35</v>
      </c>
      <c r="K33" s="6">
        <f t="shared" si="10"/>
        <v>155.35</v>
      </c>
      <c r="L33" s="7">
        <f t="shared" si="11"/>
        <v>0.17309301577083991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10</v>
      </c>
      <c r="B34" s="4" t="s">
        <v>76</v>
      </c>
      <c r="C34" s="4" t="s">
        <v>77</v>
      </c>
      <c r="D34" s="5" t="s">
        <v>13</v>
      </c>
      <c r="E34" s="6">
        <v>279</v>
      </c>
      <c r="F34" s="6"/>
      <c r="G34" s="6">
        <v>149.96</v>
      </c>
      <c r="H34" s="7">
        <f t="shared" si="9"/>
        <v>0.46250896057347668</v>
      </c>
      <c r="I34" s="7"/>
      <c r="J34" s="7">
        <v>0.35</v>
      </c>
      <c r="K34" s="6">
        <f t="shared" si="10"/>
        <v>181.35</v>
      </c>
      <c r="L34" s="7">
        <f t="shared" si="11"/>
        <v>0.17309070857457942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8" t="s">
        <v>10</v>
      </c>
      <c r="B35" s="8" t="s">
        <v>78</v>
      </c>
      <c r="C35" s="8" t="s">
        <v>79</v>
      </c>
      <c r="D35" s="9" t="s">
        <v>13</v>
      </c>
      <c r="E35" s="10">
        <v>399</v>
      </c>
      <c r="F35" s="10"/>
      <c r="G35" s="10">
        <v>203.49</v>
      </c>
      <c r="H35" s="11">
        <f t="shared" si="9"/>
        <v>0.49</v>
      </c>
      <c r="I35" s="11"/>
      <c r="J35" s="11">
        <v>0.38</v>
      </c>
      <c r="K35" s="10">
        <f t="shared" si="10"/>
        <v>247.38</v>
      </c>
      <c r="L35" s="11">
        <f t="shared" si="11"/>
        <v>0.17741935483870963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10</v>
      </c>
      <c r="B36" s="4" t="s">
        <v>80</v>
      </c>
      <c r="C36" s="4" t="s">
        <v>81</v>
      </c>
      <c r="D36" s="5" t="s">
        <v>13</v>
      </c>
      <c r="E36" s="6">
        <v>1599</v>
      </c>
      <c r="F36" s="6"/>
      <c r="G36" s="6">
        <v>879.45</v>
      </c>
      <c r="H36" s="7">
        <f t="shared" ref="H36:H43" si="12">1-(G36/E36)</f>
        <v>0.44999999999999996</v>
      </c>
      <c r="I36" s="7"/>
      <c r="J36" s="7">
        <v>0.32</v>
      </c>
      <c r="K36" s="6">
        <f t="shared" ref="K36:K48" si="13">E36*(1-J36)</f>
        <v>1087.32</v>
      </c>
      <c r="L36" s="7">
        <f t="shared" ref="L36:L43" si="14">1-(G36/K36)</f>
        <v>0.19117647058823517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10</v>
      </c>
      <c r="B37" s="4" t="s">
        <v>82</v>
      </c>
      <c r="C37" s="4" t="s">
        <v>83</v>
      </c>
      <c r="D37" s="5" t="s">
        <v>13</v>
      </c>
      <c r="E37" s="6">
        <v>1599</v>
      </c>
      <c r="F37" s="6"/>
      <c r="G37" s="6">
        <v>879.45</v>
      </c>
      <c r="H37" s="7">
        <f t="shared" si="12"/>
        <v>0.44999999999999996</v>
      </c>
      <c r="I37" s="7"/>
      <c r="J37" s="7">
        <v>0.32</v>
      </c>
      <c r="K37" s="6">
        <f t="shared" si="13"/>
        <v>1087.32</v>
      </c>
      <c r="L37" s="7">
        <f t="shared" si="14"/>
        <v>0.19117647058823517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135" customFormat="1" ht="12.75" customHeight="1" x14ac:dyDescent="0.3">
      <c r="A38" s="136" t="s">
        <v>10</v>
      </c>
      <c r="B38" s="136" t="s">
        <v>84</v>
      </c>
      <c r="C38" s="136" t="s">
        <v>85</v>
      </c>
      <c r="D38" s="137" t="s">
        <v>13</v>
      </c>
      <c r="E38" s="139">
        <v>519</v>
      </c>
      <c r="F38" s="139">
        <v>339.82</v>
      </c>
      <c r="G38" s="172">
        <v>269.88</v>
      </c>
      <c r="H38" s="140">
        <f t="shared" si="12"/>
        <v>0.48</v>
      </c>
      <c r="I38" s="140"/>
      <c r="J38" s="140">
        <v>0.35</v>
      </c>
      <c r="K38" s="139">
        <f t="shared" si="13"/>
        <v>337.35</v>
      </c>
      <c r="L38" s="140">
        <f t="shared" si="14"/>
        <v>0.20000000000000007</v>
      </c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ht="12.75" customHeight="1" x14ac:dyDescent="0.3">
      <c r="A39" s="4" t="s">
        <v>10</v>
      </c>
      <c r="B39" s="4" t="s">
        <v>86</v>
      </c>
      <c r="C39" s="4" t="s">
        <v>87</v>
      </c>
      <c r="D39" s="5" t="s">
        <v>13</v>
      </c>
      <c r="E39" s="6">
        <v>929</v>
      </c>
      <c r="F39" s="6"/>
      <c r="G39" s="6">
        <v>473.79</v>
      </c>
      <c r="H39" s="7">
        <f t="shared" si="12"/>
        <v>0.49</v>
      </c>
      <c r="I39" s="7"/>
      <c r="J39" s="7">
        <v>0.38</v>
      </c>
      <c r="K39" s="6">
        <f t="shared" si="13"/>
        <v>575.98</v>
      </c>
      <c r="L39" s="7">
        <f t="shared" si="14"/>
        <v>0.17741935483870963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135" customFormat="1" ht="12.75" customHeight="1" x14ac:dyDescent="0.3">
      <c r="A40" s="136" t="s">
        <v>10</v>
      </c>
      <c r="B40" s="136" t="s">
        <v>88</v>
      </c>
      <c r="C40" s="136" t="s">
        <v>89</v>
      </c>
      <c r="D40" s="137" t="s">
        <v>13</v>
      </c>
      <c r="E40" s="139">
        <v>619</v>
      </c>
      <c r="F40" s="139">
        <v>405.3</v>
      </c>
      <c r="G40" s="172">
        <v>321.88</v>
      </c>
      <c r="H40" s="140">
        <f t="shared" si="12"/>
        <v>0.48</v>
      </c>
      <c r="I40" s="140"/>
      <c r="J40" s="140">
        <v>0.35</v>
      </c>
      <c r="K40" s="139">
        <f t="shared" si="13"/>
        <v>402.35</v>
      </c>
      <c r="L40" s="140">
        <f t="shared" si="14"/>
        <v>0.20000000000000007</v>
      </c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s="135" customFormat="1" ht="12.75" customHeight="1" x14ac:dyDescent="0.3">
      <c r="A41" s="136" t="s">
        <v>10</v>
      </c>
      <c r="B41" s="136" t="s">
        <v>90</v>
      </c>
      <c r="C41" s="136" t="s">
        <v>91</v>
      </c>
      <c r="D41" s="137" t="s">
        <v>13</v>
      </c>
      <c r="E41" s="139">
        <v>729</v>
      </c>
      <c r="F41" s="139">
        <v>477.32</v>
      </c>
      <c r="G41" s="172">
        <v>379.08</v>
      </c>
      <c r="H41" s="140">
        <f t="shared" si="12"/>
        <v>0.48</v>
      </c>
      <c r="I41" s="140"/>
      <c r="J41" s="140">
        <v>0.35</v>
      </c>
      <c r="K41" s="139">
        <f t="shared" si="13"/>
        <v>473.85</v>
      </c>
      <c r="L41" s="140">
        <f t="shared" si="14"/>
        <v>0.20000000000000007</v>
      </c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ht="12.75" customHeight="1" x14ac:dyDescent="0.3">
      <c r="A42" s="4" t="s">
        <v>10</v>
      </c>
      <c r="B42" s="4" t="s">
        <v>92</v>
      </c>
      <c r="C42" s="4" t="s">
        <v>93</v>
      </c>
      <c r="D42" s="5" t="s">
        <v>13</v>
      </c>
      <c r="E42" s="6">
        <v>1859</v>
      </c>
      <c r="F42" s="12"/>
      <c r="G42" s="6">
        <v>838.17</v>
      </c>
      <c r="H42" s="7">
        <f t="shared" si="12"/>
        <v>0.54912856374394836</v>
      </c>
      <c r="I42" s="7"/>
      <c r="J42" s="7">
        <v>0.3</v>
      </c>
      <c r="K42" s="6">
        <f t="shared" si="13"/>
        <v>1301.3</v>
      </c>
      <c r="L42" s="7">
        <f t="shared" si="14"/>
        <v>0.35589794820564047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10</v>
      </c>
      <c r="B43" s="4" t="s">
        <v>94</v>
      </c>
      <c r="C43" s="4" t="s">
        <v>95</v>
      </c>
      <c r="D43" s="5" t="s">
        <v>13</v>
      </c>
      <c r="E43" s="6">
        <v>1339</v>
      </c>
      <c r="F43" s="6"/>
      <c r="G43" s="6">
        <v>500</v>
      </c>
      <c r="H43" s="7">
        <f t="shared" si="12"/>
        <v>0.62658700522778199</v>
      </c>
      <c r="I43" s="7"/>
      <c r="J43" s="7">
        <v>0.55000000000000004</v>
      </c>
      <c r="K43" s="6">
        <f t="shared" si="13"/>
        <v>602.54999999999995</v>
      </c>
      <c r="L43" s="7">
        <f t="shared" si="14"/>
        <v>0.17019334495062644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135" customFormat="1" ht="12.75" customHeight="1" x14ac:dyDescent="0.3">
      <c r="A44" s="136" t="s">
        <v>10</v>
      </c>
      <c r="B44" s="136" t="s">
        <v>96</v>
      </c>
      <c r="C44" s="136" t="s">
        <v>97</v>
      </c>
      <c r="D44" s="137" t="s">
        <v>13</v>
      </c>
      <c r="E44" s="139">
        <v>849</v>
      </c>
      <c r="F44" s="172">
        <v>423.73</v>
      </c>
      <c r="G44" s="139"/>
      <c r="H44" s="140">
        <f t="shared" ref="H44:H45" si="15">1-(F44/E44)</f>
        <v>0.50090694935217894</v>
      </c>
      <c r="I44" s="140"/>
      <c r="J44" s="140">
        <v>0.35</v>
      </c>
      <c r="K44" s="139">
        <f t="shared" si="13"/>
        <v>551.85</v>
      </c>
      <c r="L44" s="140">
        <f t="shared" ref="L44:L45" si="16">1-(F44/K44)</f>
        <v>0.23216453746489085</v>
      </c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s="135" customFormat="1" ht="12.75" customHeight="1" x14ac:dyDescent="0.3">
      <c r="A45" s="136" t="s">
        <v>10</v>
      </c>
      <c r="B45" s="136" t="s">
        <v>98</v>
      </c>
      <c r="C45" s="136" t="s">
        <v>99</v>
      </c>
      <c r="D45" s="137" t="s">
        <v>13</v>
      </c>
      <c r="E45" s="139">
        <v>309</v>
      </c>
      <c r="F45" s="172">
        <v>257.5</v>
      </c>
      <c r="G45" s="139"/>
      <c r="H45" s="140">
        <f t="shared" si="15"/>
        <v>0.16666666666666663</v>
      </c>
      <c r="I45" s="140"/>
      <c r="J45" s="140">
        <v>0</v>
      </c>
      <c r="K45" s="139">
        <f t="shared" si="13"/>
        <v>309</v>
      </c>
      <c r="L45" s="140">
        <f t="shared" si="16"/>
        <v>0.16666666666666663</v>
      </c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ht="12.75" customHeight="1" x14ac:dyDescent="0.3">
      <c r="A46" s="4" t="s">
        <v>10</v>
      </c>
      <c r="B46" s="4" t="s">
        <v>100</v>
      </c>
      <c r="C46" s="4" t="s">
        <v>101</v>
      </c>
      <c r="D46" s="5" t="s">
        <v>13</v>
      </c>
      <c r="E46" s="6">
        <v>849</v>
      </c>
      <c r="F46" s="6"/>
      <c r="G46" s="6">
        <v>546.75</v>
      </c>
      <c r="H46" s="7">
        <f t="shared" ref="H46:H48" si="17">1-(G46/E46)</f>
        <v>0.35600706713780916</v>
      </c>
      <c r="I46" s="7"/>
      <c r="J46" s="7">
        <v>0.22</v>
      </c>
      <c r="K46" s="6">
        <f t="shared" si="13"/>
        <v>662.22</v>
      </c>
      <c r="L46" s="7">
        <f t="shared" ref="L46:L48" si="18">1-(G46/K46)</f>
        <v>0.17436803479206309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10</v>
      </c>
      <c r="B47" s="4" t="s">
        <v>102</v>
      </c>
      <c r="C47" s="4" t="s">
        <v>103</v>
      </c>
      <c r="D47" s="5" t="s">
        <v>13</v>
      </c>
      <c r="E47" s="6">
        <v>599</v>
      </c>
      <c r="F47" s="6"/>
      <c r="G47" s="6">
        <v>305.49</v>
      </c>
      <c r="H47" s="7">
        <f t="shared" si="17"/>
        <v>0.49</v>
      </c>
      <c r="I47" s="7"/>
      <c r="J47" s="7">
        <v>0.38</v>
      </c>
      <c r="K47" s="6">
        <f t="shared" si="13"/>
        <v>371.38</v>
      </c>
      <c r="L47" s="7">
        <f t="shared" si="18"/>
        <v>0.17741935483870963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thickBot="1" x14ac:dyDescent="0.35">
      <c r="A48" s="8" t="s">
        <v>10</v>
      </c>
      <c r="B48" s="8" t="s">
        <v>104</v>
      </c>
      <c r="C48" s="8" t="s">
        <v>105</v>
      </c>
      <c r="D48" s="9" t="s">
        <v>13</v>
      </c>
      <c r="E48" s="10">
        <v>1339</v>
      </c>
      <c r="F48" s="10"/>
      <c r="G48" s="10">
        <v>682.89</v>
      </c>
      <c r="H48" s="11">
        <f t="shared" si="17"/>
        <v>0.49</v>
      </c>
      <c r="I48" s="11"/>
      <c r="J48" s="11">
        <v>0.38</v>
      </c>
      <c r="K48" s="10">
        <f t="shared" si="13"/>
        <v>830.18</v>
      </c>
      <c r="L48" s="11">
        <f t="shared" si="18"/>
        <v>0.17741935483870963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10</v>
      </c>
      <c r="B49" s="4" t="s">
        <v>106</v>
      </c>
      <c r="C49" s="4" t="s">
        <v>107</v>
      </c>
      <c r="D49" s="5" t="s">
        <v>13</v>
      </c>
      <c r="E49" s="6">
        <v>90</v>
      </c>
      <c r="F49" s="6"/>
      <c r="G49" s="6">
        <v>58.93</v>
      </c>
      <c r="H49" s="7">
        <f t="shared" ref="H49:H53" si="19">1-(G49/E49)</f>
        <v>0.34522222222222221</v>
      </c>
      <c r="I49" s="7"/>
      <c r="J49" s="7">
        <v>0.38</v>
      </c>
      <c r="K49" s="6">
        <f t="shared" ref="K49:K53" si="20">E49*(1-J49)</f>
        <v>55.8</v>
      </c>
      <c r="L49" s="7">
        <f t="shared" ref="L49:L53" si="21">1-(G49/K49)</f>
        <v>-5.6093189964157686E-2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10</v>
      </c>
      <c r="B50" s="4" t="s">
        <v>108</v>
      </c>
      <c r="C50" s="4" t="s">
        <v>109</v>
      </c>
      <c r="D50" s="5" t="s">
        <v>13</v>
      </c>
      <c r="E50" s="6">
        <v>110</v>
      </c>
      <c r="F50" s="6"/>
      <c r="G50" s="6">
        <v>56.1</v>
      </c>
      <c r="H50" s="7">
        <f t="shared" si="19"/>
        <v>0.49</v>
      </c>
      <c r="I50" s="7"/>
      <c r="J50" s="7">
        <v>0.38</v>
      </c>
      <c r="K50" s="6">
        <f t="shared" si="20"/>
        <v>68.2</v>
      </c>
      <c r="L50" s="7">
        <f t="shared" si="21"/>
        <v>0.17741935483870974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10</v>
      </c>
      <c r="B51" s="4" t="s">
        <v>110</v>
      </c>
      <c r="C51" s="4" t="s">
        <v>111</v>
      </c>
      <c r="D51" s="5" t="s">
        <v>13</v>
      </c>
      <c r="E51" s="6">
        <v>120</v>
      </c>
      <c r="F51" s="6"/>
      <c r="G51" s="6">
        <v>61.2</v>
      </c>
      <c r="H51" s="7">
        <f t="shared" si="19"/>
        <v>0.49</v>
      </c>
      <c r="I51" s="7"/>
      <c r="J51" s="7">
        <v>0.38</v>
      </c>
      <c r="K51" s="6">
        <f t="shared" si="20"/>
        <v>74.400000000000006</v>
      </c>
      <c r="L51" s="7">
        <f t="shared" si="21"/>
        <v>0.17741935483870974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10</v>
      </c>
      <c r="B52" s="4" t="s">
        <v>112</v>
      </c>
      <c r="C52" s="4" t="s">
        <v>113</v>
      </c>
      <c r="D52" s="5" t="s">
        <v>13</v>
      </c>
      <c r="E52" s="6">
        <v>389</v>
      </c>
      <c r="F52" s="6"/>
      <c r="G52" s="6">
        <v>198.39</v>
      </c>
      <c r="H52" s="7">
        <f t="shared" si="19"/>
        <v>0.49</v>
      </c>
      <c r="I52" s="7"/>
      <c r="J52" s="7">
        <v>0.38</v>
      </c>
      <c r="K52" s="6">
        <f t="shared" si="20"/>
        <v>241.18</v>
      </c>
      <c r="L52" s="7">
        <f t="shared" si="21"/>
        <v>0.17741935483870974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10</v>
      </c>
      <c r="B53" s="4" t="s">
        <v>114</v>
      </c>
      <c r="C53" s="4" t="s">
        <v>115</v>
      </c>
      <c r="D53" s="5" t="s">
        <v>13</v>
      </c>
      <c r="E53" s="6">
        <v>499</v>
      </c>
      <c r="F53" s="6"/>
      <c r="G53" s="6">
        <v>254.49</v>
      </c>
      <c r="H53" s="7">
        <f t="shared" si="19"/>
        <v>0.49</v>
      </c>
      <c r="I53" s="7"/>
      <c r="J53" s="7">
        <v>0.38</v>
      </c>
      <c r="K53" s="6">
        <f t="shared" si="20"/>
        <v>309.38</v>
      </c>
      <c r="L53" s="7">
        <f t="shared" si="21"/>
        <v>0.17741935483870963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10</v>
      </c>
      <c r="B54" s="4" t="s">
        <v>116</v>
      </c>
      <c r="C54" s="4" t="s">
        <v>117</v>
      </c>
      <c r="D54" s="5" t="s">
        <v>13</v>
      </c>
      <c r="E54" s="6">
        <v>15</v>
      </c>
      <c r="F54" s="6"/>
      <c r="G54" s="6">
        <v>12.83</v>
      </c>
      <c r="H54" s="7">
        <f t="shared" ref="H54:H76" si="22">1-(G54/E54)</f>
        <v>0.14466666666666661</v>
      </c>
      <c r="I54" s="7"/>
      <c r="J54" s="7">
        <v>0</v>
      </c>
      <c r="K54" s="6">
        <f t="shared" ref="K54:K76" si="23">E54*(1-J54)</f>
        <v>15</v>
      </c>
      <c r="L54" s="7">
        <f t="shared" ref="L54:L76" si="24">1-(G54/K54)</f>
        <v>0.14466666666666661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10</v>
      </c>
      <c r="B55" s="4" t="s">
        <v>118</v>
      </c>
      <c r="C55" s="4" t="s">
        <v>119</v>
      </c>
      <c r="D55" s="5" t="s">
        <v>13</v>
      </c>
      <c r="E55" s="6">
        <v>209</v>
      </c>
      <c r="F55" s="6"/>
      <c r="G55" s="6">
        <v>194.35</v>
      </c>
      <c r="H55" s="7">
        <f t="shared" si="22"/>
        <v>7.0095693779904322E-2</v>
      </c>
      <c r="I55" s="7"/>
      <c r="J55" s="7">
        <v>0</v>
      </c>
      <c r="K55" s="6">
        <f t="shared" si="23"/>
        <v>209</v>
      </c>
      <c r="L55" s="7">
        <f t="shared" si="24"/>
        <v>7.0095693779904322E-2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</v>
      </c>
      <c r="B56" s="4" t="s">
        <v>120</v>
      </c>
      <c r="C56" s="4" t="s">
        <v>121</v>
      </c>
      <c r="D56" s="5" t="s">
        <v>13</v>
      </c>
      <c r="E56" s="6">
        <v>199</v>
      </c>
      <c r="F56" s="6"/>
      <c r="G56" s="6">
        <v>185.15</v>
      </c>
      <c r="H56" s="7">
        <f t="shared" si="22"/>
        <v>6.9597989949748751E-2</v>
      </c>
      <c r="I56" s="7"/>
      <c r="J56" s="7">
        <v>0</v>
      </c>
      <c r="K56" s="6">
        <f t="shared" si="23"/>
        <v>199</v>
      </c>
      <c r="L56" s="7">
        <f t="shared" si="24"/>
        <v>6.9597989949748751E-2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</v>
      </c>
      <c r="B57" s="4" t="s">
        <v>122</v>
      </c>
      <c r="C57" s="4" t="s">
        <v>123</v>
      </c>
      <c r="D57" s="5" t="s">
        <v>13</v>
      </c>
      <c r="E57" s="6">
        <v>209</v>
      </c>
      <c r="F57" s="6"/>
      <c r="G57" s="6">
        <v>194.35</v>
      </c>
      <c r="H57" s="7">
        <f t="shared" si="22"/>
        <v>7.0095693779904322E-2</v>
      </c>
      <c r="I57" s="7"/>
      <c r="J57" s="7">
        <v>0</v>
      </c>
      <c r="K57" s="6">
        <f t="shared" si="23"/>
        <v>209</v>
      </c>
      <c r="L57" s="7">
        <f t="shared" si="24"/>
        <v>7.0095693779904322E-2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</v>
      </c>
      <c r="B58" s="4" t="s">
        <v>124</v>
      </c>
      <c r="C58" s="4" t="s">
        <v>125</v>
      </c>
      <c r="D58" s="5" t="s">
        <v>13</v>
      </c>
      <c r="E58" s="6">
        <v>90</v>
      </c>
      <c r="F58" s="6"/>
      <c r="G58" s="6">
        <v>77</v>
      </c>
      <c r="H58" s="7">
        <f t="shared" si="22"/>
        <v>0.14444444444444449</v>
      </c>
      <c r="I58" s="7"/>
      <c r="J58" s="7">
        <v>0</v>
      </c>
      <c r="K58" s="6">
        <f t="shared" si="23"/>
        <v>90</v>
      </c>
      <c r="L58" s="7">
        <f t="shared" si="24"/>
        <v>0.14444444444444449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</v>
      </c>
      <c r="B59" s="4" t="s">
        <v>126</v>
      </c>
      <c r="C59" s="4" t="s">
        <v>127</v>
      </c>
      <c r="D59" s="5" t="s">
        <v>13</v>
      </c>
      <c r="E59" s="6">
        <v>90</v>
      </c>
      <c r="F59" s="6"/>
      <c r="G59" s="6">
        <v>77</v>
      </c>
      <c r="H59" s="7">
        <f t="shared" si="22"/>
        <v>0.14444444444444449</v>
      </c>
      <c r="I59" s="7"/>
      <c r="J59" s="7">
        <v>0</v>
      </c>
      <c r="K59" s="6">
        <f t="shared" si="23"/>
        <v>90</v>
      </c>
      <c r="L59" s="7">
        <f t="shared" si="24"/>
        <v>0.14444444444444449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</v>
      </c>
      <c r="B60" s="4" t="s">
        <v>128</v>
      </c>
      <c r="C60" s="4" t="s">
        <v>129</v>
      </c>
      <c r="D60" s="5" t="s">
        <v>13</v>
      </c>
      <c r="E60" s="6">
        <v>40</v>
      </c>
      <c r="F60" s="6"/>
      <c r="G60" s="6">
        <v>35</v>
      </c>
      <c r="H60" s="7">
        <f t="shared" si="22"/>
        <v>0.125</v>
      </c>
      <c r="I60" s="7"/>
      <c r="J60" s="7">
        <v>0</v>
      </c>
      <c r="K60" s="6">
        <f t="shared" si="23"/>
        <v>40</v>
      </c>
      <c r="L60" s="7">
        <f t="shared" si="24"/>
        <v>0.125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</v>
      </c>
      <c r="B61" s="4" t="s">
        <v>130</v>
      </c>
      <c r="C61" s="4" t="s">
        <v>131</v>
      </c>
      <c r="D61" s="5" t="s">
        <v>13</v>
      </c>
      <c r="E61" s="6">
        <v>309</v>
      </c>
      <c r="F61" s="6"/>
      <c r="G61" s="6">
        <v>237.93</v>
      </c>
      <c r="H61" s="7">
        <f t="shared" si="22"/>
        <v>0.22999999999999998</v>
      </c>
      <c r="I61" s="7"/>
      <c r="J61" s="7">
        <v>0</v>
      </c>
      <c r="K61" s="6">
        <f t="shared" si="23"/>
        <v>309</v>
      </c>
      <c r="L61" s="7">
        <f t="shared" si="24"/>
        <v>0.22999999999999998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</v>
      </c>
      <c r="B62" s="4" t="s">
        <v>132</v>
      </c>
      <c r="C62" s="4" t="s">
        <v>133</v>
      </c>
      <c r="D62" s="5" t="s">
        <v>13</v>
      </c>
      <c r="E62" s="6">
        <v>109</v>
      </c>
      <c r="F62" s="6"/>
      <c r="G62" s="6">
        <v>83.93</v>
      </c>
      <c r="H62" s="7">
        <f t="shared" si="22"/>
        <v>0.22999999999999998</v>
      </c>
      <c r="I62" s="7"/>
      <c r="J62" s="7">
        <v>0</v>
      </c>
      <c r="K62" s="6">
        <f t="shared" si="23"/>
        <v>109</v>
      </c>
      <c r="L62" s="7">
        <f t="shared" si="24"/>
        <v>0.22999999999999998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</v>
      </c>
      <c r="B63" s="4" t="s">
        <v>134</v>
      </c>
      <c r="C63" s="4" t="s">
        <v>135</v>
      </c>
      <c r="D63" s="5" t="s">
        <v>13</v>
      </c>
      <c r="E63" s="6">
        <v>109</v>
      </c>
      <c r="F63" s="6"/>
      <c r="G63" s="6">
        <v>83.93</v>
      </c>
      <c r="H63" s="7">
        <f t="shared" si="22"/>
        <v>0.22999999999999998</v>
      </c>
      <c r="I63" s="7"/>
      <c r="J63" s="7">
        <v>0</v>
      </c>
      <c r="K63" s="6">
        <f t="shared" si="23"/>
        <v>109</v>
      </c>
      <c r="L63" s="7">
        <f t="shared" si="24"/>
        <v>0.22999999999999998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10</v>
      </c>
      <c r="B64" s="4" t="s">
        <v>136</v>
      </c>
      <c r="C64" s="4" t="s">
        <v>137</v>
      </c>
      <c r="D64" s="5" t="s">
        <v>13</v>
      </c>
      <c r="E64" s="6">
        <v>40</v>
      </c>
      <c r="F64" s="6"/>
      <c r="G64" s="6">
        <v>34.22</v>
      </c>
      <c r="H64" s="7">
        <f t="shared" si="22"/>
        <v>0.14450000000000007</v>
      </c>
      <c r="I64" s="7"/>
      <c r="J64" s="7">
        <v>0</v>
      </c>
      <c r="K64" s="6">
        <f t="shared" si="23"/>
        <v>40</v>
      </c>
      <c r="L64" s="7">
        <f t="shared" si="24"/>
        <v>0.14450000000000007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10</v>
      </c>
      <c r="B65" s="4" t="s">
        <v>138</v>
      </c>
      <c r="C65" s="4" t="s">
        <v>139</v>
      </c>
      <c r="D65" s="5" t="s">
        <v>13</v>
      </c>
      <c r="E65" s="6">
        <v>129</v>
      </c>
      <c r="F65" s="6"/>
      <c r="G65" s="6">
        <v>96.75</v>
      </c>
      <c r="H65" s="7">
        <f t="shared" si="22"/>
        <v>0.25</v>
      </c>
      <c r="I65" s="7"/>
      <c r="J65" s="7">
        <v>0.08</v>
      </c>
      <c r="K65" s="6">
        <f t="shared" si="23"/>
        <v>118.68</v>
      </c>
      <c r="L65" s="7">
        <f t="shared" si="24"/>
        <v>0.18478260869565222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10</v>
      </c>
      <c r="B66" s="4" t="s">
        <v>140</v>
      </c>
      <c r="C66" s="4" t="s">
        <v>141</v>
      </c>
      <c r="D66" s="5" t="s">
        <v>13</v>
      </c>
      <c r="E66" s="6">
        <v>30</v>
      </c>
      <c r="F66" s="6"/>
      <c r="G66" s="6">
        <v>18.75</v>
      </c>
      <c r="H66" s="7">
        <f t="shared" si="22"/>
        <v>0.375</v>
      </c>
      <c r="I66" s="7"/>
      <c r="J66" s="7">
        <v>0.25</v>
      </c>
      <c r="K66" s="6">
        <f t="shared" si="23"/>
        <v>22.5</v>
      </c>
      <c r="L66" s="7">
        <f t="shared" si="24"/>
        <v>0.16666666666666663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10</v>
      </c>
      <c r="B67" s="4" t="s">
        <v>142</v>
      </c>
      <c r="C67" s="4" t="s">
        <v>143</v>
      </c>
      <c r="D67" s="5" t="s">
        <v>13</v>
      </c>
      <c r="E67" s="6">
        <v>25</v>
      </c>
      <c r="F67" s="6"/>
      <c r="G67" s="6">
        <v>18.75</v>
      </c>
      <c r="H67" s="7">
        <f t="shared" si="22"/>
        <v>0.25</v>
      </c>
      <c r="I67" s="7"/>
      <c r="J67" s="7">
        <v>0.08</v>
      </c>
      <c r="K67" s="6">
        <f t="shared" si="23"/>
        <v>23</v>
      </c>
      <c r="L67" s="7">
        <f t="shared" si="24"/>
        <v>0.18478260869565222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10</v>
      </c>
      <c r="B68" s="4" t="s">
        <v>144</v>
      </c>
      <c r="C68" s="4" t="s">
        <v>145</v>
      </c>
      <c r="D68" s="5" t="s">
        <v>13</v>
      </c>
      <c r="E68" s="6">
        <v>20</v>
      </c>
      <c r="F68" s="6"/>
      <c r="G68" s="6">
        <v>18</v>
      </c>
      <c r="H68" s="7">
        <f t="shared" si="22"/>
        <v>9.9999999999999978E-2</v>
      </c>
      <c r="I68" s="7"/>
      <c r="J68" s="7">
        <v>0</v>
      </c>
      <c r="K68" s="6">
        <f t="shared" si="23"/>
        <v>20</v>
      </c>
      <c r="L68" s="7">
        <f t="shared" si="24"/>
        <v>9.9999999999999978E-2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10</v>
      </c>
      <c r="B69" s="4" t="s">
        <v>146</v>
      </c>
      <c r="C69" s="4" t="s">
        <v>147</v>
      </c>
      <c r="D69" s="5" t="s">
        <v>13</v>
      </c>
      <c r="E69" s="6">
        <v>20</v>
      </c>
      <c r="F69" s="6"/>
      <c r="G69" s="6">
        <v>17.78</v>
      </c>
      <c r="H69" s="7">
        <f t="shared" si="22"/>
        <v>0.11099999999999999</v>
      </c>
      <c r="I69" s="7"/>
      <c r="J69" s="7">
        <v>0</v>
      </c>
      <c r="K69" s="6">
        <f t="shared" si="23"/>
        <v>20</v>
      </c>
      <c r="L69" s="7">
        <f t="shared" si="24"/>
        <v>0.11099999999999999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10</v>
      </c>
      <c r="B70" s="4" t="s">
        <v>148</v>
      </c>
      <c r="C70" s="4" t="s">
        <v>149</v>
      </c>
      <c r="D70" s="5" t="s">
        <v>13</v>
      </c>
      <c r="E70" s="6">
        <v>20</v>
      </c>
      <c r="F70" s="6"/>
      <c r="G70" s="6">
        <v>17.78</v>
      </c>
      <c r="H70" s="7">
        <f t="shared" si="22"/>
        <v>0.11099999999999999</v>
      </c>
      <c r="I70" s="7"/>
      <c r="J70" s="7">
        <v>0</v>
      </c>
      <c r="K70" s="6">
        <f t="shared" si="23"/>
        <v>20</v>
      </c>
      <c r="L70" s="7">
        <f t="shared" si="24"/>
        <v>0.11099999999999999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10</v>
      </c>
      <c r="B71" s="4" t="s">
        <v>150</v>
      </c>
      <c r="C71" s="4" t="s">
        <v>151</v>
      </c>
      <c r="D71" s="5" t="s">
        <v>13</v>
      </c>
      <c r="E71" s="6">
        <v>18</v>
      </c>
      <c r="F71" s="6"/>
      <c r="G71" s="6">
        <v>13.86</v>
      </c>
      <c r="H71" s="7">
        <f t="shared" si="22"/>
        <v>0.22999999999999998</v>
      </c>
      <c r="I71" s="7"/>
      <c r="J71" s="7">
        <v>0.05</v>
      </c>
      <c r="K71" s="6">
        <f t="shared" si="23"/>
        <v>17.099999999999998</v>
      </c>
      <c r="L71" s="7">
        <f t="shared" si="24"/>
        <v>0.18947368421052624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10</v>
      </c>
      <c r="B72" s="4" t="s">
        <v>152</v>
      </c>
      <c r="C72" s="4" t="s">
        <v>153</v>
      </c>
      <c r="D72" s="5" t="s">
        <v>13</v>
      </c>
      <c r="E72" s="6">
        <v>139</v>
      </c>
      <c r="F72" s="6"/>
      <c r="G72" s="6">
        <v>107.03</v>
      </c>
      <c r="H72" s="7">
        <f t="shared" si="22"/>
        <v>0.22999999999999998</v>
      </c>
      <c r="I72" s="7"/>
      <c r="J72" s="7">
        <v>0.05</v>
      </c>
      <c r="K72" s="6">
        <f t="shared" si="23"/>
        <v>132.04999999999998</v>
      </c>
      <c r="L72" s="7">
        <f t="shared" si="24"/>
        <v>0.18947368421052624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10</v>
      </c>
      <c r="B73" s="4" t="s">
        <v>154</v>
      </c>
      <c r="C73" s="4" t="s">
        <v>155</v>
      </c>
      <c r="D73" s="5" t="s">
        <v>13</v>
      </c>
      <c r="E73" s="6">
        <v>2190</v>
      </c>
      <c r="F73" s="6"/>
      <c r="G73" s="6">
        <v>1498.73</v>
      </c>
      <c r="H73" s="7">
        <f t="shared" si="22"/>
        <v>0.31564840182648402</v>
      </c>
      <c r="I73" s="7"/>
      <c r="J73" s="7">
        <v>0.15</v>
      </c>
      <c r="K73" s="6">
        <f t="shared" si="23"/>
        <v>1861.5</v>
      </c>
      <c r="L73" s="7">
        <f t="shared" si="24"/>
        <v>0.19488047273704001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10</v>
      </c>
      <c r="B74" s="4" t="s">
        <v>156</v>
      </c>
      <c r="C74" s="4" t="s">
        <v>157</v>
      </c>
      <c r="D74" s="5" t="s">
        <v>13</v>
      </c>
      <c r="E74" s="6">
        <v>2190</v>
      </c>
      <c r="F74" s="6"/>
      <c r="G74" s="6">
        <v>1445.4</v>
      </c>
      <c r="H74" s="7">
        <f t="shared" si="22"/>
        <v>0.33999999999999997</v>
      </c>
      <c r="I74" s="7"/>
      <c r="J74" s="7">
        <v>0.2</v>
      </c>
      <c r="K74" s="6">
        <f t="shared" si="23"/>
        <v>1752</v>
      </c>
      <c r="L74" s="7">
        <f t="shared" si="24"/>
        <v>0.17499999999999993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10</v>
      </c>
      <c r="B75" s="4" t="s">
        <v>158</v>
      </c>
      <c r="C75" s="4" t="s">
        <v>159</v>
      </c>
      <c r="D75" s="5" t="s">
        <v>13</v>
      </c>
      <c r="E75" s="6">
        <v>309</v>
      </c>
      <c r="F75" s="6"/>
      <c r="G75" s="6">
        <v>237.93</v>
      </c>
      <c r="H75" s="7">
        <f t="shared" si="22"/>
        <v>0.22999999999999998</v>
      </c>
      <c r="I75" s="7"/>
      <c r="J75" s="7">
        <v>0.05</v>
      </c>
      <c r="K75" s="6">
        <f t="shared" si="23"/>
        <v>293.55</v>
      </c>
      <c r="L75" s="7">
        <f t="shared" si="24"/>
        <v>0.18947368421052635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10</v>
      </c>
      <c r="B76" s="4" t="s">
        <v>160</v>
      </c>
      <c r="C76" s="4" t="s">
        <v>161</v>
      </c>
      <c r="D76" s="5" t="s">
        <v>13</v>
      </c>
      <c r="E76" s="6">
        <v>309</v>
      </c>
      <c r="F76" s="6"/>
      <c r="G76" s="6">
        <v>237.93</v>
      </c>
      <c r="H76" s="7">
        <f t="shared" si="22"/>
        <v>0.22999999999999998</v>
      </c>
      <c r="I76" s="7"/>
      <c r="J76" s="7">
        <v>0.05</v>
      </c>
      <c r="K76" s="6">
        <f t="shared" si="23"/>
        <v>293.55</v>
      </c>
      <c r="L76" s="7">
        <f t="shared" si="24"/>
        <v>0.18947368421052635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5"/>
      <c r="E77" s="6"/>
      <c r="F77" s="6"/>
      <c r="G77" s="6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5"/>
      <c r="E78" s="6"/>
      <c r="F78" s="6"/>
      <c r="G78" s="6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5"/>
      <c r="E79" s="6"/>
      <c r="F79" s="6"/>
      <c r="G79" s="6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5"/>
      <c r="E80" s="6"/>
      <c r="F80" s="6"/>
      <c r="G80" s="6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5"/>
      <c r="E81" s="6"/>
      <c r="F81" s="6"/>
      <c r="G81" s="6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5"/>
      <c r="E82" s="6"/>
      <c r="F82" s="6"/>
      <c r="G82" s="6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5"/>
      <c r="E83" s="6"/>
      <c r="F83" s="6"/>
      <c r="G83" s="6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5"/>
      <c r="E84" s="6"/>
      <c r="F84" s="6"/>
      <c r="G84" s="6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5"/>
      <c r="E85" s="6"/>
      <c r="F85" s="6"/>
      <c r="G85" s="6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5"/>
      <c r="E86" s="6"/>
      <c r="F86" s="6"/>
      <c r="G86" s="6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5"/>
      <c r="E87" s="6"/>
      <c r="F87" s="6"/>
      <c r="G87" s="6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5"/>
      <c r="E88" s="6"/>
      <c r="F88" s="6"/>
      <c r="G88" s="6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5"/>
      <c r="E89" s="6"/>
      <c r="F89" s="6"/>
      <c r="G89" s="6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5"/>
      <c r="E90" s="6"/>
      <c r="F90" s="6"/>
      <c r="G90" s="6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5"/>
      <c r="E91" s="6"/>
      <c r="F91" s="6"/>
      <c r="G91" s="6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5"/>
      <c r="E92" s="6"/>
      <c r="F92" s="6"/>
      <c r="G92" s="6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5"/>
      <c r="E93" s="6"/>
      <c r="F93" s="6"/>
      <c r="G93" s="6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5"/>
      <c r="E94" s="6"/>
      <c r="F94" s="6"/>
      <c r="G94" s="6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5"/>
      <c r="E95" s="6"/>
      <c r="F95" s="6"/>
      <c r="G95" s="6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5"/>
      <c r="E96" s="6"/>
      <c r="F96" s="6"/>
      <c r="G96" s="6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5"/>
      <c r="E97" s="6"/>
      <c r="F97" s="6"/>
      <c r="G97" s="6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5"/>
      <c r="E98" s="6"/>
      <c r="F98" s="6"/>
      <c r="G98" s="6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5"/>
      <c r="E99" s="6"/>
      <c r="F99" s="6"/>
      <c r="G99" s="6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5"/>
      <c r="E100" s="6"/>
      <c r="F100" s="6"/>
      <c r="G100" s="6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5"/>
      <c r="E101" s="6"/>
      <c r="F101" s="6"/>
      <c r="G101" s="6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5"/>
      <c r="E102" s="6"/>
      <c r="F102" s="6"/>
      <c r="G102" s="6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5"/>
      <c r="E103" s="6"/>
      <c r="F103" s="6"/>
      <c r="G103" s="6"/>
      <c r="H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5"/>
      <c r="E104" s="6"/>
      <c r="F104" s="6"/>
      <c r="G104" s="6"/>
      <c r="H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5"/>
      <c r="E105" s="6"/>
      <c r="F105" s="6"/>
      <c r="G105" s="6"/>
      <c r="H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5"/>
      <c r="E106" s="6"/>
      <c r="F106" s="6"/>
      <c r="G106" s="6"/>
      <c r="H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5"/>
      <c r="E107" s="6"/>
      <c r="F107" s="6"/>
      <c r="G107" s="6"/>
      <c r="H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5"/>
      <c r="E108" s="6"/>
      <c r="F108" s="6"/>
      <c r="G108" s="6"/>
      <c r="H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5"/>
      <c r="E109" s="6"/>
      <c r="F109" s="6"/>
      <c r="G109" s="6"/>
      <c r="H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5"/>
      <c r="E110" s="6"/>
      <c r="F110" s="6"/>
      <c r="G110" s="6"/>
      <c r="H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5"/>
      <c r="E111" s="6"/>
      <c r="F111" s="6"/>
      <c r="G111" s="6"/>
      <c r="H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5"/>
      <c r="E112" s="6"/>
      <c r="F112" s="6"/>
      <c r="G112" s="6"/>
      <c r="H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5"/>
      <c r="E113" s="6"/>
      <c r="F113" s="6"/>
      <c r="G113" s="6"/>
      <c r="H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5"/>
      <c r="E114" s="6"/>
      <c r="F114" s="6"/>
      <c r="G114" s="6"/>
      <c r="H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5"/>
      <c r="E115" s="6"/>
      <c r="F115" s="6"/>
      <c r="G115" s="6"/>
      <c r="H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5"/>
      <c r="E116" s="6"/>
      <c r="F116" s="6"/>
      <c r="G116" s="6"/>
      <c r="H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5"/>
      <c r="E117" s="6"/>
      <c r="F117" s="6"/>
      <c r="G117" s="6"/>
      <c r="H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5"/>
      <c r="E118" s="6"/>
      <c r="F118" s="6"/>
      <c r="G118" s="6"/>
      <c r="H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5"/>
      <c r="E119" s="6"/>
      <c r="F119" s="6"/>
      <c r="G119" s="6"/>
      <c r="H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5"/>
      <c r="E120" s="6"/>
      <c r="F120" s="6"/>
      <c r="G120" s="6"/>
      <c r="H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5"/>
      <c r="E121" s="6"/>
      <c r="F121" s="6"/>
      <c r="G121" s="6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5"/>
      <c r="E122" s="6"/>
      <c r="F122" s="6"/>
      <c r="G122" s="6"/>
      <c r="H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5"/>
      <c r="E123" s="6"/>
      <c r="F123" s="6"/>
      <c r="G123" s="6"/>
      <c r="H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5"/>
      <c r="E124" s="6"/>
      <c r="F124" s="6"/>
      <c r="G124" s="6"/>
      <c r="H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5"/>
      <c r="E125" s="6"/>
      <c r="F125" s="6"/>
      <c r="G125" s="6"/>
      <c r="H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5"/>
      <c r="E126" s="6"/>
      <c r="F126" s="6"/>
      <c r="G126" s="6"/>
      <c r="H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5"/>
      <c r="E127" s="6"/>
      <c r="F127" s="6"/>
      <c r="G127" s="6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5"/>
      <c r="E128" s="6"/>
      <c r="F128" s="6"/>
      <c r="G128" s="6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5"/>
      <c r="E129" s="6"/>
      <c r="F129" s="6"/>
      <c r="G129" s="6"/>
      <c r="H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5"/>
      <c r="E130" s="6"/>
      <c r="F130" s="6"/>
      <c r="G130" s="6"/>
      <c r="H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5"/>
      <c r="E131" s="6"/>
      <c r="F131" s="6"/>
      <c r="G131" s="6"/>
      <c r="H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5"/>
      <c r="E132" s="6"/>
      <c r="F132" s="6"/>
      <c r="G132" s="6"/>
      <c r="H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5"/>
      <c r="E133" s="6"/>
      <c r="F133" s="6"/>
      <c r="G133" s="6"/>
      <c r="H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5"/>
      <c r="E134" s="6"/>
      <c r="F134" s="6"/>
      <c r="G134" s="6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5"/>
      <c r="E135" s="6"/>
      <c r="F135" s="6"/>
      <c r="G135" s="6"/>
      <c r="H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5"/>
      <c r="E136" s="6"/>
      <c r="F136" s="6"/>
      <c r="G136" s="6"/>
      <c r="H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5"/>
      <c r="E137" s="6"/>
      <c r="F137" s="6"/>
      <c r="G137" s="6"/>
      <c r="H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5"/>
      <c r="E138" s="6"/>
      <c r="F138" s="6"/>
      <c r="G138" s="6"/>
      <c r="H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5"/>
      <c r="E139" s="6"/>
      <c r="F139" s="6"/>
      <c r="G139" s="6"/>
      <c r="H139" s="1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5"/>
      <c r="E140" s="6"/>
      <c r="F140" s="6"/>
      <c r="G140" s="6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5"/>
      <c r="E141" s="6"/>
      <c r="F141" s="6"/>
      <c r="G141" s="6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5"/>
      <c r="E142" s="6"/>
      <c r="F142" s="6"/>
      <c r="G142" s="6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5"/>
      <c r="E143" s="6"/>
      <c r="F143" s="6"/>
      <c r="G143" s="6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5"/>
      <c r="E144" s="6"/>
      <c r="F144" s="6"/>
      <c r="G144" s="6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5"/>
      <c r="E145" s="6"/>
      <c r="F145" s="6"/>
      <c r="G145" s="6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5"/>
      <c r="E146" s="6"/>
      <c r="F146" s="6"/>
      <c r="G146" s="6"/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5"/>
      <c r="E147" s="6"/>
      <c r="F147" s="6"/>
      <c r="G147" s="6"/>
      <c r="H147" s="1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5"/>
      <c r="E148" s="6"/>
      <c r="F148" s="6"/>
      <c r="G148" s="6"/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5"/>
      <c r="E149" s="6"/>
      <c r="F149" s="6"/>
      <c r="G149" s="6"/>
      <c r="H149" s="1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5"/>
      <c r="E150" s="6"/>
      <c r="F150" s="6"/>
      <c r="G150" s="6"/>
      <c r="H150" s="1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5"/>
      <c r="E151" s="6"/>
      <c r="F151" s="6"/>
      <c r="G151" s="6"/>
      <c r="H151" s="1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5"/>
      <c r="E152" s="6"/>
      <c r="F152" s="6"/>
      <c r="G152" s="6"/>
      <c r="H152" s="1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5"/>
      <c r="E153" s="6"/>
      <c r="F153" s="6"/>
      <c r="G153" s="6"/>
      <c r="H153" s="1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5"/>
      <c r="E154" s="6"/>
      <c r="F154" s="6"/>
      <c r="G154" s="6"/>
      <c r="H154" s="1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5"/>
      <c r="E155" s="6"/>
      <c r="F155" s="6"/>
      <c r="G155" s="6"/>
      <c r="H155" s="1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5"/>
      <c r="E156" s="6"/>
      <c r="F156" s="6"/>
      <c r="G156" s="6"/>
      <c r="H156" s="1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5"/>
      <c r="E157" s="6"/>
      <c r="F157" s="6"/>
      <c r="G157" s="6"/>
      <c r="H157" s="1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5"/>
      <c r="E158" s="6"/>
      <c r="F158" s="6"/>
      <c r="G158" s="6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5"/>
      <c r="E159" s="6"/>
      <c r="F159" s="6"/>
      <c r="G159" s="6"/>
      <c r="H159" s="1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5"/>
      <c r="E160" s="6"/>
      <c r="F160" s="6"/>
      <c r="G160" s="6"/>
      <c r="H160" s="1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5"/>
      <c r="E161" s="6"/>
      <c r="F161" s="6"/>
      <c r="G161" s="6"/>
      <c r="H161" s="1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5"/>
      <c r="E162" s="6"/>
      <c r="F162" s="6"/>
      <c r="G162" s="6"/>
      <c r="H162" s="1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5"/>
      <c r="E163" s="6"/>
      <c r="F163" s="6"/>
      <c r="G163" s="6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5"/>
      <c r="E164" s="6"/>
      <c r="F164" s="6"/>
      <c r="G164" s="6"/>
      <c r="H164" s="1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5"/>
      <c r="E165" s="6"/>
      <c r="F165" s="6"/>
      <c r="G165" s="6"/>
      <c r="H165" s="1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5"/>
      <c r="E166" s="6"/>
      <c r="F166" s="6"/>
      <c r="G166" s="6"/>
      <c r="H166" s="1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5"/>
      <c r="E167" s="6"/>
      <c r="F167" s="6"/>
      <c r="G167" s="6"/>
      <c r="H167" s="1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5"/>
      <c r="E168" s="6"/>
      <c r="F168" s="6"/>
      <c r="G168" s="6"/>
      <c r="H168" s="1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5"/>
      <c r="E169" s="6"/>
      <c r="F169" s="6"/>
      <c r="G169" s="6"/>
      <c r="H169" s="1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5"/>
      <c r="E170" s="6"/>
      <c r="F170" s="6"/>
      <c r="G170" s="6"/>
      <c r="H170" s="1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5"/>
      <c r="E171" s="6"/>
      <c r="F171" s="6"/>
      <c r="G171" s="6"/>
      <c r="H171" s="1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5"/>
      <c r="E172" s="6"/>
      <c r="F172" s="6"/>
      <c r="G172" s="6"/>
      <c r="H172" s="1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5"/>
      <c r="E173" s="6"/>
      <c r="F173" s="6"/>
      <c r="G173" s="6"/>
      <c r="H173" s="1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5"/>
      <c r="E174" s="6"/>
      <c r="F174" s="6"/>
      <c r="G174" s="6"/>
      <c r="H174" s="1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5"/>
      <c r="E175" s="6"/>
      <c r="F175" s="6"/>
      <c r="G175" s="6"/>
      <c r="H175" s="1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5"/>
      <c r="E176" s="6"/>
      <c r="F176" s="6"/>
      <c r="G176" s="6"/>
      <c r="H176" s="1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5"/>
      <c r="E177" s="6"/>
      <c r="F177" s="6"/>
      <c r="G177" s="6"/>
      <c r="H177" s="1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5"/>
      <c r="E178" s="6"/>
      <c r="F178" s="6"/>
      <c r="G178" s="6"/>
      <c r="H178" s="1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5"/>
      <c r="E179" s="6"/>
      <c r="F179" s="6"/>
      <c r="G179" s="6"/>
      <c r="H179" s="1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5"/>
      <c r="E180" s="6"/>
      <c r="F180" s="6"/>
      <c r="G180" s="6"/>
      <c r="H180" s="1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5"/>
      <c r="E181" s="6"/>
      <c r="F181" s="6"/>
      <c r="G181" s="6"/>
      <c r="H181" s="1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5"/>
      <c r="E182" s="6"/>
      <c r="F182" s="6"/>
      <c r="G182" s="6"/>
      <c r="H182" s="1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5"/>
      <c r="E183" s="6"/>
      <c r="F183" s="6"/>
      <c r="G183" s="6"/>
      <c r="H183" s="1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5"/>
      <c r="E184" s="6"/>
      <c r="F184" s="6"/>
      <c r="G184" s="6"/>
      <c r="H184" s="1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5"/>
      <c r="E185" s="6"/>
      <c r="F185" s="6"/>
      <c r="G185" s="6"/>
      <c r="H185" s="1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5"/>
      <c r="E186" s="6"/>
      <c r="F186" s="6"/>
      <c r="G186" s="6"/>
      <c r="H186" s="1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5"/>
      <c r="E187" s="6"/>
      <c r="F187" s="6"/>
      <c r="G187" s="6"/>
      <c r="H187" s="1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5"/>
      <c r="E188" s="6"/>
      <c r="F188" s="6"/>
      <c r="G188" s="6"/>
      <c r="H188" s="1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5"/>
      <c r="E189" s="6"/>
      <c r="F189" s="6"/>
      <c r="G189" s="6"/>
      <c r="H189" s="1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5"/>
      <c r="E190" s="6"/>
      <c r="F190" s="6"/>
      <c r="G190" s="6"/>
      <c r="H190" s="1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5"/>
      <c r="E191" s="6"/>
      <c r="F191" s="6"/>
      <c r="G191" s="6"/>
      <c r="H191" s="1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5"/>
      <c r="E192" s="6"/>
      <c r="F192" s="6"/>
      <c r="G192" s="6"/>
      <c r="H192" s="1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5"/>
      <c r="E193" s="6"/>
      <c r="F193" s="6"/>
      <c r="G193" s="6"/>
      <c r="H193" s="1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5"/>
      <c r="E194" s="6"/>
      <c r="F194" s="6"/>
      <c r="G194" s="6"/>
      <c r="H194" s="1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5"/>
      <c r="E195" s="6"/>
      <c r="F195" s="6"/>
      <c r="G195" s="6"/>
      <c r="H195" s="1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5"/>
      <c r="E196" s="6"/>
      <c r="F196" s="6"/>
      <c r="G196" s="6"/>
      <c r="H196" s="1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5"/>
      <c r="E197" s="6"/>
      <c r="F197" s="6"/>
      <c r="G197" s="6"/>
      <c r="H197" s="1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5"/>
      <c r="E198" s="6"/>
      <c r="F198" s="6"/>
      <c r="G198" s="6"/>
      <c r="H198" s="1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5"/>
      <c r="E199" s="6"/>
      <c r="F199" s="6"/>
      <c r="G199" s="6"/>
      <c r="H199" s="1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5"/>
      <c r="E200" s="6"/>
      <c r="F200" s="6"/>
      <c r="G200" s="6"/>
      <c r="H200" s="1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5"/>
      <c r="E201" s="6"/>
      <c r="F201" s="6"/>
      <c r="G201" s="6"/>
      <c r="H201" s="1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5"/>
      <c r="E202" s="6"/>
      <c r="F202" s="6"/>
      <c r="G202" s="6"/>
      <c r="H202" s="1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5"/>
      <c r="E203" s="6"/>
      <c r="F203" s="6"/>
      <c r="G203" s="6"/>
      <c r="H203" s="1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5"/>
      <c r="E204" s="6"/>
      <c r="F204" s="6"/>
      <c r="G204" s="6"/>
      <c r="H204" s="1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5"/>
      <c r="E205" s="6"/>
      <c r="F205" s="6"/>
      <c r="G205" s="6"/>
      <c r="H205" s="1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5"/>
      <c r="E206" s="6"/>
      <c r="F206" s="6"/>
      <c r="G206" s="6"/>
      <c r="H206" s="1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5"/>
      <c r="E207" s="6"/>
      <c r="F207" s="6"/>
      <c r="G207" s="6"/>
      <c r="H207" s="1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5"/>
      <c r="E208" s="6"/>
      <c r="F208" s="6"/>
      <c r="G208" s="6"/>
      <c r="H208" s="1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5"/>
      <c r="E209" s="6"/>
      <c r="F209" s="6"/>
      <c r="G209" s="6"/>
      <c r="H209" s="1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5"/>
      <c r="E210" s="6"/>
      <c r="F210" s="6"/>
      <c r="G210" s="6"/>
      <c r="H210" s="1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5"/>
      <c r="E211" s="6"/>
      <c r="F211" s="6"/>
      <c r="G211" s="6"/>
      <c r="H211" s="1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5"/>
      <c r="E212" s="6"/>
      <c r="F212" s="6"/>
      <c r="G212" s="6"/>
      <c r="H212" s="1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5"/>
      <c r="E213" s="6"/>
      <c r="F213" s="6"/>
      <c r="G213" s="6"/>
      <c r="H213" s="1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5"/>
      <c r="E214" s="6"/>
      <c r="F214" s="6"/>
      <c r="G214" s="6"/>
      <c r="H214" s="1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5"/>
      <c r="E215" s="6"/>
      <c r="F215" s="6"/>
      <c r="G215" s="6"/>
      <c r="H215" s="1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5"/>
      <c r="E216" s="6"/>
      <c r="F216" s="6"/>
      <c r="G216" s="6"/>
      <c r="H216" s="1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5"/>
      <c r="E217" s="6"/>
      <c r="F217" s="6"/>
      <c r="G217" s="6"/>
      <c r="H217" s="1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5"/>
      <c r="E218" s="6"/>
      <c r="F218" s="6"/>
      <c r="G218" s="6"/>
      <c r="H218" s="1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5"/>
      <c r="E219" s="6"/>
      <c r="F219" s="6"/>
      <c r="G219" s="6"/>
      <c r="H219" s="1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5"/>
      <c r="E220" s="6"/>
      <c r="F220" s="6"/>
      <c r="G220" s="6"/>
      <c r="H220" s="1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5"/>
      <c r="E221" s="6"/>
      <c r="F221" s="6"/>
      <c r="G221" s="6"/>
      <c r="H221" s="1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5"/>
      <c r="E222" s="6"/>
      <c r="F222" s="6"/>
      <c r="G222" s="6"/>
      <c r="H222" s="1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5"/>
      <c r="E223" s="6"/>
      <c r="F223" s="6"/>
      <c r="G223" s="6"/>
      <c r="H223" s="1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5"/>
      <c r="E224" s="6"/>
      <c r="F224" s="6"/>
      <c r="G224" s="6"/>
      <c r="H224" s="1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5"/>
      <c r="E225" s="6"/>
      <c r="F225" s="6"/>
      <c r="G225" s="6"/>
      <c r="H225" s="1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5"/>
      <c r="E226" s="6"/>
      <c r="F226" s="6"/>
      <c r="G226" s="6"/>
      <c r="H226" s="1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5"/>
      <c r="E227" s="6"/>
      <c r="F227" s="6"/>
      <c r="G227" s="6"/>
      <c r="H227" s="1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5"/>
      <c r="E228" s="6"/>
      <c r="F228" s="6"/>
      <c r="G228" s="6"/>
      <c r="H228" s="1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5"/>
      <c r="E229" s="6"/>
      <c r="F229" s="6"/>
      <c r="G229" s="6"/>
      <c r="H229" s="1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5"/>
      <c r="E230" s="6"/>
      <c r="F230" s="6"/>
      <c r="G230" s="6"/>
      <c r="H230" s="1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5"/>
      <c r="E231" s="6"/>
      <c r="F231" s="6"/>
      <c r="G231" s="6"/>
      <c r="H231" s="1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5"/>
      <c r="E232" s="6"/>
      <c r="F232" s="6"/>
      <c r="G232" s="6"/>
      <c r="H232" s="1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5"/>
      <c r="E233" s="6"/>
      <c r="F233" s="6"/>
      <c r="G233" s="6"/>
      <c r="H233" s="1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5"/>
      <c r="E234" s="6"/>
      <c r="F234" s="6"/>
      <c r="G234" s="6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5"/>
      <c r="E235" s="6"/>
      <c r="F235" s="6"/>
      <c r="G235" s="6"/>
      <c r="H235" s="1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5"/>
      <c r="E236" s="6"/>
      <c r="F236" s="6"/>
      <c r="G236" s="6"/>
      <c r="H236" s="1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5"/>
      <c r="E237" s="6"/>
      <c r="F237" s="6"/>
      <c r="G237" s="6"/>
      <c r="H237" s="1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5"/>
      <c r="E238" s="6"/>
      <c r="F238" s="6"/>
      <c r="G238" s="6"/>
      <c r="H238" s="1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5"/>
      <c r="E239" s="6"/>
      <c r="F239" s="6"/>
      <c r="G239" s="6"/>
      <c r="H239" s="1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5"/>
      <c r="E240" s="6"/>
      <c r="F240" s="6"/>
      <c r="G240" s="6"/>
      <c r="H240" s="1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5"/>
      <c r="E241" s="6"/>
      <c r="F241" s="6"/>
      <c r="G241" s="6"/>
      <c r="H241" s="1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5"/>
      <c r="E242" s="6"/>
      <c r="F242" s="6"/>
      <c r="G242" s="6"/>
      <c r="H242" s="1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5"/>
      <c r="E243" s="6"/>
      <c r="F243" s="6"/>
      <c r="G243" s="6"/>
      <c r="H243" s="1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5"/>
      <c r="E244" s="6"/>
      <c r="F244" s="6"/>
      <c r="G244" s="6"/>
      <c r="H244" s="1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5"/>
      <c r="E245" s="6"/>
      <c r="F245" s="6"/>
      <c r="G245" s="6"/>
      <c r="H245" s="1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5"/>
      <c r="E246" s="6"/>
      <c r="F246" s="6"/>
      <c r="G246" s="6"/>
      <c r="H246" s="1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5"/>
      <c r="E247" s="6"/>
      <c r="F247" s="6"/>
      <c r="G247" s="6"/>
      <c r="H247" s="1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5"/>
      <c r="E248" s="6"/>
      <c r="F248" s="6"/>
      <c r="G248" s="6"/>
      <c r="H248" s="1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5"/>
      <c r="E249" s="6"/>
      <c r="F249" s="6"/>
      <c r="G249" s="6"/>
      <c r="H249" s="1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5"/>
      <c r="E250" s="6"/>
      <c r="F250" s="6"/>
      <c r="G250" s="6"/>
      <c r="H250" s="1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5"/>
      <c r="E251" s="6"/>
      <c r="F251" s="6"/>
      <c r="G251" s="6"/>
      <c r="H251" s="1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5"/>
      <c r="E252" s="6"/>
      <c r="F252" s="6"/>
      <c r="G252" s="6"/>
      <c r="H252" s="1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5"/>
      <c r="E253" s="6"/>
      <c r="F253" s="6"/>
      <c r="G253" s="6"/>
      <c r="H253" s="1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5"/>
      <c r="E254" s="6"/>
      <c r="F254" s="6"/>
      <c r="G254" s="6"/>
      <c r="H254" s="1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5"/>
      <c r="E255" s="6"/>
      <c r="F255" s="6"/>
      <c r="G255" s="6"/>
      <c r="H255" s="1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5"/>
      <c r="E256" s="6"/>
      <c r="F256" s="6"/>
      <c r="G256" s="6"/>
      <c r="H256" s="1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5"/>
      <c r="E257" s="6"/>
      <c r="F257" s="6"/>
      <c r="G257" s="6"/>
      <c r="H257" s="1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5"/>
      <c r="E258" s="6"/>
      <c r="F258" s="6"/>
      <c r="G258" s="6"/>
      <c r="H258" s="1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5"/>
      <c r="E259" s="6"/>
      <c r="F259" s="6"/>
      <c r="G259" s="6"/>
      <c r="H259" s="1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5"/>
      <c r="E260" s="6"/>
      <c r="F260" s="6"/>
      <c r="G260" s="6"/>
      <c r="H260" s="1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5"/>
      <c r="E261" s="6"/>
      <c r="F261" s="6"/>
      <c r="G261" s="6"/>
      <c r="H261" s="1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5"/>
      <c r="E262" s="6"/>
      <c r="F262" s="6"/>
      <c r="G262" s="6"/>
      <c r="H262" s="1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5"/>
      <c r="E263" s="6"/>
      <c r="F263" s="6"/>
      <c r="G263" s="6"/>
      <c r="H263" s="1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5"/>
      <c r="E264" s="6"/>
      <c r="F264" s="6"/>
      <c r="G264" s="6"/>
      <c r="H264" s="1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5"/>
      <c r="E265" s="6"/>
      <c r="F265" s="6"/>
      <c r="G265" s="6"/>
      <c r="H265" s="1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5"/>
      <c r="E266" s="6"/>
      <c r="F266" s="6"/>
      <c r="G266" s="6"/>
      <c r="H266" s="1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5"/>
      <c r="E267" s="6"/>
      <c r="F267" s="6"/>
      <c r="G267" s="6"/>
      <c r="H267" s="1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5"/>
      <c r="E268" s="6"/>
      <c r="F268" s="6"/>
      <c r="G268" s="6"/>
      <c r="H268" s="1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5"/>
      <c r="E269" s="6"/>
      <c r="F269" s="6"/>
      <c r="G269" s="6"/>
      <c r="H269" s="1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5"/>
      <c r="E270" s="6"/>
      <c r="F270" s="6"/>
      <c r="G270" s="6"/>
      <c r="H270" s="1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5"/>
      <c r="E271" s="6"/>
      <c r="F271" s="6"/>
      <c r="G271" s="6"/>
      <c r="H271" s="1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5"/>
      <c r="E272" s="6"/>
      <c r="F272" s="6"/>
      <c r="G272" s="6"/>
      <c r="H272" s="1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5"/>
      <c r="E273" s="6"/>
      <c r="F273" s="6"/>
      <c r="G273" s="6"/>
      <c r="H273" s="1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5"/>
      <c r="E274" s="6"/>
      <c r="F274" s="6"/>
      <c r="G274" s="6"/>
      <c r="H274" s="1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5"/>
      <c r="E275" s="6"/>
      <c r="F275" s="6"/>
      <c r="G275" s="6"/>
      <c r="H275" s="1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5"/>
      <c r="E276" s="6"/>
      <c r="F276" s="6"/>
      <c r="G276" s="6"/>
      <c r="H276" s="1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5"/>
      <c r="E277" s="6"/>
      <c r="F277" s="6"/>
      <c r="G277" s="6"/>
      <c r="H277" s="1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5"/>
      <c r="E278" s="6"/>
      <c r="F278" s="6"/>
      <c r="G278" s="6"/>
      <c r="H278" s="1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5"/>
      <c r="E279" s="6"/>
      <c r="F279" s="6"/>
      <c r="G279" s="6"/>
      <c r="H279" s="1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5"/>
      <c r="E280" s="6"/>
      <c r="F280" s="6"/>
      <c r="G280" s="6"/>
      <c r="H280" s="1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5"/>
      <c r="E281" s="6"/>
      <c r="F281" s="6"/>
      <c r="G281" s="6"/>
      <c r="H281" s="1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5"/>
      <c r="E282" s="6"/>
      <c r="F282" s="6"/>
      <c r="G282" s="6"/>
      <c r="H282" s="1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5"/>
      <c r="E283" s="6"/>
      <c r="F283" s="6"/>
      <c r="G283" s="6"/>
      <c r="H283" s="1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5"/>
      <c r="E284" s="6"/>
      <c r="F284" s="6"/>
      <c r="G284" s="6"/>
      <c r="H284" s="1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5"/>
      <c r="E285" s="6"/>
      <c r="F285" s="6"/>
      <c r="G285" s="6"/>
      <c r="H285" s="1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5"/>
      <c r="E286" s="6"/>
      <c r="F286" s="6"/>
      <c r="G286" s="6"/>
      <c r="H286" s="1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5"/>
      <c r="E287" s="6"/>
      <c r="F287" s="6"/>
      <c r="G287" s="6"/>
      <c r="H287" s="1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5"/>
      <c r="E288" s="6"/>
      <c r="F288" s="6"/>
      <c r="G288" s="6"/>
      <c r="H288" s="1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5"/>
      <c r="E289" s="6"/>
      <c r="F289" s="6"/>
      <c r="G289" s="6"/>
      <c r="H289" s="1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5"/>
      <c r="E290" s="6"/>
      <c r="F290" s="6"/>
      <c r="G290" s="6"/>
      <c r="H290" s="1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5"/>
      <c r="E291" s="6"/>
      <c r="F291" s="6"/>
      <c r="G291" s="6"/>
      <c r="H291" s="1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5"/>
      <c r="E292" s="6"/>
      <c r="F292" s="6"/>
      <c r="G292" s="6"/>
      <c r="H292" s="1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5"/>
      <c r="E293" s="6"/>
      <c r="F293" s="6"/>
      <c r="G293" s="6"/>
      <c r="H293" s="1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5"/>
      <c r="E294" s="6"/>
      <c r="F294" s="6"/>
      <c r="G294" s="6"/>
      <c r="H294" s="1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5"/>
      <c r="E295" s="6"/>
      <c r="F295" s="6"/>
      <c r="G295" s="6"/>
      <c r="H295" s="1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5"/>
      <c r="E296" s="6"/>
      <c r="F296" s="6"/>
      <c r="G296" s="6"/>
      <c r="H296" s="1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5"/>
      <c r="E297" s="6"/>
      <c r="F297" s="6"/>
      <c r="G297" s="6"/>
      <c r="H297" s="1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5"/>
      <c r="E298" s="6"/>
      <c r="F298" s="6"/>
      <c r="G298" s="6"/>
      <c r="H298" s="1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5"/>
      <c r="E299" s="6"/>
      <c r="F299" s="6"/>
      <c r="G299" s="6"/>
      <c r="H299" s="1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5"/>
      <c r="E300" s="6"/>
      <c r="F300" s="6"/>
      <c r="G300" s="6"/>
      <c r="H300" s="1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5"/>
      <c r="E301" s="6"/>
      <c r="F301" s="6"/>
      <c r="G301" s="6"/>
      <c r="H301" s="1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5"/>
      <c r="E302" s="6"/>
      <c r="F302" s="6"/>
      <c r="G302" s="6"/>
      <c r="H302" s="1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5"/>
      <c r="E303" s="6"/>
      <c r="F303" s="6"/>
      <c r="G303" s="6"/>
      <c r="H303" s="1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5"/>
      <c r="E304" s="6"/>
      <c r="F304" s="6"/>
      <c r="G304" s="6"/>
      <c r="H304" s="1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5"/>
      <c r="E305" s="6"/>
      <c r="F305" s="6"/>
      <c r="G305" s="6"/>
      <c r="H305" s="1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5"/>
      <c r="E306" s="6"/>
      <c r="F306" s="6"/>
      <c r="G306" s="6"/>
      <c r="H306" s="1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5"/>
      <c r="E307" s="6"/>
      <c r="F307" s="6"/>
      <c r="G307" s="6"/>
      <c r="H307" s="1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5"/>
      <c r="E308" s="6"/>
      <c r="F308" s="6"/>
      <c r="G308" s="6"/>
      <c r="H308" s="1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5"/>
      <c r="E309" s="6"/>
      <c r="F309" s="6"/>
      <c r="G309" s="6"/>
      <c r="H309" s="1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5"/>
      <c r="E310" s="6"/>
      <c r="F310" s="6"/>
      <c r="G310" s="6"/>
      <c r="H310" s="1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5"/>
      <c r="E311" s="6"/>
      <c r="F311" s="6"/>
      <c r="G311" s="6"/>
      <c r="H311" s="1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5"/>
      <c r="E312" s="6"/>
      <c r="F312" s="6"/>
      <c r="G312" s="6"/>
      <c r="H312" s="1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5"/>
      <c r="E313" s="6"/>
      <c r="F313" s="6"/>
      <c r="G313" s="6"/>
      <c r="H313" s="1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5"/>
      <c r="E314" s="6"/>
      <c r="F314" s="6"/>
      <c r="G314" s="6"/>
      <c r="H314" s="1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5"/>
      <c r="E315" s="6"/>
      <c r="F315" s="6"/>
      <c r="G315" s="6"/>
      <c r="H315" s="1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5"/>
      <c r="E316" s="6"/>
      <c r="F316" s="6"/>
      <c r="G316" s="6"/>
      <c r="H316" s="1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5"/>
      <c r="E317" s="6"/>
      <c r="F317" s="6"/>
      <c r="G317" s="6"/>
      <c r="H317" s="1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5"/>
      <c r="E318" s="6"/>
      <c r="F318" s="6"/>
      <c r="G318" s="6"/>
      <c r="H318" s="1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5"/>
      <c r="E319" s="6"/>
      <c r="F319" s="6"/>
      <c r="G319" s="6"/>
      <c r="H319" s="1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5"/>
      <c r="E320" s="6"/>
      <c r="F320" s="6"/>
      <c r="G320" s="6"/>
      <c r="H320" s="1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5"/>
      <c r="E321" s="6"/>
      <c r="F321" s="6"/>
      <c r="G321" s="6"/>
      <c r="H321" s="1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5"/>
      <c r="E322" s="6"/>
      <c r="F322" s="6"/>
      <c r="G322" s="6"/>
      <c r="H322" s="1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5"/>
      <c r="E323" s="6"/>
      <c r="F323" s="6"/>
      <c r="G323" s="6"/>
      <c r="H323" s="1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5"/>
      <c r="E324" s="6"/>
      <c r="F324" s="6"/>
      <c r="G324" s="6"/>
      <c r="H324" s="1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5"/>
      <c r="E325" s="6"/>
      <c r="F325" s="6"/>
      <c r="G325" s="6"/>
      <c r="H325" s="1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5"/>
      <c r="E326" s="6"/>
      <c r="F326" s="6"/>
      <c r="G326" s="6"/>
      <c r="H326" s="1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5"/>
      <c r="E327" s="6"/>
      <c r="F327" s="6"/>
      <c r="G327" s="6"/>
      <c r="H327" s="1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5"/>
      <c r="E328" s="6"/>
      <c r="F328" s="6"/>
      <c r="G328" s="6"/>
      <c r="H328" s="1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5"/>
      <c r="E329" s="6"/>
      <c r="F329" s="6"/>
      <c r="G329" s="6"/>
      <c r="H329" s="1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5"/>
      <c r="E330" s="6"/>
      <c r="F330" s="6"/>
      <c r="G330" s="6"/>
      <c r="H330" s="1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5"/>
      <c r="E331" s="6"/>
      <c r="F331" s="6"/>
      <c r="G331" s="6"/>
      <c r="H331" s="1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5"/>
      <c r="E332" s="6"/>
      <c r="F332" s="6"/>
      <c r="G332" s="6"/>
      <c r="H332" s="1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5"/>
      <c r="E333" s="6"/>
      <c r="F333" s="6"/>
      <c r="G333" s="6"/>
      <c r="H333" s="1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5"/>
      <c r="E334" s="6"/>
      <c r="F334" s="6"/>
      <c r="G334" s="6"/>
      <c r="H334" s="1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5"/>
      <c r="E335" s="6"/>
      <c r="F335" s="6"/>
      <c r="G335" s="6"/>
      <c r="H335" s="1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5"/>
      <c r="E336" s="6"/>
      <c r="F336" s="6"/>
      <c r="G336" s="6"/>
      <c r="H336" s="1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5"/>
      <c r="E337" s="6"/>
      <c r="F337" s="6"/>
      <c r="G337" s="6"/>
      <c r="H337" s="1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5"/>
      <c r="E338" s="6"/>
      <c r="F338" s="6"/>
      <c r="G338" s="6"/>
      <c r="H338" s="1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5"/>
      <c r="E339" s="6"/>
      <c r="F339" s="6"/>
      <c r="G339" s="6"/>
      <c r="H339" s="1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5"/>
      <c r="E340" s="6"/>
      <c r="F340" s="6"/>
      <c r="G340" s="6"/>
      <c r="H340" s="1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5"/>
      <c r="E341" s="6"/>
      <c r="F341" s="6"/>
      <c r="G341" s="6"/>
      <c r="H341" s="1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5"/>
      <c r="E342" s="6"/>
      <c r="F342" s="6"/>
      <c r="G342" s="6"/>
      <c r="H342" s="1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5"/>
      <c r="E343" s="6"/>
      <c r="F343" s="6"/>
      <c r="G343" s="6"/>
      <c r="H343" s="1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5"/>
      <c r="E344" s="6"/>
      <c r="F344" s="6"/>
      <c r="G344" s="6"/>
      <c r="H344" s="1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5"/>
      <c r="E345" s="6"/>
      <c r="F345" s="6"/>
      <c r="G345" s="6"/>
      <c r="H345" s="1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5"/>
      <c r="E346" s="6"/>
      <c r="F346" s="6"/>
      <c r="G346" s="6"/>
      <c r="H346" s="1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5"/>
      <c r="E347" s="6"/>
      <c r="F347" s="6"/>
      <c r="G347" s="6"/>
      <c r="H347" s="1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5"/>
      <c r="E348" s="6"/>
      <c r="F348" s="6"/>
      <c r="G348" s="6"/>
      <c r="H348" s="1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5"/>
      <c r="E349" s="6"/>
      <c r="F349" s="6"/>
      <c r="G349" s="6"/>
      <c r="H349" s="1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5"/>
      <c r="E350" s="6"/>
      <c r="F350" s="6"/>
      <c r="G350" s="6"/>
      <c r="H350" s="1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5"/>
      <c r="E351" s="6"/>
      <c r="F351" s="6"/>
      <c r="G351" s="6"/>
      <c r="H351" s="1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5"/>
      <c r="E352" s="6"/>
      <c r="F352" s="6"/>
      <c r="G352" s="6"/>
      <c r="H352" s="1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5"/>
      <c r="E353" s="6"/>
      <c r="F353" s="6"/>
      <c r="G353" s="6"/>
      <c r="H353" s="1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5"/>
      <c r="E354" s="6"/>
      <c r="F354" s="6"/>
      <c r="G354" s="6"/>
      <c r="H354" s="1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5"/>
      <c r="E355" s="6"/>
      <c r="F355" s="6"/>
      <c r="G355" s="6"/>
      <c r="H355" s="1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5"/>
      <c r="E356" s="6"/>
      <c r="F356" s="6"/>
      <c r="G356" s="6"/>
      <c r="H356" s="1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5"/>
      <c r="E357" s="6"/>
      <c r="F357" s="6"/>
      <c r="G357" s="6"/>
      <c r="H357" s="1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5"/>
      <c r="E358" s="6"/>
      <c r="F358" s="6"/>
      <c r="G358" s="6"/>
      <c r="H358" s="1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5"/>
      <c r="E359" s="6"/>
      <c r="F359" s="6"/>
      <c r="G359" s="6"/>
      <c r="H359" s="1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5"/>
      <c r="E360" s="6"/>
      <c r="F360" s="6"/>
      <c r="G360" s="6"/>
      <c r="H360" s="1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5"/>
      <c r="E361" s="6"/>
      <c r="F361" s="6"/>
      <c r="G361" s="6"/>
      <c r="H361" s="1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5"/>
      <c r="E362" s="6"/>
      <c r="F362" s="6"/>
      <c r="G362" s="6"/>
      <c r="H362" s="1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5"/>
      <c r="E363" s="6"/>
      <c r="F363" s="6"/>
      <c r="G363" s="6"/>
      <c r="H363" s="1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5"/>
      <c r="E364" s="6"/>
      <c r="F364" s="6"/>
      <c r="G364" s="6"/>
      <c r="H364" s="1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5"/>
      <c r="E365" s="6"/>
      <c r="F365" s="6"/>
      <c r="G365" s="6"/>
      <c r="H365" s="1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5"/>
      <c r="E366" s="6"/>
      <c r="F366" s="6"/>
      <c r="G366" s="6"/>
      <c r="H366" s="1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5"/>
      <c r="E367" s="6"/>
      <c r="F367" s="6"/>
      <c r="G367" s="6"/>
      <c r="H367" s="1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5"/>
      <c r="E368" s="6"/>
      <c r="F368" s="6"/>
      <c r="G368" s="6"/>
      <c r="H368" s="1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5"/>
      <c r="E369" s="6"/>
      <c r="F369" s="6"/>
      <c r="G369" s="6"/>
      <c r="H369" s="1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5"/>
      <c r="E370" s="6"/>
      <c r="F370" s="6"/>
      <c r="G370" s="6"/>
      <c r="H370" s="1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5"/>
      <c r="E371" s="6"/>
      <c r="F371" s="6"/>
      <c r="G371" s="6"/>
      <c r="H371" s="1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5"/>
      <c r="E372" s="6"/>
      <c r="F372" s="6"/>
      <c r="G372" s="6"/>
      <c r="H372" s="1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5"/>
      <c r="E373" s="6"/>
      <c r="F373" s="6"/>
      <c r="G373" s="6"/>
      <c r="H373" s="1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5"/>
      <c r="E374" s="6"/>
      <c r="F374" s="6"/>
      <c r="G374" s="6"/>
      <c r="H374" s="1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5"/>
      <c r="E375" s="6"/>
      <c r="F375" s="6"/>
      <c r="G375" s="6"/>
      <c r="H375" s="1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5"/>
      <c r="E376" s="6"/>
      <c r="F376" s="6"/>
      <c r="G376" s="6"/>
      <c r="H376" s="1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5"/>
      <c r="E377" s="6"/>
      <c r="F377" s="6"/>
      <c r="G377" s="6"/>
      <c r="H377" s="1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5"/>
      <c r="E378" s="6"/>
      <c r="F378" s="6"/>
      <c r="G378" s="6"/>
      <c r="H378" s="1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5"/>
      <c r="E379" s="6"/>
      <c r="F379" s="6"/>
      <c r="G379" s="6"/>
      <c r="H379" s="1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5"/>
      <c r="E380" s="6"/>
      <c r="F380" s="6"/>
      <c r="G380" s="6"/>
      <c r="H380" s="1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5"/>
      <c r="E381" s="6"/>
      <c r="F381" s="6"/>
      <c r="G381" s="6"/>
      <c r="H381" s="1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5"/>
      <c r="E382" s="6"/>
      <c r="F382" s="6"/>
      <c r="G382" s="6"/>
      <c r="H382" s="1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5"/>
      <c r="E383" s="6"/>
      <c r="F383" s="6"/>
      <c r="G383" s="6"/>
      <c r="H383" s="1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5"/>
      <c r="E384" s="6"/>
      <c r="F384" s="6"/>
      <c r="G384" s="6"/>
      <c r="H384" s="1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5"/>
      <c r="E385" s="6"/>
      <c r="F385" s="6"/>
      <c r="G385" s="6"/>
      <c r="H385" s="1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5"/>
      <c r="E386" s="6"/>
      <c r="F386" s="6"/>
      <c r="G386" s="6"/>
      <c r="H386" s="1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5"/>
      <c r="E387" s="6"/>
      <c r="F387" s="6"/>
      <c r="G387" s="6"/>
      <c r="H387" s="1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5"/>
      <c r="E388" s="6"/>
      <c r="F388" s="6"/>
      <c r="G388" s="6"/>
      <c r="H388" s="1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5"/>
      <c r="E389" s="6"/>
      <c r="F389" s="6"/>
      <c r="G389" s="6"/>
      <c r="H389" s="1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5"/>
      <c r="E390" s="6"/>
      <c r="F390" s="6"/>
      <c r="G390" s="6"/>
      <c r="H390" s="1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5"/>
      <c r="E391" s="6"/>
      <c r="F391" s="6"/>
      <c r="G391" s="6"/>
      <c r="H391" s="1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5"/>
      <c r="E392" s="6"/>
      <c r="F392" s="6"/>
      <c r="G392" s="6"/>
      <c r="H392" s="1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5"/>
      <c r="E393" s="6"/>
      <c r="F393" s="6"/>
      <c r="G393" s="6"/>
      <c r="H393" s="1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5"/>
      <c r="E394" s="6"/>
      <c r="F394" s="6"/>
      <c r="G394" s="6"/>
      <c r="H394" s="1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5"/>
      <c r="E395" s="6"/>
      <c r="F395" s="6"/>
      <c r="G395" s="6"/>
      <c r="H395" s="1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5"/>
      <c r="E396" s="6"/>
      <c r="F396" s="6"/>
      <c r="G396" s="6"/>
      <c r="H396" s="1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5"/>
      <c r="E397" s="6"/>
      <c r="F397" s="6"/>
      <c r="G397" s="6"/>
      <c r="H397" s="1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5"/>
      <c r="E398" s="6"/>
      <c r="F398" s="6"/>
      <c r="G398" s="6"/>
      <c r="H398" s="1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5"/>
      <c r="E399" s="6"/>
      <c r="F399" s="6"/>
      <c r="G399" s="6"/>
      <c r="H399" s="1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5"/>
      <c r="E400" s="6"/>
      <c r="F400" s="6"/>
      <c r="G400" s="6"/>
      <c r="H400" s="1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5"/>
      <c r="E401" s="6"/>
      <c r="F401" s="6"/>
      <c r="G401" s="6"/>
      <c r="H401" s="1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5"/>
      <c r="E402" s="6"/>
      <c r="F402" s="6"/>
      <c r="G402" s="6"/>
      <c r="H402" s="1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5"/>
      <c r="E403" s="6"/>
      <c r="F403" s="6"/>
      <c r="G403" s="6"/>
      <c r="H403" s="1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5"/>
      <c r="E404" s="6"/>
      <c r="F404" s="6"/>
      <c r="G404" s="6"/>
      <c r="H404" s="1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5"/>
      <c r="E405" s="6"/>
      <c r="F405" s="6"/>
      <c r="G405" s="6"/>
      <c r="H405" s="1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5"/>
      <c r="E406" s="6"/>
      <c r="F406" s="6"/>
      <c r="G406" s="6"/>
      <c r="H406" s="1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5"/>
      <c r="E407" s="6"/>
      <c r="F407" s="6"/>
      <c r="G407" s="6"/>
      <c r="H407" s="1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5"/>
      <c r="E408" s="6"/>
      <c r="F408" s="6"/>
      <c r="G408" s="6"/>
      <c r="H408" s="1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5"/>
      <c r="E409" s="6"/>
      <c r="F409" s="6"/>
      <c r="G409" s="6"/>
      <c r="H409" s="1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5"/>
      <c r="E410" s="6"/>
      <c r="F410" s="6"/>
      <c r="G410" s="6"/>
      <c r="H410" s="1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5"/>
      <c r="E411" s="6"/>
      <c r="F411" s="6"/>
      <c r="G411" s="6"/>
      <c r="H411" s="1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5"/>
      <c r="E412" s="6"/>
      <c r="F412" s="6"/>
      <c r="G412" s="6"/>
      <c r="H412" s="1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5"/>
      <c r="E413" s="6"/>
      <c r="F413" s="6"/>
      <c r="G413" s="6"/>
      <c r="H413" s="1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5"/>
      <c r="E414" s="6"/>
      <c r="F414" s="6"/>
      <c r="G414" s="6"/>
      <c r="H414" s="1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5"/>
      <c r="E415" s="6"/>
      <c r="F415" s="6"/>
      <c r="G415" s="6"/>
      <c r="H415" s="1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5"/>
      <c r="E416" s="6"/>
      <c r="F416" s="6"/>
      <c r="G416" s="6"/>
      <c r="H416" s="1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5"/>
      <c r="E417" s="6"/>
      <c r="F417" s="6"/>
      <c r="G417" s="6"/>
      <c r="H417" s="1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5"/>
      <c r="E418" s="6"/>
      <c r="F418" s="6"/>
      <c r="G418" s="6"/>
      <c r="H418" s="1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5"/>
      <c r="E419" s="6"/>
      <c r="F419" s="6"/>
      <c r="G419" s="6"/>
      <c r="H419" s="1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5"/>
      <c r="E420" s="6"/>
      <c r="F420" s="6"/>
      <c r="G420" s="6"/>
      <c r="H420" s="1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5"/>
      <c r="E421" s="6"/>
      <c r="F421" s="6"/>
      <c r="G421" s="6"/>
      <c r="H421" s="1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5"/>
      <c r="E422" s="6"/>
      <c r="F422" s="6"/>
      <c r="G422" s="6"/>
      <c r="H422" s="1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5"/>
      <c r="E423" s="6"/>
      <c r="F423" s="6"/>
      <c r="G423" s="6"/>
      <c r="H423" s="1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5"/>
      <c r="E424" s="6"/>
      <c r="F424" s="6"/>
      <c r="G424" s="6"/>
      <c r="H424" s="1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5"/>
      <c r="E425" s="6"/>
      <c r="F425" s="6"/>
      <c r="G425" s="6"/>
      <c r="H425" s="1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5"/>
      <c r="E426" s="6"/>
      <c r="F426" s="6"/>
      <c r="G426" s="6"/>
      <c r="H426" s="1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5"/>
      <c r="E427" s="6"/>
      <c r="F427" s="6"/>
      <c r="G427" s="6"/>
      <c r="H427" s="1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5"/>
      <c r="E428" s="6"/>
      <c r="F428" s="6"/>
      <c r="G428" s="6"/>
      <c r="H428" s="1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5"/>
      <c r="E429" s="6"/>
      <c r="F429" s="6"/>
      <c r="G429" s="6"/>
      <c r="H429" s="1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5"/>
      <c r="E430" s="6"/>
      <c r="F430" s="6"/>
      <c r="G430" s="6"/>
      <c r="H430" s="1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5"/>
      <c r="E431" s="6"/>
      <c r="F431" s="6"/>
      <c r="G431" s="6"/>
      <c r="H431" s="1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5"/>
      <c r="E432" s="6"/>
      <c r="F432" s="6"/>
      <c r="G432" s="6"/>
      <c r="H432" s="1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5"/>
      <c r="E433" s="6"/>
      <c r="F433" s="6"/>
      <c r="G433" s="6"/>
      <c r="H433" s="1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5"/>
      <c r="E434" s="6"/>
      <c r="F434" s="6"/>
      <c r="G434" s="6"/>
      <c r="H434" s="1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5"/>
      <c r="E435" s="6"/>
      <c r="F435" s="6"/>
      <c r="G435" s="6"/>
      <c r="H435" s="1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5"/>
      <c r="E436" s="6"/>
      <c r="F436" s="6"/>
      <c r="G436" s="6"/>
      <c r="H436" s="1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5"/>
      <c r="E437" s="6"/>
      <c r="F437" s="6"/>
      <c r="G437" s="6"/>
      <c r="H437" s="1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5"/>
      <c r="E438" s="6"/>
      <c r="F438" s="6"/>
      <c r="G438" s="6"/>
      <c r="H438" s="1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5"/>
      <c r="E439" s="6"/>
      <c r="F439" s="6"/>
      <c r="G439" s="6"/>
      <c r="H439" s="1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5"/>
      <c r="E440" s="6"/>
      <c r="F440" s="6"/>
      <c r="G440" s="6"/>
      <c r="H440" s="1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5"/>
      <c r="E441" s="6"/>
      <c r="F441" s="6"/>
      <c r="G441" s="6"/>
      <c r="H441" s="1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5"/>
      <c r="E442" s="6"/>
      <c r="F442" s="6"/>
      <c r="G442" s="6"/>
      <c r="H442" s="1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5"/>
      <c r="E443" s="6"/>
      <c r="F443" s="6"/>
      <c r="G443" s="6"/>
      <c r="H443" s="1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5"/>
      <c r="E444" s="6"/>
      <c r="F444" s="6"/>
      <c r="G444" s="6"/>
      <c r="H444" s="1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5"/>
      <c r="E445" s="6"/>
      <c r="F445" s="6"/>
      <c r="G445" s="6"/>
      <c r="H445" s="1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5"/>
      <c r="E446" s="6"/>
      <c r="F446" s="6"/>
      <c r="G446" s="6"/>
      <c r="H446" s="1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5"/>
      <c r="E447" s="6"/>
      <c r="F447" s="6"/>
      <c r="G447" s="6"/>
      <c r="H447" s="1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5"/>
      <c r="E448" s="6"/>
      <c r="F448" s="6"/>
      <c r="G448" s="6"/>
      <c r="H448" s="1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5"/>
      <c r="E449" s="6"/>
      <c r="F449" s="6"/>
      <c r="G449" s="6"/>
      <c r="H449" s="1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5"/>
      <c r="E450" s="6"/>
      <c r="F450" s="6"/>
      <c r="G450" s="6"/>
      <c r="H450" s="1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5"/>
      <c r="E451" s="6"/>
      <c r="F451" s="6"/>
      <c r="G451" s="6"/>
      <c r="H451" s="1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5"/>
      <c r="E452" s="6"/>
      <c r="F452" s="6"/>
      <c r="G452" s="6"/>
      <c r="H452" s="1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5"/>
      <c r="E453" s="6"/>
      <c r="F453" s="6"/>
      <c r="G453" s="6"/>
      <c r="H453" s="1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5"/>
      <c r="E454" s="6"/>
      <c r="F454" s="6"/>
      <c r="G454" s="6"/>
      <c r="H454" s="1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5"/>
      <c r="E455" s="6"/>
      <c r="F455" s="6"/>
      <c r="G455" s="6"/>
      <c r="H455" s="1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5"/>
      <c r="E456" s="6"/>
      <c r="F456" s="6"/>
      <c r="G456" s="6"/>
      <c r="H456" s="1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5"/>
      <c r="E457" s="6"/>
      <c r="F457" s="6"/>
      <c r="G457" s="6"/>
      <c r="H457" s="1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5"/>
      <c r="E458" s="6"/>
      <c r="F458" s="6"/>
      <c r="G458" s="6"/>
      <c r="H458" s="1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5"/>
      <c r="E459" s="6"/>
      <c r="F459" s="6"/>
      <c r="G459" s="6"/>
      <c r="H459" s="1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5"/>
      <c r="E460" s="6"/>
      <c r="F460" s="6"/>
      <c r="G460" s="6"/>
      <c r="H460" s="1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5"/>
      <c r="E461" s="6"/>
      <c r="F461" s="6"/>
      <c r="G461" s="6"/>
      <c r="H461" s="1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5"/>
      <c r="E462" s="6"/>
      <c r="F462" s="6"/>
      <c r="G462" s="6"/>
      <c r="H462" s="1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5"/>
      <c r="E463" s="6"/>
      <c r="F463" s="6"/>
      <c r="G463" s="6"/>
      <c r="H463" s="1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5"/>
      <c r="E464" s="6"/>
      <c r="F464" s="6"/>
      <c r="G464" s="6"/>
      <c r="H464" s="1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5"/>
      <c r="E465" s="6"/>
      <c r="F465" s="6"/>
      <c r="G465" s="6"/>
      <c r="H465" s="1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5"/>
      <c r="E466" s="6"/>
      <c r="F466" s="6"/>
      <c r="G466" s="6"/>
      <c r="H466" s="1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5"/>
      <c r="E467" s="6"/>
      <c r="F467" s="6"/>
      <c r="G467" s="6"/>
      <c r="H467" s="1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5"/>
      <c r="E468" s="6"/>
      <c r="F468" s="6"/>
      <c r="G468" s="6"/>
      <c r="H468" s="1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5"/>
      <c r="E469" s="6"/>
      <c r="F469" s="6"/>
      <c r="G469" s="6"/>
      <c r="H469" s="1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5"/>
      <c r="E470" s="6"/>
      <c r="F470" s="6"/>
      <c r="G470" s="6"/>
      <c r="H470" s="1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5"/>
      <c r="E471" s="6"/>
      <c r="F471" s="6"/>
      <c r="G471" s="6"/>
      <c r="H471" s="1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5"/>
      <c r="E472" s="6"/>
      <c r="F472" s="6"/>
      <c r="G472" s="6"/>
      <c r="H472" s="1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5"/>
      <c r="E473" s="6"/>
      <c r="F473" s="6"/>
      <c r="G473" s="6"/>
      <c r="H473" s="1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5"/>
      <c r="E474" s="6"/>
      <c r="F474" s="6"/>
      <c r="G474" s="6"/>
      <c r="H474" s="1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5"/>
      <c r="E475" s="6"/>
      <c r="F475" s="6"/>
      <c r="G475" s="6"/>
      <c r="H475" s="1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5"/>
      <c r="E476" s="6"/>
      <c r="F476" s="6"/>
      <c r="G476" s="6"/>
      <c r="H476" s="1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5"/>
      <c r="E477" s="6"/>
      <c r="F477" s="6"/>
      <c r="G477" s="6"/>
      <c r="H477" s="1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5"/>
      <c r="E478" s="6"/>
      <c r="F478" s="6"/>
      <c r="G478" s="6"/>
      <c r="H478" s="1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5"/>
      <c r="E479" s="6"/>
      <c r="F479" s="6"/>
      <c r="G479" s="6"/>
      <c r="H479" s="1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5"/>
      <c r="E480" s="6"/>
      <c r="F480" s="6"/>
      <c r="G480" s="6"/>
      <c r="H480" s="1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5"/>
      <c r="E481" s="6"/>
      <c r="F481" s="6"/>
      <c r="G481" s="6"/>
      <c r="H481" s="1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5"/>
      <c r="E482" s="6"/>
      <c r="F482" s="6"/>
      <c r="G482" s="6"/>
      <c r="H482" s="1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5"/>
      <c r="E483" s="6"/>
      <c r="F483" s="6"/>
      <c r="G483" s="6"/>
      <c r="H483" s="1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5"/>
      <c r="E484" s="6"/>
      <c r="F484" s="6"/>
      <c r="G484" s="6"/>
      <c r="H484" s="1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5"/>
      <c r="E485" s="6"/>
      <c r="F485" s="6"/>
      <c r="G485" s="6"/>
      <c r="H485" s="1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5"/>
      <c r="E486" s="6"/>
      <c r="F486" s="6"/>
      <c r="G486" s="6"/>
      <c r="H486" s="1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5"/>
      <c r="E487" s="6"/>
      <c r="F487" s="6"/>
      <c r="G487" s="6"/>
      <c r="H487" s="1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5"/>
      <c r="E488" s="6"/>
      <c r="F488" s="6"/>
      <c r="G488" s="6"/>
      <c r="H488" s="1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5"/>
      <c r="E489" s="6"/>
      <c r="F489" s="6"/>
      <c r="G489" s="6"/>
      <c r="H489" s="1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5"/>
      <c r="E490" s="6"/>
      <c r="F490" s="6"/>
      <c r="G490" s="6"/>
      <c r="H490" s="1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5"/>
      <c r="E491" s="6"/>
      <c r="F491" s="6"/>
      <c r="G491" s="6"/>
      <c r="H491" s="1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5"/>
      <c r="E492" s="6"/>
      <c r="F492" s="6"/>
      <c r="G492" s="6"/>
      <c r="H492" s="1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5"/>
      <c r="E493" s="6"/>
      <c r="F493" s="6"/>
      <c r="G493" s="6"/>
      <c r="H493" s="1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5"/>
      <c r="E494" s="6"/>
      <c r="F494" s="6"/>
      <c r="G494" s="6"/>
      <c r="H494" s="1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5"/>
      <c r="E495" s="6"/>
      <c r="F495" s="6"/>
      <c r="G495" s="6"/>
      <c r="H495" s="1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5"/>
      <c r="E496" s="6"/>
      <c r="F496" s="6"/>
      <c r="G496" s="6"/>
      <c r="H496" s="1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5"/>
      <c r="E497" s="6"/>
      <c r="F497" s="6"/>
      <c r="G497" s="6"/>
      <c r="H497" s="1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5"/>
      <c r="E498" s="6"/>
      <c r="F498" s="6"/>
      <c r="G498" s="6"/>
      <c r="H498" s="1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5"/>
      <c r="E499" s="6"/>
      <c r="F499" s="6"/>
      <c r="G499" s="6"/>
      <c r="H499" s="1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5"/>
      <c r="E500" s="6"/>
      <c r="F500" s="6"/>
      <c r="G500" s="6"/>
      <c r="H500" s="1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5"/>
      <c r="E501" s="6"/>
      <c r="F501" s="6"/>
      <c r="G501" s="6"/>
      <c r="H501" s="1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5"/>
      <c r="E502" s="6"/>
      <c r="F502" s="6"/>
      <c r="G502" s="6"/>
      <c r="H502" s="1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5"/>
      <c r="E503" s="6"/>
      <c r="F503" s="6"/>
      <c r="G503" s="6"/>
      <c r="H503" s="1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5"/>
      <c r="E504" s="6"/>
      <c r="F504" s="6"/>
      <c r="G504" s="6"/>
      <c r="H504" s="1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5"/>
      <c r="E505" s="6"/>
      <c r="F505" s="6"/>
      <c r="G505" s="6"/>
      <c r="H505" s="1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5"/>
      <c r="E506" s="6"/>
      <c r="F506" s="6"/>
      <c r="G506" s="6"/>
      <c r="H506" s="1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5"/>
      <c r="E507" s="6"/>
      <c r="F507" s="6"/>
      <c r="G507" s="6"/>
      <c r="H507" s="1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5"/>
      <c r="E508" s="6"/>
      <c r="F508" s="6"/>
      <c r="G508" s="6"/>
      <c r="H508" s="1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5"/>
      <c r="E509" s="6"/>
      <c r="F509" s="6"/>
      <c r="G509" s="6"/>
      <c r="H509" s="1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5"/>
      <c r="E510" s="6"/>
      <c r="F510" s="6"/>
      <c r="G510" s="6"/>
      <c r="H510" s="1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5"/>
      <c r="E511" s="6"/>
      <c r="F511" s="6"/>
      <c r="G511" s="6"/>
      <c r="H511" s="1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5"/>
      <c r="E512" s="6"/>
      <c r="F512" s="6"/>
      <c r="G512" s="6"/>
      <c r="H512" s="1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5"/>
      <c r="E513" s="6"/>
      <c r="F513" s="6"/>
      <c r="G513" s="6"/>
      <c r="H513" s="1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5"/>
      <c r="E514" s="6"/>
      <c r="F514" s="6"/>
      <c r="G514" s="6"/>
      <c r="H514" s="1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5"/>
      <c r="E515" s="6"/>
      <c r="F515" s="6"/>
      <c r="G515" s="6"/>
      <c r="H515" s="1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5"/>
      <c r="E516" s="6"/>
      <c r="F516" s="6"/>
      <c r="G516" s="6"/>
      <c r="H516" s="1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5"/>
      <c r="E517" s="6"/>
      <c r="F517" s="6"/>
      <c r="G517" s="6"/>
      <c r="H517" s="1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5"/>
      <c r="E518" s="6"/>
      <c r="F518" s="6"/>
      <c r="G518" s="6"/>
      <c r="H518" s="1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5"/>
      <c r="E519" s="6"/>
      <c r="F519" s="6"/>
      <c r="G519" s="6"/>
      <c r="H519" s="1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5"/>
      <c r="E520" s="6"/>
      <c r="F520" s="6"/>
      <c r="G520" s="6"/>
      <c r="H520" s="1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5"/>
      <c r="E521" s="6"/>
      <c r="F521" s="6"/>
      <c r="G521" s="6"/>
      <c r="H521" s="1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5"/>
      <c r="E522" s="6"/>
      <c r="F522" s="6"/>
      <c r="G522" s="6"/>
      <c r="H522" s="1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5"/>
      <c r="E523" s="6"/>
      <c r="F523" s="6"/>
      <c r="G523" s="6"/>
      <c r="H523" s="1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5"/>
      <c r="E524" s="6"/>
      <c r="F524" s="6"/>
      <c r="G524" s="6"/>
      <c r="H524" s="1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5"/>
      <c r="E525" s="6"/>
      <c r="F525" s="6"/>
      <c r="G525" s="6"/>
      <c r="H525" s="1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5"/>
      <c r="E526" s="6"/>
      <c r="F526" s="6"/>
      <c r="G526" s="6"/>
      <c r="H526" s="1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5"/>
      <c r="E527" s="6"/>
      <c r="F527" s="6"/>
      <c r="G527" s="6"/>
      <c r="H527" s="1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5"/>
      <c r="E528" s="6"/>
      <c r="F528" s="6"/>
      <c r="G528" s="6"/>
      <c r="H528" s="1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5"/>
      <c r="E529" s="6"/>
      <c r="F529" s="6"/>
      <c r="G529" s="6"/>
      <c r="H529" s="1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5"/>
      <c r="E530" s="6"/>
      <c r="F530" s="6"/>
      <c r="G530" s="6"/>
      <c r="H530" s="1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5"/>
      <c r="E531" s="6"/>
      <c r="F531" s="6"/>
      <c r="G531" s="6"/>
      <c r="H531" s="1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5"/>
      <c r="E532" s="6"/>
      <c r="F532" s="6"/>
      <c r="G532" s="6"/>
      <c r="H532" s="1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5"/>
      <c r="E533" s="6"/>
      <c r="F533" s="6"/>
      <c r="G533" s="6"/>
      <c r="H533" s="1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5"/>
      <c r="E534" s="6"/>
      <c r="F534" s="6"/>
      <c r="G534" s="6"/>
      <c r="H534" s="1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5"/>
      <c r="E535" s="6"/>
      <c r="F535" s="6"/>
      <c r="G535" s="6"/>
      <c r="H535" s="1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5"/>
      <c r="E536" s="6"/>
      <c r="F536" s="6"/>
      <c r="G536" s="6"/>
      <c r="H536" s="1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5"/>
      <c r="E537" s="6"/>
      <c r="F537" s="6"/>
      <c r="G537" s="6"/>
      <c r="H537" s="1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5"/>
      <c r="E538" s="6"/>
      <c r="F538" s="6"/>
      <c r="G538" s="6"/>
      <c r="H538" s="1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5"/>
      <c r="E539" s="6"/>
      <c r="F539" s="6"/>
      <c r="G539" s="6"/>
      <c r="H539" s="1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5"/>
      <c r="E540" s="6"/>
      <c r="F540" s="6"/>
      <c r="G540" s="6"/>
      <c r="H540" s="1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5"/>
      <c r="E541" s="6"/>
      <c r="F541" s="6"/>
      <c r="G541" s="6"/>
      <c r="H541" s="1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5"/>
      <c r="E542" s="6"/>
      <c r="F542" s="6"/>
      <c r="G542" s="6"/>
      <c r="H542" s="1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5"/>
      <c r="E543" s="6"/>
      <c r="F543" s="6"/>
      <c r="G543" s="6"/>
      <c r="H543" s="1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5"/>
      <c r="E544" s="6"/>
      <c r="F544" s="6"/>
      <c r="G544" s="6"/>
      <c r="H544" s="1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5"/>
      <c r="E545" s="6"/>
      <c r="F545" s="6"/>
      <c r="G545" s="6"/>
      <c r="H545" s="1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5"/>
      <c r="E546" s="6"/>
      <c r="F546" s="6"/>
      <c r="G546" s="6"/>
      <c r="H546" s="1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5"/>
      <c r="E547" s="6"/>
      <c r="F547" s="6"/>
      <c r="G547" s="6"/>
      <c r="H547" s="1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5"/>
      <c r="E548" s="6"/>
      <c r="F548" s="6"/>
      <c r="G548" s="6"/>
      <c r="H548" s="1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5"/>
      <c r="E549" s="6"/>
      <c r="F549" s="6"/>
      <c r="G549" s="6"/>
      <c r="H549" s="1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5"/>
      <c r="E550" s="6"/>
      <c r="F550" s="6"/>
      <c r="G550" s="6"/>
      <c r="H550" s="1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5"/>
      <c r="E551" s="6"/>
      <c r="F551" s="6"/>
      <c r="G551" s="6"/>
      <c r="H551" s="1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5"/>
      <c r="E552" s="6"/>
      <c r="F552" s="6"/>
      <c r="G552" s="6"/>
      <c r="H552" s="1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5"/>
      <c r="E553" s="6"/>
      <c r="F553" s="6"/>
      <c r="G553" s="6"/>
      <c r="H553" s="1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5"/>
      <c r="E554" s="6"/>
      <c r="F554" s="6"/>
      <c r="G554" s="6"/>
      <c r="H554" s="1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5"/>
      <c r="E555" s="6"/>
      <c r="F555" s="6"/>
      <c r="G555" s="6"/>
      <c r="H555" s="1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5"/>
      <c r="E556" s="6"/>
      <c r="F556" s="6"/>
      <c r="G556" s="6"/>
      <c r="H556" s="1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5"/>
      <c r="E557" s="6"/>
      <c r="F557" s="6"/>
      <c r="G557" s="6"/>
      <c r="H557" s="1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5"/>
      <c r="E558" s="6"/>
      <c r="F558" s="6"/>
      <c r="G558" s="6"/>
      <c r="H558" s="1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5"/>
      <c r="E559" s="6"/>
      <c r="F559" s="6"/>
      <c r="G559" s="6"/>
      <c r="H559" s="1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5"/>
      <c r="E560" s="6"/>
      <c r="F560" s="6"/>
      <c r="G560" s="6"/>
      <c r="H560" s="1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5"/>
      <c r="E561" s="6"/>
      <c r="F561" s="6"/>
      <c r="G561" s="6"/>
      <c r="H561" s="1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5"/>
      <c r="E562" s="6"/>
      <c r="F562" s="6"/>
      <c r="G562" s="6"/>
      <c r="H562" s="1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5"/>
      <c r="E563" s="6"/>
      <c r="F563" s="6"/>
      <c r="G563" s="6"/>
      <c r="H563" s="1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5"/>
      <c r="E564" s="6"/>
      <c r="F564" s="6"/>
      <c r="G564" s="6"/>
      <c r="H564" s="1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5"/>
      <c r="E565" s="6"/>
      <c r="F565" s="6"/>
      <c r="G565" s="6"/>
      <c r="H565" s="1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5"/>
      <c r="E566" s="6"/>
      <c r="F566" s="6"/>
      <c r="G566" s="6"/>
      <c r="H566" s="1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5"/>
      <c r="E567" s="6"/>
      <c r="F567" s="6"/>
      <c r="G567" s="6"/>
      <c r="H567" s="1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5"/>
      <c r="E568" s="6"/>
      <c r="F568" s="6"/>
      <c r="G568" s="6"/>
      <c r="H568" s="1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5"/>
      <c r="E569" s="6"/>
      <c r="F569" s="6"/>
      <c r="G569" s="6"/>
      <c r="H569" s="1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5"/>
      <c r="E570" s="6"/>
      <c r="F570" s="6"/>
      <c r="G570" s="6"/>
      <c r="H570" s="1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5"/>
      <c r="E571" s="6"/>
      <c r="F571" s="6"/>
      <c r="G571" s="6"/>
      <c r="H571" s="1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5"/>
      <c r="E572" s="6"/>
      <c r="F572" s="6"/>
      <c r="G572" s="6"/>
      <c r="H572" s="1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5"/>
      <c r="E573" s="6"/>
      <c r="F573" s="6"/>
      <c r="G573" s="6"/>
      <c r="H573" s="1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5"/>
      <c r="E574" s="6"/>
      <c r="F574" s="6"/>
      <c r="G574" s="6"/>
      <c r="H574" s="1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5"/>
      <c r="E575" s="6"/>
      <c r="F575" s="6"/>
      <c r="G575" s="6"/>
      <c r="H575" s="1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5"/>
      <c r="E576" s="6"/>
      <c r="F576" s="6"/>
      <c r="G576" s="6"/>
      <c r="H576" s="1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5"/>
      <c r="E577" s="6"/>
      <c r="F577" s="6"/>
      <c r="G577" s="6"/>
      <c r="H577" s="1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5"/>
      <c r="E578" s="6"/>
      <c r="F578" s="6"/>
      <c r="G578" s="6"/>
      <c r="H578" s="1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5"/>
      <c r="E579" s="6"/>
      <c r="F579" s="6"/>
      <c r="G579" s="6"/>
      <c r="H579" s="1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5"/>
      <c r="E580" s="6"/>
      <c r="F580" s="6"/>
      <c r="G580" s="6"/>
      <c r="H580" s="1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5"/>
      <c r="E581" s="6"/>
      <c r="F581" s="6"/>
      <c r="G581" s="6"/>
      <c r="H581" s="1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5"/>
      <c r="E582" s="6"/>
      <c r="F582" s="6"/>
      <c r="G582" s="6"/>
      <c r="H582" s="1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5"/>
      <c r="E583" s="6"/>
      <c r="F583" s="6"/>
      <c r="G583" s="6"/>
      <c r="H583" s="1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5"/>
      <c r="E584" s="6"/>
      <c r="F584" s="6"/>
      <c r="G584" s="6"/>
      <c r="H584" s="1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5"/>
      <c r="E585" s="6"/>
      <c r="F585" s="6"/>
      <c r="G585" s="6"/>
      <c r="H585" s="1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5"/>
      <c r="E586" s="6"/>
      <c r="F586" s="6"/>
      <c r="G586" s="6"/>
      <c r="H586" s="1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5"/>
      <c r="E587" s="6"/>
      <c r="F587" s="6"/>
      <c r="G587" s="6"/>
      <c r="H587" s="1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5"/>
      <c r="E588" s="6"/>
      <c r="F588" s="6"/>
      <c r="G588" s="6"/>
      <c r="H588" s="1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5"/>
      <c r="E589" s="6"/>
      <c r="F589" s="6"/>
      <c r="G589" s="6"/>
      <c r="H589" s="1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5"/>
      <c r="E590" s="6"/>
      <c r="F590" s="6"/>
      <c r="G590" s="6"/>
      <c r="H590" s="1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5"/>
      <c r="E591" s="6"/>
      <c r="F591" s="6"/>
      <c r="G591" s="6"/>
      <c r="H591" s="1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5"/>
      <c r="E592" s="6"/>
      <c r="F592" s="6"/>
      <c r="G592" s="6"/>
      <c r="H592" s="1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5"/>
      <c r="E593" s="6"/>
      <c r="F593" s="6"/>
      <c r="G593" s="6"/>
      <c r="H593" s="1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5"/>
      <c r="E594" s="6"/>
      <c r="F594" s="6"/>
      <c r="G594" s="6"/>
      <c r="H594" s="1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5"/>
      <c r="E595" s="6"/>
      <c r="F595" s="6"/>
      <c r="G595" s="6"/>
      <c r="H595" s="1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5"/>
      <c r="E596" s="6"/>
      <c r="F596" s="6"/>
      <c r="G596" s="6"/>
      <c r="H596" s="1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5"/>
      <c r="E597" s="6"/>
      <c r="F597" s="6"/>
      <c r="G597" s="6"/>
      <c r="H597" s="1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5"/>
      <c r="E598" s="6"/>
      <c r="F598" s="6"/>
      <c r="G598" s="6"/>
      <c r="H598" s="1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5"/>
      <c r="E599" s="6"/>
      <c r="F599" s="6"/>
      <c r="G599" s="6"/>
      <c r="H599" s="1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5"/>
      <c r="E600" s="6"/>
      <c r="F600" s="6"/>
      <c r="G600" s="6"/>
      <c r="H600" s="1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5"/>
      <c r="E601" s="6"/>
      <c r="F601" s="6"/>
      <c r="G601" s="6"/>
      <c r="H601" s="1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5"/>
      <c r="E602" s="6"/>
      <c r="F602" s="6"/>
      <c r="G602" s="6"/>
      <c r="H602" s="1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5"/>
      <c r="E603" s="6"/>
      <c r="F603" s="6"/>
      <c r="G603" s="6"/>
      <c r="H603" s="1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5"/>
      <c r="E604" s="6"/>
      <c r="F604" s="6"/>
      <c r="G604" s="6"/>
      <c r="H604" s="1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5"/>
      <c r="E605" s="6"/>
      <c r="F605" s="6"/>
      <c r="G605" s="6"/>
      <c r="H605" s="1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5"/>
      <c r="E606" s="6"/>
      <c r="F606" s="6"/>
      <c r="G606" s="6"/>
      <c r="H606" s="1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5"/>
      <c r="E607" s="6"/>
      <c r="F607" s="6"/>
      <c r="G607" s="6"/>
      <c r="H607" s="1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5"/>
      <c r="E608" s="6"/>
      <c r="F608" s="6"/>
      <c r="G608" s="6"/>
      <c r="H608" s="1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5"/>
      <c r="E609" s="6"/>
      <c r="F609" s="6"/>
      <c r="G609" s="6"/>
      <c r="H609" s="1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5"/>
      <c r="E610" s="6"/>
      <c r="F610" s="6"/>
      <c r="G610" s="6"/>
      <c r="H610" s="1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5"/>
      <c r="E611" s="6"/>
      <c r="F611" s="6"/>
      <c r="G611" s="6"/>
      <c r="H611" s="1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5"/>
      <c r="E612" s="6"/>
      <c r="F612" s="6"/>
      <c r="G612" s="6"/>
      <c r="H612" s="1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5"/>
      <c r="E613" s="6"/>
      <c r="F613" s="6"/>
      <c r="G613" s="6"/>
      <c r="H613" s="1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5"/>
      <c r="E614" s="6"/>
      <c r="F614" s="6"/>
      <c r="G614" s="6"/>
      <c r="H614" s="1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5"/>
      <c r="E615" s="6"/>
      <c r="F615" s="6"/>
      <c r="G615" s="6"/>
      <c r="H615" s="1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5"/>
      <c r="E616" s="6"/>
      <c r="F616" s="6"/>
      <c r="G616" s="6"/>
      <c r="H616" s="1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5"/>
      <c r="E617" s="6"/>
      <c r="F617" s="6"/>
      <c r="G617" s="6"/>
      <c r="H617" s="1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5"/>
      <c r="E618" s="6"/>
      <c r="F618" s="6"/>
      <c r="G618" s="6"/>
      <c r="H618" s="1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5"/>
      <c r="E619" s="6"/>
      <c r="F619" s="6"/>
      <c r="G619" s="6"/>
      <c r="H619" s="1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5"/>
      <c r="E620" s="6"/>
      <c r="F620" s="6"/>
      <c r="G620" s="6"/>
      <c r="H620" s="1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5"/>
      <c r="E621" s="6"/>
      <c r="F621" s="6"/>
      <c r="G621" s="6"/>
      <c r="H621" s="1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5"/>
      <c r="E622" s="6"/>
      <c r="F622" s="6"/>
      <c r="G622" s="6"/>
      <c r="H622" s="1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5"/>
      <c r="E623" s="6"/>
      <c r="F623" s="6"/>
      <c r="G623" s="6"/>
      <c r="H623" s="1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5"/>
      <c r="E624" s="6"/>
      <c r="F624" s="6"/>
      <c r="G624" s="6"/>
      <c r="H624" s="1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5"/>
      <c r="E625" s="6"/>
      <c r="F625" s="6"/>
      <c r="G625" s="6"/>
      <c r="H625" s="1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5"/>
      <c r="E626" s="6"/>
      <c r="F626" s="6"/>
      <c r="G626" s="6"/>
      <c r="H626" s="1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5"/>
      <c r="E627" s="6"/>
      <c r="F627" s="6"/>
      <c r="G627" s="6"/>
      <c r="H627" s="1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5"/>
      <c r="E628" s="6"/>
      <c r="F628" s="6"/>
      <c r="G628" s="6"/>
      <c r="H628" s="1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5"/>
      <c r="E629" s="6"/>
      <c r="F629" s="6"/>
      <c r="G629" s="6"/>
      <c r="H629" s="1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5"/>
      <c r="E630" s="6"/>
      <c r="F630" s="6"/>
      <c r="G630" s="6"/>
      <c r="H630" s="1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5"/>
      <c r="E631" s="6"/>
      <c r="F631" s="6"/>
      <c r="G631" s="6"/>
      <c r="H631" s="1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5"/>
      <c r="E632" s="6"/>
      <c r="F632" s="6"/>
      <c r="G632" s="6"/>
      <c r="H632" s="1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5"/>
      <c r="E633" s="6"/>
      <c r="F633" s="6"/>
      <c r="G633" s="6"/>
      <c r="H633" s="1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5"/>
      <c r="E634" s="6"/>
      <c r="F634" s="6"/>
      <c r="G634" s="6"/>
      <c r="H634" s="1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5"/>
      <c r="E635" s="6"/>
      <c r="F635" s="6"/>
      <c r="G635" s="6"/>
      <c r="H635" s="1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5"/>
      <c r="E636" s="6"/>
      <c r="F636" s="6"/>
      <c r="G636" s="6"/>
      <c r="H636" s="1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5"/>
      <c r="E637" s="6"/>
      <c r="F637" s="6"/>
      <c r="G637" s="6"/>
      <c r="H637" s="1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5"/>
      <c r="E638" s="6"/>
      <c r="F638" s="6"/>
      <c r="G638" s="6"/>
      <c r="H638" s="1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5"/>
      <c r="E639" s="6"/>
      <c r="F639" s="6"/>
      <c r="G639" s="6"/>
      <c r="H639" s="1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5"/>
      <c r="E640" s="6"/>
      <c r="F640" s="6"/>
      <c r="G640" s="6"/>
      <c r="H640" s="1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5"/>
      <c r="E641" s="6"/>
      <c r="F641" s="6"/>
      <c r="G641" s="6"/>
      <c r="H641" s="1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5"/>
      <c r="E642" s="6"/>
      <c r="F642" s="6"/>
      <c r="G642" s="6"/>
      <c r="H642" s="1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5"/>
      <c r="E643" s="6"/>
      <c r="F643" s="6"/>
      <c r="G643" s="6"/>
      <c r="H643" s="1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5"/>
      <c r="E644" s="6"/>
      <c r="F644" s="6"/>
      <c r="G644" s="6"/>
      <c r="H644" s="1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5"/>
      <c r="E645" s="6"/>
      <c r="F645" s="6"/>
      <c r="G645" s="6"/>
      <c r="H645" s="1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5"/>
      <c r="E646" s="6"/>
      <c r="F646" s="6"/>
      <c r="G646" s="6"/>
      <c r="H646" s="1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5"/>
      <c r="E647" s="6"/>
      <c r="F647" s="6"/>
      <c r="G647" s="6"/>
      <c r="H647" s="1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5"/>
      <c r="E648" s="6"/>
      <c r="F648" s="6"/>
      <c r="G648" s="6"/>
      <c r="H648" s="1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5"/>
      <c r="E649" s="6"/>
      <c r="F649" s="6"/>
      <c r="G649" s="6"/>
      <c r="H649" s="1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5"/>
      <c r="E650" s="6"/>
      <c r="F650" s="6"/>
      <c r="G650" s="6"/>
      <c r="H650" s="1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5"/>
      <c r="E651" s="6"/>
      <c r="F651" s="6"/>
      <c r="G651" s="6"/>
      <c r="H651" s="1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5"/>
      <c r="E652" s="6"/>
      <c r="F652" s="6"/>
      <c r="G652" s="6"/>
      <c r="H652" s="1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5"/>
      <c r="E653" s="6"/>
      <c r="F653" s="6"/>
      <c r="G653" s="6"/>
      <c r="H653" s="1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5"/>
      <c r="E654" s="6"/>
      <c r="F654" s="6"/>
      <c r="G654" s="6"/>
      <c r="H654" s="1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5"/>
      <c r="E655" s="6"/>
      <c r="F655" s="6"/>
      <c r="G655" s="6"/>
      <c r="H655" s="1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5"/>
      <c r="E656" s="6"/>
      <c r="F656" s="6"/>
      <c r="G656" s="6"/>
      <c r="H656" s="1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5"/>
      <c r="E657" s="6"/>
      <c r="F657" s="6"/>
      <c r="G657" s="6"/>
      <c r="H657" s="1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5"/>
      <c r="E658" s="6"/>
      <c r="F658" s="6"/>
      <c r="G658" s="6"/>
      <c r="H658" s="1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5"/>
      <c r="E659" s="6"/>
      <c r="F659" s="6"/>
      <c r="G659" s="6"/>
      <c r="H659" s="1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5"/>
      <c r="E660" s="6"/>
      <c r="F660" s="6"/>
      <c r="G660" s="6"/>
      <c r="H660" s="1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5"/>
      <c r="E661" s="6"/>
      <c r="F661" s="6"/>
      <c r="G661" s="6"/>
      <c r="H661" s="1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5"/>
      <c r="E662" s="6"/>
      <c r="F662" s="6"/>
      <c r="G662" s="6"/>
      <c r="H662" s="1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5"/>
      <c r="E663" s="6"/>
      <c r="F663" s="6"/>
      <c r="G663" s="6"/>
      <c r="H663" s="1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5"/>
      <c r="E664" s="6"/>
      <c r="F664" s="6"/>
      <c r="G664" s="6"/>
      <c r="H664" s="1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5"/>
      <c r="E665" s="6"/>
      <c r="F665" s="6"/>
      <c r="G665" s="6"/>
      <c r="H665" s="1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5"/>
      <c r="E666" s="6"/>
      <c r="F666" s="6"/>
      <c r="G666" s="6"/>
      <c r="H666" s="1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5"/>
      <c r="E667" s="6"/>
      <c r="F667" s="6"/>
      <c r="G667" s="6"/>
      <c r="H667" s="1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5"/>
      <c r="E668" s="6"/>
      <c r="F668" s="6"/>
      <c r="G668" s="6"/>
      <c r="H668" s="1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5"/>
      <c r="E669" s="6"/>
      <c r="F669" s="6"/>
      <c r="G669" s="6"/>
      <c r="H669" s="1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5"/>
      <c r="E670" s="6"/>
      <c r="F670" s="6"/>
      <c r="G670" s="6"/>
      <c r="H670" s="1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5"/>
      <c r="E671" s="6"/>
      <c r="F671" s="6"/>
      <c r="G671" s="6"/>
      <c r="H671" s="1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5"/>
      <c r="E672" s="6"/>
      <c r="F672" s="6"/>
      <c r="G672" s="6"/>
      <c r="H672" s="1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5"/>
      <c r="E673" s="6"/>
      <c r="F673" s="6"/>
      <c r="G673" s="6"/>
      <c r="H673" s="1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5"/>
      <c r="E674" s="6"/>
      <c r="F674" s="6"/>
      <c r="G674" s="6"/>
      <c r="H674" s="1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5"/>
      <c r="E675" s="6"/>
      <c r="F675" s="6"/>
      <c r="G675" s="6"/>
      <c r="H675" s="1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5"/>
      <c r="E676" s="6"/>
      <c r="F676" s="6"/>
      <c r="G676" s="6"/>
      <c r="H676" s="1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5"/>
      <c r="E677" s="6"/>
      <c r="F677" s="6"/>
      <c r="G677" s="6"/>
      <c r="H677" s="1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5"/>
      <c r="E678" s="6"/>
      <c r="F678" s="6"/>
      <c r="G678" s="6"/>
      <c r="H678" s="1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5"/>
      <c r="E679" s="6"/>
      <c r="F679" s="6"/>
      <c r="G679" s="6"/>
      <c r="H679" s="1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5"/>
      <c r="E680" s="6"/>
      <c r="F680" s="6"/>
      <c r="G680" s="6"/>
      <c r="H680" s="1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5"/>
      <c r="E681" s="6"/>
      <c r="F681" s="6"/>
      <c r="G681" s="6"/>
      <c r="H681" s="1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5"/>
      <c r="E682" s="6"/>
      <c r="F682" s="6"/>
      <c r="G682" s="6"/>
      <c r="H682" s="1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5"/>
      <c r="E683" s="6"/>
      <c r="F683" s="6"/>
      <c r="G683" s="6"/>
      <c r="H683" s="1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5"/>
      <c r="E684" s="6"/>
      <c r="F684" s="6"/>
      <c r="G684" s="6"/>
      <c r="H684" s="1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5"/>
      <c r="E685" s="6"/>
      <c r="F685" s="6"/>
      <c r="G685" s="6"/>
      <c r="H685" s="1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5"/>
      <c r="E686" s="6"/>
      <c r="F686" s="6"/>
      <c r="G686" s="6"/>
      <c r="H686" s="1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5"/>
      <c r="E687" s="6"/>
      <c r="F687" s="6"/>
      <c r="G687" s="6"/>
      <c r="H687" s="1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5"/>
      <c r="E688" s="6"/>
      <c r="F688" s="6"/>
      <c r="G688" s="6"/>
      <c r="H688" s="1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5"/>
      <c r="E689" s="6"/>
      <c r="F689" s="6"/>
      <c r="G689" s="6"/>
      <c r="H689" s="1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5"/>
      <c r="E690" s="6"/>
      <c r="F690" s="6"/>
      <c r="G690" s="6"/>
      <c r="H690" s="1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5"/>
      <c r="E691" s="6"/>
      <c r="F691" s="6"/>
      <c r="G691" s="6"/>
      <c r="H691" s="1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5"/>
      <c r="E692" s="6"/>
      <c r="F692" s="6"/>
      <c r="G692" s="6"/>
      <c r="H692" s="1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5"/>
      <c r="E693" s="6"/>
      <c r="F693" s="6"/>
      <c r="G693" s="6"/>
      <c r="H693" s="1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5"/>
      <c r="E694" s="6"/>
      <c r="F694" s="6"/>
      <c r="G694" s="6"/>
      <c r="H694" s="1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5"/>
      <c r="E695" s="6"/>
      <c r="F695" s="6"/>
      <c r="G695" s="6"/>
      <c r="H695" s="1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5"/>
      <c r="E696" s="6"/>
      <c r="F696" s="6"/>
      <c r="G696" s="6"/>
      <c r="H696" s="1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5"/>
      <c r="E697" s="6"/>
      <c r="F697" s="6"/>
      <c r="G697" s="6"/>
      <c r="H697" s="1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5"/>
      <c r="E698" s="6"/>
      <c r="F698" s="6"/>
      <c r="G698" s="6"/>
      <c r="H698" s="1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5"/>
      <c r="E699" s="6"/>
      <c r="F699" s="6"/>
      <c r="G699" s="6"/>
      <c r="H699" s="1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5"/>
      <c r="E700" s="6"/>
      <c r="F700" s="6"/>
      <c r="G700" s="6"/>
      <c r="H700" s="1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5"/>
      <c r="E701" s="6"/>
      <c r="F701" s="6"/>
      <c r="G701" s="6"/>
      <c r="H701" s="1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5"/>
      <c r="E702" s="6"/>
      <c r="F702" s="6"/>
      <c r="G702" s="6"/>
      <c r="H702" s="1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5"/>
      <c r="E703" s="6"/>
      <c r="F703" s="6"/>
      <c r="G703" s="6"/>
      <c r="H703" s="1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5"/>
      <c r="E704" s="6"/>
      <c r="F704" s="6"/>
      <c r="G704" s="6"/>
      <c r="H704" s="1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5"/>
      <c r="E705" s="6"/>
      <c r="F705" s="6"/>
      <c r="G705" s="6"/>
      <c r="H705" s="1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5"/>
      <c r="E706" s="6"/>
      <c r="F706" s="6"/>
      <c r="G706" s="6"/>
      <c r="H706" s="1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5"/>
      <c r="E707" s="6"/>
      <c r="F707" s="6"/>
      <c r="G707" s="6"/>
      <c r="H707" s="1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5"/>
      <c r="E708" s="6"/>
      <c r="F708" s="6"/>
      <c r="G708" s="6"/>
      <c r="H708" s="1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5"/>
      <c r="E709" s="6"/>
      <c r="F709" s="6"/>
      <c r="G709" s="6"/>
      <c r="H709" s="1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5"/>
      <c r="E710" s="6"/>
      <c r="F710" s="6"/>
      <c r="G710" s="6"/>
      <c r="H710" s="1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5"/>
      <c r="E711" s="6"/>
      <c r="F711" s="6"/>
      <c r="G711" s="6"/>
      <c r="H711" s="1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5"/>
      <c r="E712" s="6"/>
      <c r="F712" s="6"/>
      <c r="G712" s="6"/>
      <c r="H712" s="1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5"/>
      <c r="E713" s="6"/>
      <c r="F713" s="6"/>
      <c r="G713" s="6"/>
      <c r="H713" s="1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5"/>
      <c r="E714" s="6"/>
      <c r="F714" s="6"/>
      <c r="G714" s="6"/>
      <c r="H714" s="1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5"/>
      <c r="E715" s="6"/>
      <c r="F715" s="6"/>
      <c r="G715" s="6"/>
      <c r="H715" s="1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5"/>
      <c r="E716" s="6"/>
      <c r="F716" s="6"/>
      <c r="G716" s="6"/>
      <c r="H716" s="1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5"/>
      <c r="E717" s="6"/>
      <c r="F717" s="6"/>
      <c r="G717" s="6"/>
      <c r="H717" s="1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5"/>
      <c r="E718" s="6"/>
      <c r="F718" s="6"/>
      <c r="G718" s="6"/>
      <c r="H718" s="1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5"/>
      <c r="E719" s="6"/>
      <c r="F719" s="6"/>
      <c r="G719" s="6"/>
      <c r="H719" s="1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5"/>
      <c r="E720" s="6"/>
      <c r="F720" s="6"/>
      <c r="G720" s="6"/>
      <c r="H720" s="1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5"/>
      <c r="E721" s="6"/>
      <c r="F721" s="6"/>
      <c r="G721" s="6"/>
      <c r="H721" s="1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5"/>
      <c r="E722" s="6"/>
      <c r="F722" s="6"/>
      <c r="G722" s="6"/>
      <c r="H722" s="1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5"/>
      <c r="E723" s="6"/>
      <c r="F723" s="6"/>
      <c r="G723" s="6"/>
      <c r="H723" s="1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5"/>
      <c r="E724" s="6"/>
      <c r="F724" s="6"/>
      <c r="G724" s="6"/>
      <c r="H724" s="1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5"/>
      <c r="E725" s="6"/>
      <c r="F725" s="6"/>
      <c r="G725" s="6"/>
      <c r="H725" s="1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5"/>
      <c r="E726" s="6"/>
      <c r="F726" s="6"/>
      <c r="G726" s="6"/>
      <c r="H726" s="1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5"/>
      <c r="E727" s="6"/>
      <c r="F727" s="6"/>
      <c r="G727" s="6"/>
      <c r="H727" s="1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5"/>
      <c r="E728" s="6"/>
      <c r="F728" s="6"/>
      <c r="G728" s="6"/>
      <c r="H728" s="1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5"/>
      <c r="E729" s="6"/>
      <c r="F729" s="6"/>
      <c r="G729" s="6"/>
      <c r="H729" s="1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5"/>
      <c r="E730" s="6"/>
      <c r="F730" s="6"/>
      <c r="G730" s="6"/>
      <c r="H730" s="1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5"/>
      <c r="E731" s="6"/>
      <c r="F731" s="6"/>
      <c r="G731" s="6"/>
      <c r="H731" s="1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5"/>
      <c r="E732" s="6"/>
      <c r="F732" s="6"/>
      <c r="G732" s="6"/>
      <c r="H732" s="1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5"/>
      <c r="E733" s="6"/>
      <c r="F733" s="6"/>
      <c r="G733" s="6"/>
      <c r="H733" s="1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5"/>
      <c r="E734" s="6"/>
      <c r="F734" s="6"/>
      <c r="G734" s="6"/>
      <c r="H734" s="1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5"/>
      <c r="E735" s="6"/>
      <c r="F735" s="6"/>
      <c r="G735" s="6"/>
      <c r="H735" s="1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5"/>
      <c r="E736" s="6"/>
      <c r="F736" s="6"/>
      <c r="G736" s="6"/>
      <c r="H736" s="1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5"/>
      <c r="E737" s="6"/>
      <c r="F737" s="6"/>
      <c r="G737" s="6"/>
      <c r="H737" s="1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5"/>
      <c r="E738" s="6"/>
      <c r="F738" s="6"/>
      <c r="G738" s="6"/>
      <c r="H738" s="1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5"/>
      <c r="E739" s="6"/>
      <c r="F739" s="6"/>
      <c r="G739" s="6"/>
      <c r="H739" s="1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5"/>
      <c r="E740" s="6"/>
      <c r="F740" s="6"/>
      <c r="G740" s="6"/>
      <c r="H740" s="1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5"/>
      <c r="E741" s="6"/>
      <c r="F741" s="6"/>
      <c r="G741" s="6"/>
      <c r="H741" s="1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5"/>
      <c r="E742" s="6"/>
      <c r="F742" s="6"/>
      <c r="G742" s="6"/>
      <c r="H742" s="1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5"/>
      <c r="E743" s="6"/>
      <c r="F743" s="6"/>
      <c r="G743" s="6"/>
      <c r="H743" s="1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5"/>
      <c r="E744" s="6"/>
      <c r="F744" s="6"/>
      <c r="G744" s="6"/>
      <c r="H744" s="1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5"/>
      <c r="E745" s="6"/>
      <c r="F745" s="6"/>
      <c r="G745" s="6"/>
      <c r="H745" s="1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5"/>
      <c r="E746" s="6"/>
      <c r="F746" s="6"/>
      <c r="G746" s="6"/>
      <c r="H746" s="1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5"/>
      <c r="E747" s="6"/>
      <c r="F747" s="6"/>
      <c r="G747" s="6"/>
      <c r="H747" s="1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5"/>
      <c r="E748" s="6"/>
      <c r="F748" s="6"/>
      <c r="G748" s="6"/>
      <c r="H748" s="1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5"/>
      <c r="E749" s="6"/>
      <c r="F749" s="6"/>
      <c r="G749" s="6"/>
      <c r="H749" s="1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5"/>
      <c r="E750" s="6"/>
      <c r="F750" s="6"/>
      <c r="G750" s="6"/>
      <c r="H750" s="1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5"/>
      <c r="E751" s="6"/>
      <c r="F751" s="6"/>
      <c r="G751" s="6"/>
      <c r="H751" s="1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5"/>
      <c r="E752" s="6"/>
      <c r="F752" s="6"/>
      <c r="G752" s="6"/>
      <c r="H752" s="1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5"/>
      <c r="E753" s="6"/>
      <c r="F753" s="6"/>
      <c r="G753" s="6"/>
      <c r="H753" s="1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5"/>
      <c r="E754" s="6"/>
      <c r="F754" s="6"/>
      <c r="G754" s="6"/>
      <c r="H754" s="1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5"/>
      <c r="E755" s="6"/>
      <c r="F755" s="6"/>
      <c r="G755" s="6"/>
      <c r="H755" s="1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5"/>
      <c r="E756" s="6"/>
      <c r="F756" s="6"/>
      <c r="G756" s="6"/>
      <c r="H756" s="1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5"/>
      <c r="E757" s="6"/>
      <c r="F757" s="6"/>
      <c r="G757" s="6"/>
      <c r="H757" s="1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5"/>
      <c r="E758" s="6"/>
      <c r="F758" s="6"/>
      <c r="G758" s="6"/>
      <c r="H758" s="1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5"/>
      <c r="E759" s="6"/>
      <c r="F759" s="6"/>
      <c r="G759" s="6"/>
      <c r="H759" s="1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5"/>
      <c r="E760" s="6"/>
      <c r="F760" s="6"/>
      <c r="G760" s="6"/>
      <c r="H760" s="1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5"/>
      <c r="E761" s="6"/>
      <c r="F761" s="6"/>
      <c r="G761" s="6"/>
      <c r="H761" s="1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5"/>
      <c r="E762" s="6"/>
      <c r="F762" s="6"/>
      <c r="G762" s="6"/>
      <c r="H762" s="1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5"/>
      <c r="E763" s="6"/>
      <c r="F763" s="6"/>
      <c r="G763" s="6"/>
      <c r="H763" s="1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5"/>
      <c r="E764" s="6"/>
      <c r="F764" s="6"/>
      <c r="G764" s="6"/>
      <c r="H764" s="1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5"/>
      <c r="E765" s="6"/>
      <c r="F765" s="6"/>
      <c r="G765" s="6"/>
      <c r="H765" s="1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5"/>
      <c r="E766" s="6"/>
      <c r="F766" s="6"/>
      <c r="G766" s="6"/>
      <c r="H766" s="1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5"/>
      <c r="E767" s="6"/>
      <c r="F767" s="6"/>
      <c r="G767" s="6"/>
      <c r="H767" s="1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5"/>
      <c r="E768" s="6"/>
      <c r="F768" s="6"/>
      <c r="G768" s="6"/>
      <c r="H768" s="1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5"/>
      <c r="E769" s="6"/>
      <c r="F769" s="6"/>
      <c r="G769" s="6"/>
      <c r="H769" s="1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5"/>
      <c r="E770" s="6"/>
      <c r="F770" s="6"/>
      <c r="G770" s="6"/>
      <c r="H770" s="1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5"/>
      <c r="E771" s="6"/>
      <c r="F771" s="6"/>
      <c r="G771" s="6"/>
      <c r="H771" s="1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5"/>
      <c r="E772" s="6"/>
      <c r="F772" s="6"/>
      <c r="G772" s="6"/>
      <c r="H772" s="1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5"/>
      <c r="E773" s="6"/>
      <c r="F773" s="6"/>
      <c r="G773" s="6"/>
      <c r="H773" s="1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5"/>
      <c r="E774" s="6"/>
      <c r="F774" s="6"/>
      <c r="G774" s="6"/>
      <c r="H774" s="1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5"/>
      <c r="E775" s="6"/>
      <c r="F775" s="6"/>
      <c r="G775" s="6"/>
      <c r="H775" s="1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5"/>
      <c r="E776" s="6"/>
      <c r="F776" s="6"/>
      <c r="G776" s="6"/>
      <c r="H776" s="1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5"/>
      <c r="E777" s="6"/>
      <c r="F777" s="6"/>
      <c r="G777" s="6"/>
      <c r="H777" s="1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5"/>
      <c r="E778" s="6"/>
      <c r="F778" s="6"/>
      <c r="G778" s="6"/>
      <c r="H778" s="1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5"/>
      <c r="E779" s="6"/>
      <c r="F779" s="6"/>
      <c r="G779" s="6"/>
      <c r="H779" s="1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5"/>
      <c r="E780" s="6"/>
      <c r="F780" s="6"/>
      <c r="G780" s="6"/>
      <c r="H780" s="1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5"/>
      <c r="E781" s="6"/>
      <c r="F781" s="6"/>
      <c r="G781" s="6"/>
      <c r="H781" s="1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5"/>
      <c r="E782" s="6"/>
      <c r="F782" s="6"/>
      <c r="G782" s="6"/>
      <c r="H782" s="1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5"/>
      <c r="E783" s="6"/>
      <c r="F783" s="6"/>
      <c r="G783" s="6"/>
      <c r="H783" s="1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5"/>
      <c r="E784" s="6"/>
      <c r="F784" s="6"/>
      <c r="G784" s="6"/>
      <c r="H784" s="1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5"/>
      <c r="E785" s="6"/>
      <c r="F785" s="6"/>
      <c r="G785" s="6"/>
      <c r="H785" s="1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5"/>
      <c r="E786" s="6"/>
      <c r="F786" s="6"/>
      <c r="G786" s="6"/>
      <c r="H786" s="1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5"/>
      <c r="E787" s="6"/>
      <c r="F787" s="6"/>
      <c r="G787" s="6"/>
      <c r="H787" s="1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5"/>
      <c r="E788" s="6"/>
      <c r="F788" s="6"/>
      <c r="G788" s="6"/>
      <c r="H788" s="1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5"/>
      <c r="E789" s="6"/>
      <c r="F789" s="6"/>
      <c r="G789" s="6"/>
      <c r="H789" s="1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5"/>
      <c r="E790" s="6"/>
      <c r="F790" s="6"/>
      <c r="G790" s="6"/>
      <c r="H790" s="1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5"/>
      <c r="E791" s="6"/>
      <c r="F791" s="6"/>
      <c r="G791" s="6"/>
      <c r="H791" s="1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5"/>
      <c r="E792" s="6"/>
      <c r="F792" s="6"/>
      <c r="G792" s="6"/>
      <c r="H792" s="1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5"/>
      <c r="E793" s="6"/>
      <c r="F793" s="6"/>
      <c r="G793" s="6"/>
      <c r="H793" s="1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5"/>
      <c r="E794" s="6"/>
      <c r="F794" s="6"/>
      <c r="G794" s="6"/>
      <c r="H794" s="1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5"/>
      <c r="E795" s="6"/>
      <c r="F795" s="6"/>
      <c r="G795" s="6"/>
      <c r="H795" s="1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5"/>
      <c r="E796" s="6"/>
      <c r="F796" s="6"/>
      <c r="G796" s="6"/>
      <c r="H796" s="1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5"/>
      <c r="E797" s="6"/>
      <c r="F797" s="6"/>
      <c r="G797" s="6"/>
      <c r="H797" s="1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5"/>
      <c r="E798" s="6"/>
      <c r="F798" s="6"/>
      <c r="G798" s="6"/>
      <c r="H798" s="1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5"/>
      <c r="E799" s="6"/>
      <c r="F799" s="6"/>
      <c r="G799" s="6"/>
      <c r="H799" s="1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5"/>
      <c r="E800" s="6"/>
      <c r="F800" s="6"/>
      <c r="G800" s="6"/>
      <c r="H800" s="1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5"/>
      <c r="E801" s="6"/>
      <c r="F801" s="6"/>
      <c r="G801" s="6"/>
      <c r="H801" s="1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5"/>
      <c r="E802" s="6"/>
      <c r="F802" s="6"/>
      <c r="G802" s="6"/>
      <c r="H802" s="1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5"/>
      <c r="E803" s="6"/>
      <c r="F803" s="6"/>
      <c r="G803" s="6"/>
      <c r="H803" s="1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5"/>
      <c r="E804" s="6"/>
      <c r="F804" s="6"/>
      <c r="G804" s="6"/>
      <c r="H804" s="1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5"/>
      <c r="E805" s="6"/>
      <c r="F805" s="6"/>
      <c r="G805" s="6"/>
      <c r="H805" s="1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5"/>
      <c r="E806" s="6"/>
      <c r="F806" s="6"/>
      <c r="G806" s="6"/>
      <c r="H806" s="1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5"/>
      <c r="E807" s="6"/>
      <c r="F807" s="6"/>
      <c r="G807" s="6"/>
      <c r="H807" s="1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5"/>
      <c r="E808" s="6"/>
      <c r="F808" s="6"/>
      <c r="G808" s="6"/>
      <c r="H808" s="1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5"/>
      <c r="E809" s="6"/>
      <c r="F809" s="6"/>
      <c r="G809" s="6"/>
      <c r="H809" s="1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5"/>
      <c r="E810" s="6"/>
      <c r="F810" s="6"/>
      <c r="G810" s="6"/>
      <c r="H810" s="1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5"/>
      <c r="E811" s="6"/>
      <c r="F811" s="6"/>
      <c r="G811" s="6"/>
      <c r="H811" s="1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5"/>
      <c r="E812" s="6"/>
      <c r="F812" s="6"/>
      <c r="G812" s="6"/>
      <c r="H812" s="1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5"/>
      <c r="E813" s="6"/>
      <c r="F813" s="6"/>
      <c r="G813" s="6"/>
      <c r="H813" s="1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5"/>
      <c r="E814" s="6"/>
      <c r="F814" s="6"/>
      <c r="G814" s="6"/>
      <c r="H814" s="1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5"/>
      <c r="E815" s="6"/>
      <c r="F815" s="6"/>
      <c r="G815" s="6"/>
      <c r="H815" s="1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5"/>
      <c r="E816" s="6"/>
      <c r="F816" s="6"/>
      <c r="G816" s="6"/>
      <c r="H816" s="1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5"/>
      <c r="E817" s="6"/>
      <c r="F817" s="6"/>
      <c r="G817" s="6"/>
      <c r="H817" s="1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5"/>
      <c r="E818" s="6"/>
      <c r="F818" s="6"/>
      <c r="G818" s="6"/>
      <c r="H818" s="1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5"/>
      <c r="E819" s="6"/>
      <c r="F819" s="6"/>
      <c r="G819" s="6"/>
      <c r="H819" s="1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5"/>
      <c r="E820" s="6"/>
      <c r="F820" s="6"/>
      <c r="G820" s="6"/>
      <c r="H820" s="1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5"/>
      <c r="E821" s="6"/>
      <c r="F821" s="6"/>
      <c r="G821" s="6"/>
      <c r="H821" s="1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5"/>
      <c r="E822" s="6"/>
      <c r="F822" s="6"/>
      <c r="G822" s="6"/>
      <c r="H822" s="1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5"/>
      <c r="E823" s="6"/>
      <c r="F823" s="6"/>
      <c r="G823" s="6"/>
      <c r="H823" s="1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5"/>
      <c r="E824" s="6"/>
      <c r="F824" s="6"/>
      <c r="G824" s="6"/>
      <c r="H824" s="1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5"/>
      <c r="E825" s="6"/>
      <c r="F825" s="6"/>
      <c r="G825" s="6"/>
      <c r="H825" s="1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5"/>
      <c r="E826" s="6"/>
      <c r="F826" s="6"/>
      <c r="G826" s="6"/>
      <c r="H826" s="1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5"/>
      <c r="E827" s="6"/>
      <c r="F827" s="6"/>
      <c r="G827" s="6"/>
      <c r="H827" s="1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5"/>
      <c r="E828" s="6"/>
      <c r="F828" s="6"/>
      <c r="G828" s="6"/>
      <c r="H828" s="1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5"/>
      <c r="E829" s="6"/>
      <c r="F829" s="6"/>
      <c r="G829" s="6"/>
      <c r="H829" s="1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5"/>
      <c r="E830" s="6"/>
      <c r="F830" s="6"/>
      <c r="G830" s="6"/>
      <c r="H830" s="1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5"/>
      <c r="E831" s="6"/>
      <c r="F831" s="6"/>
      <c r="G831" s="6"/>
      <c r="H831" s="1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5"/>
      <c r="E832" s="6"/>
      <c r="F832" s="6"/>
      <c r="G832" s="6"/>
      <c r="H832" s="1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5"/>
      <c r="E833" s="6"/>
      <c r="F833" s="6"/>
      <c r="G833" s="6"/>
      <c r="H833" s="1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5"/>
      <c r="E834" s="6"/>
      <c r="F834" s="6"/>
      <c r="G834" s="6"/>
      <c r="H834" s="1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5"/>
      <c r="E835" s="6"/>
      <c r="F835" s="6"/>
      <c r="G835" s="6"/>
      <c r="H835" s="1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5"/>
      <c r="E836" s="6"/>
      <c r="F836" s="6"/>
      <c r="G836" s="6"/>
      <c r="H836" s="1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5"/>
      <c r="E837" s="6"/>
      <c r="F837" s="6"/>
      <c r="G837" s="6"/>
      <c r="H837" s="1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5"/>
      <c r="E838" s="6"/>
      <c r="F838" s="6"/>
      <c r="G838" s="6"/>
      <c r="H838" s="1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5"/>
      <c r="E839" s="6"/>
      <c r="F839" s="6"/>
      <c r="G839" s="6"/>
      <c r="H839" s="1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5"/>
      <c r="E840" s="6"/>
      <c r="F840" s="6"/>
      <c r="G840" s="6"/>
      <c r="H840" s="1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5"/>
      <c r="E841" s="6"/>
      <c r="F841" s="6"/>
      <c r="G841" s="6"/>
      <c r="H841" s="1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5"/>
      <c r="E842" s="6"/>
      <c r="F842" s="6"/>
      <c r="G842" s="6"/>
      <c r="H842" s="1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5"/>
      <c r="E843" s="6"/>
      <c r="F843" s="6"/>
      <c r="G843" s="6"/>
      <c r="H843" s="1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5"/>
      <c r="E844" s="6"/>
      <c r="F844" s="6"/>
      <c r="G844" s="6"/>
      <c r="H844" s="1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5"/>
      <c r="E845" s="6"/>
      <c r="F845" s="6"/>
      <c r="G845" s="6"/>
      <c r="H845" s="1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5"/>
      <c r="E846" s="6"/>
      <c r="F846" s="6"/>
      <c r="G846" s="6"/>
      <c r="H846" s="1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5"/>
      <c r="E847" s="6"/>
      <c r="F847" s="6"/>
      <c r="G847" s="6"/>
      <c r="H847" s="1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5"/>
      <c r="E848" s="6"/>
      <c r="F848" s="6"/>
      <c r="G848" s="6"/>
      <c r="H848" s="1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5"/>
      <c r="E849" s="6"/>
      <c r="F849" s="6"/>
      <c r="G849" s="6"/>
      <c r="H849" s="1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5"/>
      <c r="E850" s="6"/>
      <c r="F850" s="6"/>
      <c r="G850" s="6"/>
      <c r="H850" s="1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5"/>
      <c r="E851" s="6"/>
      <c r="F851" s="6"/>
      <c r="G851" s="6"/>
      <c r="H851" s="1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5"/>
      <c r="E852" s="6"/>
      <c r="F852" s="6"/>
      <c r="G852" s="6"/>
      <c r="H852" s="1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5"/>
      <c r="E853" s="6"/>
      <c r="F853" s="6"/>
      <c r="G853" s="6"/>
      <c r="H853" s="1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5"/>
      <c r="E854" s="6"/>
      <c r="F854" s="6"/>
      <c r="G854" s="6"/>
      <c r="H854" s="1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5"/>
      <c r="E855" s="6"/>
      <c r="F855" s="6"/>
      <c r="G855" s="6"/>
      <c r="H855" s="1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5"/>
      <c r="E856" s="6"/>
      <c r="F856" s="6"/>
      <c r="G856" s="6"/>
      <c r="H856" s="1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5"/>
      <c r="E857" s="6"/>
      <c r="F857" s="6"/>
      <c r="G857" s="6"/>
      <c r="H857" s="1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5"/>
      <c r="E858" s="6"/>
      <c r="F858" s="6"/>
      <c r="G858" s="6"/>
      <c r="H858" s="1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5"/>
      <c r="E859" s="6"/>
      <c r="F859" s="6"/>
      <c r="G859" s="6"/>
      <c r="H859" s="1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5"/>
      <c r="E860" s="6"/>
      <c r="F860" s="6"/>
      <c r="G860" s="6"/>
      <c r="H860" s="1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5"/>
      <c r="E861" s="6"/>
      <c r="F861" s="6"/>
      <c r="G861" s="6"/>
      <c r="H861" s="1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5"/>
      <c r="E862" s="6"/>
      <c r="F862" s="6"/>
      <c r="G862" s="6"/>
      <c r="H862" s="1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5"/>
      <c r="E863" s="6"/>
      <c r="F863" s="6"/>
      <c r="G863" s="6"/>
      <c r="H863" s="1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5"/>
      <c r="E864" s="6"/>
      <c r="F864" s="6"/>
      <c r="G864" s="6"/>
      <c r="H864" s="1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5"/>
      <c r="E865" s="6"/>
      <c r="F865" s="6"/>
      <c r="G865" s="6"/>
      <c r="H865" s="1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5"/>
      <c r="E866" s="6"/>
      <c r="F866" s="6"/>
      <c r="G866" s="6"/>
      <c r="H866" s="1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5"/>
      <c r="E867" s="6"/>
      <c r="F867" s="6"/>
      <c r="G867" s="6"/>
      <c r="H867" s="1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5"/>
      <c r="E868" s="6"/>
      <c r="F868" s="6"/>
      <c r="G868" s="6"/>
      <c r="H868" s="1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5"/>
      <c r="E869" s="6"/>
      <c r="F869" s="6"/>
      <c r="G869" s="6"/>
      <c r="H869" s="1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5"/>
      <c r="E870" s="6"/>
      <c r="F870" s="6"/>
      <c r="G870" s="6"/>
      <c r="H870" s="1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5"/>
      <c r="E871" s="6"/>
      <c r="F871" s="6"/>
      <c r="G871" s="6"/>
      <c r="H871" s="1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5"/>
      <c r="E872" s="6"/>
      <c r="F872" s="6"/>
      <c r="G872" s="6"/>
      <c r="H872" s="1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5"/>
      <c r="E873" s="6"/>
      <c r="F873" s="6"/>
      <c r="G873" s="6"/>
      <c r="H873" s="1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5"/>
      <c r="E874" s="6"/>
      <c r="F874" s="6"/>
      <c r="G874" s="6"/>
      <c r="H874" s="1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5"/>
      <c r="E875" s="6"/>
      <c r="F875" s="6"/>
      <c r="G875" s="6"/>
      <c r="H875" s="1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5"/>
      <c r="E876" s="6"/>
      <c r="F876" s="6"/>
      <c r="G876" s="6"/>
      <c r="H876" s="1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5"/>
      <c r="E877" s="6"/>
      <c r="F877" s="6"/>
      <c r="G877" s="6"/>
      <c r="H877" s="1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5"/>
      <c r="E878" s="6"/>
      <c r="F878" s="6"/>
      <c r="G878" s="6"/>
      <c r="H878" s="1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5"/>
      <c r="E879" s="6"/>
      <c r="F879" s="6"/>
      <c r="G879" s="6"/>
      <c r="H879" s="1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5"/>
      <c r="E880" s="6"/>
      <c r="F880" s="6"/>
      <c r="G880" s="6"/>
      <c r="H880" s="1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5"/>
      <c r="E881" s="6"/>
      <c r="F881" s="6"/>
      <c r="G881" s="6"/>
      <c r="H881" s="1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5"/>
      <c r="E882" s="6"/>
      <c r="F882" s="6"/>
      <c r="G882" s="6"/>
      <c r="H882" s="1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5"/>
      <c r="E883" s="6"/>
      <c r="F883" s="6"/>
      <c r="G883" s="6"/>
      <c r="H883" s="1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5"/>
      <c r="E884" s="6"/>
      <c r="F884" s="6"/>
      <c r="G884" s="6"/>
      <c r="H884" s="1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5"/>
      <c r="E885" s="6"/>
      <c r="F885" s="6"/>
      <c r="G885" s="6"/>
      <c r="H885" s="1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5"/>
      <c r="E886" s="6"/>
      <c r="F886" s="6"/>
      <c r="G886" s="6"/>
      <c r="H886" s="1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5"/>
      <c r="E887" s="6"/>
      <c r="F887" s="6"/>
      <c r="G887" s="6"/>
      <c r="H887" s="1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5"/>
      <c r="E888" s="6"/>
      <c r="F888" s="6"/>
      <c r="G888" s="6"/>
      <c r="H888" s="1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5"/>
      <c r="E889" s="6"/>
      <c r="F889" s="6"/>
      <c r="G889" s="6"/>
      <c r="H889" s="1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5"/>
      <c r="E890" s="6"/>
      <c r="F890" s="6"/>
      <c r="G890" s="6"/>
      <c r="H890" s="1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5"/>
      <c r="E891" s="6"/>
      <c r="F891" s="6"/>
      <c r="G891" s="6"/>
      <c r="H891" s="1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5"/>
      <c r="E892" s="6"/>
      <c r="F892" s="6"/>
      <c r="G892" s="6"/>
      <c r="H892" s="1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5"/>
      <c r="E893" s="6"/>
      <c r="F893" s="6"/>
      <c r="G893" s="6"/>
      <c r="H893" s="1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5"/>
      <c r="E894" s="6"/>
      <c r="F894" s="6"/>
      <c r="G894" s="6"/>
      <c r="H894" s="1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5"/>
      <c r="E895" s="6"/>
      <c r="F895" s="6"/>
      <c r="G895" s="6"/>
      <c r="H895" s="1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5"/>
      <c r="E896" s="6"/>
      <c r="F896" s="6"/>
      <c r="G896" s="6"/>
      <c r="H896" s="1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5"/>
      <c r="E897" s="6"/>
      <c r="F897" s="6"/>
      <c r="G897" s="6"/>
      <c r="H897" s="1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5"/>
      <c r="E898" s="6"/>
      <c r="F898" s="6"/>
      <c r="G898" s="6"/>
      <c r="H898" s="1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5"/>
      <c r="E899" s="6"/>
      <c r="F899" s="6"/>
      <c r="G899" s="6"/>
      <c r="H899" s="1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5"/>
      <c r="E900" s="6"/>
      <c r="F900" s="6"/>
      <c r="G900" s="6"/>
      <c r="H900" s="1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5"/>
      <c r="E901" s="6"/>
      <c r="F901" s="6"/>
      <c r="G901" s="6"/>
      <c r="H901" s="1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5"/>
      <c r="E902" s="6"/>
      <c r="F902" s="6"/>
      <c r="G902" s="6"/>
      <c r="H902" s="1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5"/>
      <c r="E903" s="6"/>
      <c r="F903" s="6"/>
      <c r="G903" s="6"/>
      <c r="H903" s="1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5"/>
      <c r="E904" s="6"/>
      <c r="F904" s="6"/>
      <c r="G904" s="6"/>
      <c r="H904" s="1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5"/>
      <c r="E905" s="6"/>
      <c r="F905" s="6"/>
      <c r="G905" s="6"/>
      <c r="H905" s="1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5"/>
      <c r="E906" s="6"/>
      <c r="F906" s="6"/>
      <c r="G906" s="6"/>
      <c r="H906" s="1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5"/>
      <c r="E907" s="6"/>
      <c r="F907" s="6"/>
      <c r="G907" s="6"/>
      <c r="H907" s="1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5"/>
      <c r="E908" s="6"/>
      <c r="F908" s="6"/>
      <c r="G908" s="6"/>
      <c r="H908" s="1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5"/>
      <c r="E909" s="6"/>
      <c r="F909" s="6"/>
      <c r="G909" s="6"/>
      <c r="H909" s="1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5"/>
      <c r="E910" s="6"/>
      <c r="F910" s="6"/>
      <c r="G910" s="6"/>
      <c r="H910" s="1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5"/>
      <c r="E911" s="6"/>
      <c r="F911" s="6"/>
      <c r="G911" s="6"/>
      <c r="H911" s="1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5"/>
      <c r="E912" s="6"/>
      <c r="F912" s="6"/>
      <c r="G912" s="6"/>
      <c r="H912" s="1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5"/>
      <c r="E913" s="6"/>
      <c r="F913" s="6"/>
      <c r="G913" s="6"/>
      <c r="H913" s="1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5"/>
      <c r="E914" s="6"/>
      <c r="F914" s="6"/>
      <c r="G914" s="6"/>
      <c r="H914" s="1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5"/>
      <c r="E915" s="6"/>
      <c r="F915" s="6"/>
      <c r="G915" s="6"/>
      <c r="H915" s="1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5"/>
      <c r="E916" s="6"/>
      <c r="F916" s="6"/>
      <c r="G916" s="6"/>
      <c r="H916" s="1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5"/>
      <c r="E917" s="6"/>
      <c r="F917" s="6"/>
      <c r="G917" s="6"/>
      <c r="H917" s="1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5"/>
      <c r="E918" s="6"/>
      <c r="F918" s="6"/>
      <c r="G918" s="6"/>
      <c r="H918" s="1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5"/>
      <c r="E919" s="6"/>
      <c r="F919" s="6"/>
      <c r="G919" s="6"/>
      <c r="H919" s="1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5"/>
      <c r="E920" s="6"/>
      <c r="F920" s="6"/>
      <c r="G920" s="6"/>
      <c r="H920" s="1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5"/>
      <c r="E921" s="6"/>
      <c r="F921" s="6"/>
      <c r="G921" s="6"/>
      <c r="H921" s="1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5"/>
      <c r="E922" s="6"/>
      <c r="F922" s="6"/>
      <c r="G922" s="6"/>
      <c r="H922" s="1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5"/>
      <c r="E923" s="6"/>
      <c r="F923" s="6"/>
      <c r="G923" s="6"/>
      <c r="H923" s="1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5"/>
      <c r="E924" s="6"/>
      <c r="F924" s="6"/>
      <c r="G924" s="6"/>
      <c r="H924" s="1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5"/>
      <c r="E925" s="6"/>
      <c r="F925" s="6"/>
      <c r="G925" s="6"/>
      <c r="H925" s="1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5"/>
      <c r="E926" s="6"/>
      <c r="F926" s="6"/>
      <c r="G926" s="6"/>
      <c r="H926" s="1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5"/>
      <c r="E927" s="6"/>
      <c r="F927" s="6"/>
      <c r="G927" s="6"/>
      <c r="H927" s="1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5"/>
      <c r="E928" s="6"/>
      <c r="F928" s="6"/>
      <c r="G928" s="6"/>
      <c r="H928" s="1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5"/>
      <c r="E929" s="6"/>
      <c r="F929" s="6"/>
      <c r="G929" s="6"/>
      <c r="H929" s="1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5"/>
      <c r="E930" s="6"/>
      <c r="F930" s="6"/>
      <c r="G930" s="6"/>
      <c r="H930" s="1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5"/>
      <c r="E931" s="6"/>
      <c r="F931" s="6"/>
      <c r="G931" s="6"/>
      <c r="H931" s="1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5"/>
      <c r="E932" s="6"/>
      <c r="F932" s="6"/>
      <c r="G932" s="6"/>
      <c r="H932" s="1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5"/>
      <c r="E933" s="6"/>
      <c r="F933" s="6"/>
      <c r="G933" s="6"/>
      <c r="H933" s="1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5"/>
      <c r="E934" s="6"/>
      <c r="F934" s="6"/>
      <c r="G934" s="6"/>
      <c r="H934" s="1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5"/>
      <c r="E935" s="6"/>
      <c r="F935" s="6"/>
      <c r="G935" s="6"/>
      <c r="H935" s="1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5"/>
      <c r="E936" s="6"/>
      <c r="F936" s="6"/>
      <c r="G936" s="6"/>
      <c r="H936" s="1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5"/>
      <c r="E937" s="6"/>
      <c r="F937" s="6"/>
      <c r="G937" s="6"/>
      <c r="H937" s="1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5"/>
      <c r="E938" s="6"/>
      <c r="F938" s="6"/>
      <c r="G938" s="6"/>
      <c r="H938" s="1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5"/>
      <c r="E939" s="6"/>
      <c r="F939" s="6"/>
      <c r="G939" s="6"/>
      <c r="H939" s="1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5"/>
      <c r="E940" s="6"/>
      <c r="F940" s="6"/>
      <c r="G940" s="6"/>
      <c r="H940" s="1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5"/>
      <c r="E941" s="6"/>
      <c r="F941" s="6"/>
      <c r="G941" s="6"/>
      <c r="H941" s="1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5"/>
      <c r="E942" s="6"/>
      <c r="F942" s="6"/>
      <c r="G942" s="6"/>
      <c r="H942" s="1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5"/>
      <c r="E943" s="6"/>
      <c r="F943" s="6"/>
      <c r="G943" s="6"/>
      <c r="H943" s="1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5"/>
      <c r="E944" s="6"/>
      <c r="F944" s="6"/>
      <c r="G944" s="6"/>
      <c r="H944" s="1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5"/>
      <c r="E945" s="6"/>
      <c r="F945" s="6"/>
      <c r="G945" s="6"/>
      <c r="H945" s="1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5"/>
      <c r="E946" s="6"/>
      <c r="F946" s="6"/>
      <c r="G946" s="6"/>
      <c r="H946" s="1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5"/>
      <c r="E947" s="6"/>
      <c r="F947" s="6"/>
      <c r="G947" s="6"/>
      <c r="H947" s="1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5"/>
      <c r="E948" s="6"/>
      <c r="F948" s="6"/>
      <c r="G948" s="6"/>
      <c r="H948" s="1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5"/>
      <c r="E949" s="6"/>
      <c r="F949" s="6"/>
      <c r="G949" s="6"/>
      <c r="H949" s="1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5"/>
      <c r="E950" s="6"/>
      <c r="F950" s="6"/>
      <c r="G950" s="6"/>
      <c r="H950" s="1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5"/>
      <c r="E951" s="6"/>
      <c r="F951" s="6"/>
      <c r="G951" s="6"/>
      <c r="H951" s="1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5"/>
      <c r="E952" s="6"/>
      <c r="F952" s="6"/>
      <c r="G952" s="6"/>
      <c r="H952" s="1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5"/>
      <c r="E953" s="6"/>
      <c r="F953" s="6"/>
      <c r="G953" s="6"/>
      <c r="H953" s="1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5"/>
      <c r="E954" s="6"/>
      <c r="F954" s="6"/>
      <c r="G954" s="6"/>
      <c r="H954" s="1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5"/>
      <c r="E955" s="6"/>
      <c r="F955" s="6"/>
      <c r="G955" s="6"/>
      <c r="H955" s="1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5"/>
      <c r="E956" s="6"/>
      <c r="F956" s="6"/>
      <c r="G956" s="6"/>
      <c r="H956" s="1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5"/>
      <c r="E957" s="6"/>
      <c r="F957" s="6"/>
      <c r="G957" s="6"/>
      <c r="H957" s="1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5"/>
      <c r="E958" s="6"/>
      <c r="F958" s="6"/>
      <c r="G958" s="6"/>
      <c r="H958" s="1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5"/>
      <c r="E959" s="6"/>
      <c r="F959" s="6"/>
      <c r="G959" s="6"/>
      <c r="H959" s="1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5"/>
      <c r="E960" s="6"/>
      <c r="F960" s="6"/>
      <c r="G960" s="6"/>
      <c r="H960" s="1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5"/>
      <c r="E961" s="6"/>
      <c r="F961" s="6"/>
      <c r="G961" s="6"/>
      <c r="H961" s="1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5"/>
      <c r="E962" s="6"/>
      <c r="F962" s="6"/>
      <c r="G962" s="6"/>
      <c r="H962" s="1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5"/>
      <c r="E963" s="6"/>
      <c r="F963" s="6"/>
      <c r="G963" s="6"/>
      <c r="H963" s="1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5"/>
      <c r="E964" s="6"/>
      <c r="F964" s="6"/>
      <c r="G964" s="6"/>
      <c r="H964" s="1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5"/>
      <c r="E965" s="6"/>
      <c r="F965" s="6"/>
      <c r="G965" s="6"/>
      <c r="H965" s="1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5"/>
      <c r="E966" s="6"/>
      <c r="F966" s="6"/>
      <c r="G966" s="6"/>
      <c r="H966" s="1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5"/>
      <c r="E967" s="6"/>
      <c r="F967" s="6"/>
      <c r="G967" s="6"/>
      <c r="H967" s="1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5"/>
      <c r="E968" s="6"/>
      <c r="F968" s="6"/>
      <c r="G968" s="6"/>
      <c r="H968" s="1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5"/>
      <c r="E969" s="6"/>
      <c r="F969" s="6"/>
      <c r="G969" s="6"/>
      <c r="H969" s="1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5"/>
      <c r="E970" s="6"/>
      <c r="F970" s="6"/>
      <c r="G970" s="6"/>
      <c r="H970" s="1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5"/>
      <c r="E971" s="6"/>
      <c r="F971" s="6"/>
      <c r="G971" s="6"/>
      <c r="H971" s="1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5"/>
      <c r="E972" s="6"/>
      <c r="F972" s="6"/>
      <c r="G972" s="6"/>
      <c r="H972" s="1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5"/>
      <c r="E973" s="6"/>
      <c r="F973" s="6"/>
      <c r="G973" s="6"/>
      <c r="H973" s="1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5"/>
      <c r="E974" s="6"/>
      <c r="F974" s="6"/>
      <c r="G974" s="6"/>
      <c r="H974" s="1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5"/>
      <c r="E975" s="6"/>
      <c r="F975" s="6"/>
      <c r="G975" s="6"/>
      <c r="H975" s="1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5"/>
      <c r="E976" s="6"/>
      <c r="F976" s="6"/>
      <c r="G976" s="6"/>
      <c r="H976" s="1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5"/>
      <c r="E977" s="6"/>
      <c r="F977" s="6"/>
      <c r="G977" s="6"/>
      <c r="H977" s="1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5"/>
      <c r="E978" s="6"/>
      <c r="F978" s="6"/>
      <c r="G978" s="6"/>
      <c r="H978" s="1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5"/>
      <c r="E979" s="6"/>
      <c r="F979" s="6"/>
      <c r="G979" s="6"/>
      <c r="H979" s="1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5"/>
      <c r="E980" s="6"/>
      <c r="F980" s="6"/>
      <c r="G980" s="6"/>
      <c r="H980" s="1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5"/>
      <c r="E981" s="6"/>
      <c r="F981" s="6"/>
      <c r="G981" s="6"/>
      <c r="H981" s="1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5"/>
      <c r="E982" s="6"/>
      <c r="F982" s="6"/>
      <c r="G982" s="6"/>
      <c r="H982" s="1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5"/>
      <c r="E983" s="6"/>
      <c r="F983" s="6"/>
      <c r="G983" s="6"/>
      <c r="H983" s="1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5"/>
      <c r="E984" s="6"/>
      <c r="F984" s="6"/>
      <c r="G984" s="6"/>
      <c r="H984" s="1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5"/>
      <c r="E985" s="6"/>
      <c r="F985" s="6"/>
      <c r="G985" s="6"/>
      <c r="H985" s="1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5"/>
      <c r="E986" s="6"/>
      <c r="F986" s="6"/>
      <c r="G986" s="6"/>
      <c r="H986" s="1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5"/>
      <c r="E987" s="6"/>
      <c r="F987" s="6"/>
      <c r="G987" s="6"/>
      <c r="H987" s="1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5"/>
      <c r="E988" s="6"/>
      <c r="F988" s="6"/>
      <c r="G988" s="6"/>
      <c r="H988" s="1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5"/>
      <c r="E989" s="6"/>
      <c r="F989" s="6"/>
      <c r="G989" s="6"/>
      <c r="H989" s="1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5"/>
      <c r="E990" s="6"/>
      <c r="F990" s="6"/>
      <c r="G990" s="6"/>
      <c r="H990" s="1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5"/>
      <c r="E991" s="6"/>
      <c r="F991" s="6"/>
      <c r="G991" s="6"/>
      <c r="H991" s="1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5"/>
      <c r="E992" s="6"/>
      <c r="F992" s="6"/>
      <c r="G992" s="6"/>
      <c r="H992" s="1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5"/>
      <c r="E993" s="6"/>
      <c r="F993" s="6"/>
      <c r="G993" s="6"/>
      <c r="H993" s="1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44"/>
  <sheetViews>
    <sheetView workbookViewId="0">
      <pane ySplit="1" topLeftCell="A412" activePane="bottomLeft" state="frozen"/>
      <selection pane="bottomLeft" activeCell="I2" sqref="I2:I440"/>
    </sheetView>
  </sheetViews>
  <sheetFormatPr defaultColWidth="14.44140625" defaultRowHeight="15" customHeight="1" x14ac:dyDescent="0.3"/>
  <cols>
    <col min="1" max="1" width="12.5546875" bestFit="1" customWidth="1"/>
    <col min="2" max="2" width="23" style="161" customWidth="1"/>
    <col min="3" max="3" width="73.44140625" customWidth="1"/>
    <col min="4" max="4" width="5.5546875" customWidth="1"/>
    <col min="5" max="5" width="8.88671875" customWidth="1"/>
    <col min="6" max="6" width="12" customWidth="1"/>
    <col min="7" max="7" width="7.44140625" customWidth="1"/>
    <col min="8" max="8" width="1.88671875" customWidth="1"/>
    <col min="9" max="9" width="8.5546875" customWidth="1"/>
    <col min="10" max="10" width="7.5546875" customWidth="1"/>
    <col min="11" max="11" width="9.109375" customWidth="1"/>
    <col min="12" max="12" width="7.44140625" customWidth="1"/>
    <col min="13" max="26" width="8.6640625" customWidth="1"/>
  </cols>
  <sheetData>
    <row r="1" spans="1:26" ht="12.75" customHeight="1" x14ac:dyDescent="0.3">
      <c r="A1" s="1" t="s">
        <v>0</v>
      </c>
      <c r="B1" s="148" t="s">
        <v>1</v>
      </c>
      <c r="C1" s="1" t="s">
        <v>2</v>
      </c>
      <c r="D1" s="1" t="s">
        <v>3</v>
      </c>
      <c r="E1" s="14" t="s">
        <v>4</v>
      </c>
      <c r="F1" s="2" t="s">
        <v>162</v>
      </c>
      <c r="G1" s="3" t="s">
        <v>7</v>
      </c>
      <c r="H1" s="3"/>
      <c r="I1" s="3" t="s">
        <v>8</v>
      </c>
      <c r="J1" s="2" t="s">
        <v>163</v>
      </c>
      <c r="K1" s="2" t="s">
        <v>164</v>
      </c>
      <c r="L1" s="3" t="s">
        <v>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3">
      <c r="A2" s="4" t="str">
        <f t="shared" ref="A2:A17" si="0">"Jabra"</f>
        <v>Jabra</v>
      </c>
      <c r="B2" s="149" t="s">
        <v>165</v>
      </c>
      <c r="C2" s="4" t="s">
        <v>166</v>
      </c>
      <c r="D2" s="5" t="s">
        <v>13</v>
      </c>
      <c r="E2" s="16">
        <v>279</v>
      </c>
      <c r="F2" s="6">
        <v>168.56</v>
      </c>
      <c r="G2" s="7">
        <f t="shared" ref="G2:G17" si="1">1-(F2/E2)</f>
        <v>0.39584229390681003</v>
      </c>
      <c r="H2" s="7"/>
      <c r="I2" s="7">
        <v>0.12</v>
      </c>
      <c r="J2" s="6">
        <f t="shared" ref="J2:J17" si="2">E2*(1-I2)</f>
        <v>245.52</v>
      </c>
      <c r="K2" s="6">
        <f t="shared" ref="K2:K17" si="3">J2-F2</f>
        <v>76.960000000000008</v>
      </c>
      <c r="L2" s="7">
        <f t="shared" ref="L2:L17" si="4">1-(F2/J2)</f>
        <v>0.31345715216682957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35" customFormat="1" ht="12.75" customHeight="1" x14ac:dyDescent="0.3">
      <c r="A3" s="136" t="str">
        <f t="shared" si="0"/>
        <v>Jabra</v>
      </c>
      <c r="B3" s="150" t="s">
        <v>167</v>
      </c>
      <c r="C3" s="136" t="s">
        <v>166</v>
      </c>
      <c r="D3" s="137" t="s">
        <v>13</v>
      </c>
      <c r="E3" s="141">
        <v>279</v>
      </c>
      <c r="F3" s="139">
        <v>168.56</v>
      </c>
      <c r="G3" s="140">
        <f t="shared" si="1"/>
        <v>0.39584229390681003</v>
      </c>
      <c r="H3" s="140"/>
      <c r="I3" s="140">
        <v>0.12</v>
      </c>
      <c r="J3" s="139">
        <f t="shared" si="2"/>
        <v>245.52</v>
      </c>
      <c r="K3" s="139">
        <f t="shared" si="3"/>
        <v>76.960000000000008</v>
      </c>
      <c r="L3" s="140">
        <f t="shared" si="4"/>
        <v>0.31345715216682957</v>
      </c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spans="1:26" ht="12.75" customHeight="1" x14ac:dyDescent="0.3">
      <c r="A4" s="4" t="str">
        <f t="shared" si="0"/>
        <v>Jabra</v>
      </c>
      <c r="B4" s="149" t="str">
        <f>"GN-6593-823-309"</f>
        <v>GN-6593-823-309</v>
      </c>
      <c r="C4" s="4" t="str">
        <f>"JABRA EVOLVE 65 MS MONO"</f>
        <v>JABRA EVOLVE 65 MS MONO</v>
      </c>
      <c r="D4" s="5" t="s">
        <v>13</v>
      </c>
      <c r="E4" s="17">
        <v>189</v>
      </c>
      <c r="F4" s="6">
        <v>113.75</v>
      </c>
      <c r="G4" s="7">
        <f t="shared" si="1"/>
        <v>0.39814814814814814</v>
      </c>
      <c r="H4" s="7"/>
      <c r="I4" s="7">
        <v>0.12</v>
      </c>
      <c r="J4" s="6">
        <f t="shared" si="2"/>
        <v>166.32</v>
      </c>
      <c r="K4" s="6">
        <f t="shared" si="3"/>
        <v>52.569999999999993</v>
      </c>
      <c r="L4" s="7">
        <f t="shared" si="4"/>
        <v>0.31607744107744107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tr">
        <f t="shared" si="0"/>
        <v>Jabra</v>
      </c>
      <c r="B5" s="149" t="str">
        <f>"GN-6599-823-309"</f>
        <v>GN-6599-823-309</v>
      </c>
      <c r="C5" s="4" t="str">
        <f>"JABRA EVOLVE 65 MS STEREO"</f>
        <v>JABRA EVOLVE 65 MS STEREO</v>
      </c>
      <c r="D5" s="5" t="s">
        <v>13</v>
      </c>
      <c r="E5" s="17">
        <v>210</v>
      </c>
      <c r="F5" s="6">
        <v>126.88</v>
      </c>
      <c r="G5" s="7">
        <f t="shared" si="1"/>
        <v>0.39580952380952383</v>
      </c>
      <c r="H5" s="7"/>
      <c r="I5" s="7">
        <v>0.12</v>
      </c>
      <c r="J5" s="6">
        <f t="shared" si="2"/>
        <v>184.8</v>
      </c>
      <c r="K5" s="6">
        <f t="shared" si="3"/>
        <v>57.920000000000016</v>
      </c>
      <c r="L5" s="7">
        <f t="shared" si="4"/>
        <v>0.31341991341991349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tr">
        <f t="shared" si="0"/>
        <v>Jabra</v>
      </c>
      <c r="B6" s="149" t="str">
        <f>"GN-6593-829-409"</f>
        <v>GN-6593-829-409</v>
      </c>
      <c r="C6" s="4" t="str">
        <f>"JABRA EVOLVE 65 UC MONO"</f>
        <v>JABRA EVOLVE 65 UC MONO</v>
      </c>
      <c r="D6" s="5" t="s">
        <v>13</v>
      </c>
      <c r="E6" s="17">
        <v>189</v>
      </c>
      <c r="F6" s="6">
        <v>113.75</v>
      </c>
      <c r="G6" s="7">
        <f t="shared" si="1"/>
        <v>0.39814814814814814</v>
      </c>
      <c r="H6" s="7"/>
      <c r="I6" s="7">
        <v>0.12</v>
      </c>
      <c r="J6" s="6">
        <f t="shared" si="2"/>
        <v>166.32</v>
      </c>
      <c r="K6" s="6">
        <f t="shared" si="3"/>
        <v>52.569999999999993</v>
      </c>
      <c r="L6" s="7">
        <f t="shared" si="4"/>
        <v>0.31607744107744107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tr">
        <f t="shared" si="0"/>
        <v>Jabra</v>
      </c>
      <c r="B7" s="149" t="str">
        <f>"GN-6599-829-409"</f>
        <v>GN-6599-829-409</v>
      </c>
      <c r="C7" s="4" t="str">
        <f>"JABRA EVOLVE 65 UC STEREO"</f>
        <v>JABRA EVOLVE 65 UC STEREO</v>
      </c>
      <c r="D7" s="5" t="s">
        <v>13</v>
      </c>
      <c r="E7" s="17">
        <v>210</v>
      </c>
      <c r="F7" s="6">
        <v>126.88</v>
      </c>
      <c r="G7" s="7">
        <f t="shared" si="1"/>
        <v>0.39580952380952383</v>
      </c>
      <c r="H7" s="7"/>
      <c r="I7" s="7">
        <v>0.12</v>
      </c>
      <c r="J7" s="6">
        <f t="shared" si="2"/>
        <v>184.8</v>
      </c>
      <c r="K7" s="6">
        <f t="shared" si="3"/>
        <v>57.920000000000016</v>
      </c>
      <c r="L7" s="7">
        <f t="shared" si="4"/>
        <v>0.31341991341991349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135" customFormat="1" ht="12.75" customHeight="1" x14ac:dyDescent="0.3">
      <c r="A8" s="136" t="str">
        <f t="shared" si="0"/>
        <v>Jabra</v>
      </c>
      <c r="B8" s="150" t="s">
        <v>168</v>
      </c>
      <c r="C8" s="136" t="s">
        <v>169</v>
      </c>
      <c r="D8" s="137" t="s">
        <v>13</v>
      </c>
      <c r="E8" s="138">
        <v>242</v>
      </c>
      <c r="F8" s="139">
        <v>146.86000000000001</v>
      </c>
      <c r="G8" s="140">
        <f t="shared" si="1"/>
        <v>0.39314049586776856</v>
      </c>
      <c r="H8" s="140"/>
      <c r="I8" s="140">
        <v>0.12</v>
      </c>
      <c r="J8" s="139">
        <f t="shared" si="2"/>
        <v>212.96</v>
      </c>
      <c r="K8" s="139">
        <f t="shared" si="3"/>
        <v>66.099999999999994</v>
      </c>
      <c r="L8" s="140">
        <f t="shared" si="4"/>
        <v>0.3103869271224643</v>
      </c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s="135" customFormat="1" ht="12.75" customHeight="1" x14ac:dyDescent="0.3">
      <c r="A9" s="136" t="str">
        <f t="shared" si="0"/>
        <v>Jabra</v>
      </c>
      <c r="B9" s="150" t="s">
        <v>170</v>
      </c>
      <c r="C9" s="136" t="s">
        <v>171</v>
      </c>
      <c r="D9" s="137" t="s">
        <v>13</v>
      </c>
      <c r="E9" s="138">
        <v>242</v>
      </c>
      <c r="F9" s="139">
        <v>146.86000000000001</v>
      </c>
      <c r="G9" s="140">
        <f t="shared" si="1"/>
        <v>0.39314049586776856</v>
      </c>
      <c r="H9" s="140"/>
      <c r="I9" s="140">
        <v>0.12</v>
      </c>
      <c r="J9" s="139">
        <f t="shared" si="2"/>
        <v>212.96</v>
      </c>
      <c r="K9" s="139">
        <f t="shared" si="3"/>
        <v>66.099999999999994</v>
      </c>
      <c r="L9" s="140">
        <f t="shared" si="4"/>
        <v>0.3103869271224643</v>
      </c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s="135" customFormat="1" ht="12.75" customHeight="1" x14ac:dyDescent="0.3">
      <c r="A10" s="136" t="str">
        <f t="shared" si="0"/>
        <v>Jabra</v>
      </c>
      <c r="B10" s="150" t="s">
        <v>172</v>
      </c>
      <c r="C10" s="136" t="s">
        <v>173</v>
      </c>
      <c r="D10" s="137" t="s">
        <v>13</v>
      </c>
      <c r="E10" s="138">
        <v>263</v>
      </c>
      <c r="F10" s="139">
        <v>158.9</v>
      </c>
      <c r="G10" s="140">
        <f t="shared" si="1"/>
        <v>0.3958174904942966</v>
      </c>
      <c r="H10" s="140"/>
      <c r="I10" s="140">
        <v>0.12</v>
      </c>
      <c r="J10" s="139">
        <f t="shared" si="2"/>
        <v>231.44</v>
      </c>
      <c r="K10" s="139">
        <f t="shared" si="3"/>
        <v>72.539999999999992</v>
      </c>
      <c r="L10" s="140">
        <f t="shared" si="4"/>
        <v>0.31342896647079155</v>
      </c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s="135" customFormat="1" ht="12.75" customHeight="1" x14ac:dyDescent="0.3">
      <c r="A11" s="136" t="str">
        <f t="shared" si="0"/>
        <v>Jabra</v>
      </c>
      <c r="B11" s="150" t="s">
        <v>174</v>
      </c>
      <c r="C11" s="136" t="s">
        <v>175</v>
      </c>
      <c r="D11" s="137" t="s">
        <v>13</v>
      </c>
      <c r="E11" s="138">
        <v>263</v>
      </c>
      <c r="F11" s="139">
        <v>158.9</v>
      </c>
      <c r="G11" s="140">
        <f t="shared" si="1"/>
        <v>0.3958174904942966</v>
      </c>
      <c r="H11" s="140"/>
      <c r="I11" s="140">
        <v>0.12</v>
      </c>
      <c r="J11" s="139">
        <f t="shared" si="2"/>
        <v>231.44</v>
      </c>
      <c r="K11" s="139">
        <f t="shared" si="3"/>
        <v>72.539999999999992</v>
      </c>
      <c r="L11" s="140">
        <f t="shared" si="4"/>
        <v>0.31342896647079155</v>
      </c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s="135" customFormat="1" ht="12.75" customHeight="1" x14ac:dyDescent="0.3">
      <c r="A12" s="136" t="str">
        <f t="shared" si="0"/>
        <v>Jabra</v>
      </c>
      <c r="B12" s="150" t="s">
        <v>176</v>
      </c>
      <c r="C12" s="136" t="s">
        <v>177</v>
      </c>
      <c r="D12" s="137" t="s">
        <v>13</v>
      </c>
      <c r="E12" s="138">
        <v>272</v>
      </c>
      <c r="F12" s="139">
        <v>164.09</v>
      </c>
      <c r="G12" s="140">
        <f t="shared" si="1"/>
        <v>0.39672794117647059</v>
      </c>
      <c r="H12" s="140"/>
      <c r="I12" s="140">
        <v>0.12</v>
      </c>
      <c r="J12" s="139">
        <f t="shared" si="2"/>
        <v>239.36</v>
      </c>
      <c r="K12" s="139">
        <f t="shared" si="3"/>
        <v>75.27000000000001</v>
      </c>
      <c r="L12" s="140">
        <f t="shared" si="4"/>
        <v>0.31446356951871657</v>
      </c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s="135" customFormat="1" ht="12.75" customHeight="1" x14ac:dyDescent="0.3">
      <c r="A13" s="136" t="str">
        <f t="shared" si="0"/>
        <v>Jabra</v>
      </c>
      <c r="B13" s="150" t="s">
        <v>178</v>
      </c>
      <c r="C13" s="136" t="s">
        <v>179</v>
      </c>
      <c r="D13" s="137" t="s">
        <v>13</v>
      </c>
      <c r="E13" s="138">
        <v>272</v>
      </c>
      <c r="F13" s="139">
        <v>164.09</v>
      </c>
      <c r="G13" s="140">
        <f t="shared" si="1"/>
        <v>0.39672794117647059</v>
      </c>
      <c r="H13" s="140"/>
      <c r="I13" s="140">
        <v>0.12</v>
      </c>
      <c r="J13" s="139">
        <f t="shared" si="2"/>
        <v>239.36</v>
      </c>
      <c r="K13" s="139">
        <f t="shared" si="3"/>
        <v>75.27000000000001</v>
      </c>
      <c r="L13" s="140">
        <f t="shared" si="4"/>
        <v>0.31446356951871657</v>
      </c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ht="12.75" customHeight="1" x14ac:dyDescent="0.3">
      <c r="A14" s="4" t="str">
        <f t="shared" si="0"/>
        <v>Jabra</v>
      </c>
      <c r="B14" s="149" t="s">
        <v>180</v>
      </c>
      <c r="C14" s="4" t="s">
        <v>181</v>
      </c>
      <c r="D14" s="5" t="s">
        <v>13</v>
      </c>
      <c r="E14" s="17">
        <v>293</v>
      </c>
      <c r="F14" s="6">
        <v>177.22</v>
      </c>
      <c r="G14" s="7">
        <f t="shared" si="1"/>
        <v>0.39515358361774744</v>
      </c>
      <c r="H14" s="7"/>
      <c r="I14" s="7">
        <v>0.12</v>
      </c>
      <c r="J14" s="6">
        <f t="shared" si="2"/>
        <v>257.83999999999997</v>
      </c>
      <c r="K14" s="6">
        <f t="shared" si="3"/>
        <v>80.619999999999976</v>
      </c>
      <c r="L14" s="7">
        <f t="shared" si="4"/>
        <v>0.31267452683834929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135" customFormat="1" ht="12.75" customHeight="1" x14ac:dyDescent="0.3">
      <c r="A15" s="136" t="str">
        <f t="shared" si="0"/>
        <v>Jabra</v>
      </c>
      <c r="B15" s="150" t="s">
        <v>182</v>
      </c>
      <c r="C15" s="136" t="s">
        <v>183</v>
      </c>
      <c r="D15" s="137" t="s">
        <v>13</v>
      </c>
      <c r="E15" s="138">
        <v>346</v>
      </c>
      <c r="F15" s="139">
        <v>209.24</v>
      </c>
      <c r="G15" s="140">
        <f t="shared" si="1"/>
        <v>0.39526011560693641</v>
      </c>
      <c r="H15" s="140"/>
      <c r="I15" s="140">
        <v>0.12</v>
      </c>
      <c r="J15" s="139">
        <f t="shared" si="2"/>
        <v>304.48</v>
      </c>
      <c r="K15" s="139">
        <f t="shared" si="3"/>
        <v>95.240000000000009</v>
      </c>
      <c r="L15" s="140">
        <f t="shared" si="4"/>
        <v>0.31279558591697321</v>
      </c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2.75" customHeight="1" x14ac:dyDescent="0.3">
      <c r="A16" s="4" t="str">
        <f t="shared" si="0"/>
        <v>Jabra</v>
      </c>
      <c r="B16" s="149" t="s">
        <v>184</v>
      </c>
      <c r="C16" s="4" t="s">
        <v>185</v>
      </c>
      <c r="D16" s="5" t="s">
        <v>13</v>
      </c>
      <c r="E16" s="17">
        <v>293</v>
      </c>
      <c r="F16" s="6">
        <v>177.22</v>
      </c>
      <c r="G16" s="7">
        <f t="shared" si="1"/>
        <v>0.39515358361774744</v>
      </c>
      <c r="H16" s="7"/>
      <c r="I16" s="7">
        <v>0.12</v>
      </c>
      <c r="J16" s="6">
        <f t="shared" si="2"/>
        <v>257.83999999999997</v>
      </c>
      <c r="K16" s="6">
        <f t="shared" si="3"/>
        <v>80.619999999999976</v>
      </c>
      <c r="L16" s="7">
        <f t="shared" si="4"/>
        <v>0.31267452683834929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135" customFormat="1" ht="12.75" customHeight="1" x14ac:dyDescent="0.3">
      <c r="A17" s="143" t="str">
        <f t="shared" si="0"/>
        <v>Jabra</v>
      </c>
      <c r="B17" s="151" t="s">
        <v>186</v>
      </c>
      <c r="C17" s="143" t="s">
        <v>187</v>
      </c>
      <c r="D17" s="144" t="s">
        <v>13</v>
      </c>
      <c r="E17" s="145">
        <v>346</v>
      </c>
      <c r="F17" s="146">
        <v>209.24</v>
      </c>
      <c r="G17" s="147">
        <f t="shared" si="1"/>
        <v>0.39526011560693641</v>
      </c>
      <c r="H17" s="147"/>
      <c r="I17" s="147">
        <v>0.12</v>
      </c>
      <c r="J17" s="146">
        <f t="shared" si="2"/>
        <v>304.48</v>
      </c>
      <c r="K17" s="146">
        <f t="shared" si="3"/>
        <v>95.240000000000009</v>
      </c>
      <c r="L17" s="147">
        <f t="shared" si="4"/>
        <v>0.31279558591697321</v>
      </c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2.75" customHeight="1" x14ac:dyDescent="0.3">
      <c r="A18" s="4" t="str">
        <f t="shared" ref="A18:A25" si="5">"Jabra"</f>
        <v>Jabra</v>
      </c>
      <c r="B18" s="149" t="s">
        <v>188</v>
      </c>
      <c r="C18" s="4" t="s">
        <v>189</v>
      </c>
      <c r="D18" s="5" t="s">
        <v>13</v>
      </c>
      <c r="E18" s="17">
        <v>14</v>
      </c>
      <c r="F18" s="6">
        <v>7.3</v>
      </c>
      <c r="G18" s="7">
        <f t="shared" ref="G18:G25" si="6">1-(F18/E18)</f>
        <v>0.47857142857142854</v>
      </c>
      <c r="H18" s="7"/>
      <c r="I18" s="7">
        <v>0.2</v>
      </c>
      <c r="J18" s="6">
        <f t="shared" ref="J18:J25" si="7">E18*(1-I18)</f>
        <v>11.200000000000001</v>
      </c>
      <c r="K18" s="6">
        <f t="shared" ref="K18:K101" si="8">J18-F18</f>
        <v>3.9000000000000012</v>
      </c>
      <c r="L18" s="7">
        <f t="shared" ref="L18:L25" si="9">1-(F18/J18)</f>
        <v>0.34821428571428581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tr">
        <f t="shared" si="5"/>
        <v>Jabra</v>
      </c>
      <c r="B19" s="149" t="str">
        <f>"GN-14207-40"</f>
        <v>GN-14207-40</v>
      </c>
      <c r="C19" s="4" t="str">
        <f>"Jabra Evolve 75 Charging Stand"</f>
        <v>Jabra Evolve 75 Charging Stand</v>
      </c>
      <c r="D19" s="5" t="s">
        <v>13</v>
      </c>
      <c r="E19" s="17">
        <v>62</v>
      </c>
      <c r="F19" s="6">
        <v>31.74</v>
      </c>
      <c r="G19" s="7">
        <f t="shared" si="6"/>
        <v>0.48806451612903223</v>
      </c>
      <c r="H19" s="7"/>
      <c r="I19" s="7">
        <v>0.2</v>
      </c>
      <c r="J19" s="6">
        <f t="shared" si="7"/>
        <v>49.6</v>
      </c>
      <c r="K19" s="6">
        <f t="shared" si="8"/>
        <v>17.860000000000003</v>
      </c>
      <c r="L19" s="7">
        <f t="shared" si="9"/>
        <v>0.36008064516129035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tr">
        <f t="shared" si="5"/>
        <v>Jabra</v>
      </c>
      <c r="B20" s="149" t="s">
        <v>190</v>
      </c>
      <c r="C20" s="4" t="s">
        <v>191</v>
      </c>
      <c r="D20" s="5" t="s">
        <v>13</v>
      </c>
      <c r="E20" s="17">
        <v>0</v>
      </c>
      <c r="F20" s="6">
        <v>0</v>
      </c>
      <c r="G20" s="7" t="e">
        <f t="shared" si="6"/>
        <v>#DIV/0!</v>
      </c>
      <c r="H20" s="7"/>
      <c r="I20" s="7">
        <v>0.2</v>
      </c>
      <c r="J20" s="6">
        <f t="shared" si="7"/>
        <v>0</v>
      </c>
      <c r="K20" s="6">
        <f t="shared" si="8"/>
        <v>0</v>
      </c>
      <c r="L20" s="7" t="e">
        <f t="shared" si="9"/>
        <v>#DIV/0!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tr">
        <f t="shared" si="5"/>
        <v>Jabra</v>
      </c>
      <c r="B21" s="149" t="s">
        <v>192</v>
      </c>
      <c r="C21" s="4" t="s">
        <v>193</v>
      </c>
      <c r="D21" s="5" t="s">
        <v>13</v>
      </c>
      <c r="E21" s="17">
        <v>75</v>
      </c>
      <c r="F21" s="6">
        <v>45.31</v>
      </c>
      <c r="G21" s="7">
        <f t="shared" si="6"/>
        <v>0.39586666666666659</v>
      </c>
      <c r="H21" s="7"/>
      <c r="I21" s="7">
        <v>0.2</v>
      </c>
      <c r="J21" s="6">
        <f t="shared" si="7"/>
        <v>60</v>
      </c>
      <c r="K21" s="6">
        <f t="shared" si="8"/>
        <v>14.689999999999998</v>
      </c>
      <c r="L21" s="7">
        <f t="shared" si="9"/>
        <v>0.24483333333333335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tr">
        <f t="shared" si="5"/>
        <v>Jabra</v>
      </c>
      <c r="B22" s="149" t="str">
        <f>"GN-14207-39"</f>
        <v>GN-14207-39</v>
      </c>
      <c r="C22" s="4" t="str">
        <f>"Jabra Evolve 65 Charging Stand"</f>
        <v>Jabra Evolve 65 Charging Stand</v>
      </c>
      <c r="D22" s="5" t="s">
        <v>13</v>
      </c>
      <c r="E22" s="17">
        <v>62</v>
      </c>
      <c r="F22" s="6">
        <v>31.64</v>
      </c>
      <c r="G22" s="7">
        <f t="shared" si="6"/>
        <v>0.48967741935483866</v>
      </c>
      <c r="H22" s="7"/>
      <c r="I22" s="7">
        <v>0.2</v>
      </c>
      <c r="J22" s="6">
        <f t="shared" si="7"/>
        <v>49.6</v>
      </c>
      <c r="K22" s="6">
        <f t="shared" si="8"/>
        <v>17.96</v>
      </c>
      <c r="L22" s="7">
        <f t="shared" si="9"/>
        <v>0.36209677419354835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tr">
        <f t="shared" si="5"/>
        <v>Jabra</v>
      </c>
      <c r="B23" s="149" t="s">
        <v>194</v>
      </c>
      <c r="C23" s="4" t="s">
        <v>195</v>
      </c>
      <c r="D23" s="5" t="s">
        <v>13</v>
      </c>
      <c r="E23" s="17">
        <v>79</v>
      </c>
      <c r="F23" s="6">
        <v>47.73</v>
      </c>
      <c r="G23" s="7">
        <f t="shared" si="6"/>
        <v>0.39582278481012667</v>
      </c>
      <c r="H23" s="7"/>
      <c r="I23" s="7">
        <v>0.2</v>
      </c>
      <c r="J23" s="6">
        <f t="shared" si="7"/>
        <v>63.2</v>
      </c>
      <c r="K23" s="6">
        <f t="shared" si="8"/>
        <v>15.470000000000006</v>
      </c>
      <c r="L23" s="7">
        <f t="shared" si="9"/>
        <v>0.24477848101265831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tr">
        <f t="shared" si="5"/>
        <v>Jabra</v>
      </c>
      <c r="B24" s="149" t="s">
        <v>196</v>
      </c>
      <c r="C24" s="4" t="s">
        <v>197</v>
      </c>
      <c r="D24" s="5" t="s">
        <v>13</v>
      </c>
      <c r="E24" s="17">
        <v>79</v>
      </c>
      <c r="F24" s="6">
        <v>47.73</v>
      </c>
      <c r="G24" s="7">
        <f t="shared" si="6"/>
        <v>0.39582278481012667</v>
      </c>
      <c r="H24" s="7"/>
      <c r="I24" s="7">
        <v>0.2</v>
      </c>
      <c r="J24" s="6">
        <f t="shared" si="7"/>
        <v>63.2</v>
      </c>
      <c r="K24" s="6">
        <f t="shared" si="8"/>
        <v>15.470000000000006</v>
      </c>
      <c r="L24" s="7">
        <f t="shared" si="9"/>
        <v>0.24477848101265831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8" t="str">
        <f t="shared" si="5"/>
        <v>Jabra</v>
      </c>
      <c r="B25" s="152" t="s">
        <v>198</v>
      </c>
      <c r="C25" s="8" t="s">
        <v>199</v>
      </c>
      <c r="D25" s="9" t="s">
        <v>13</v>
      </c>
      <c r="E25" s="18">
        <v>13</v>
      </c>
      <c r="F25" s="10">
        <v>7.04</v>
      </c>
      <c r="G25" s="11">
        <f t="shared" si="6"/>
        <v>0.45846153846153848</v>
      </c>
      <c r="H25" s="11"/>
      <c r="I25" s="11">
        <v>0.2</v>
      </c>
      <c r="J25" s="10">
        <f t="shared" si="7"/>
        <v>10.4</v>
      </c>
      <c r="K25" s="6">
        <f t="shared" si="8"/>
        <v>3.3600000000000003</v>
      </c>
      <c r="L25" s="11">
        <f t="shared" si="9"/>
        <v>0.32307692307692315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tr">
        <f t="shared" ref="A26:A31" si="10">"Jabra"</f>
        <v>Jabra</v>
      </c>
      <c r="B26" s="149" t="s">
        <v>200</v>
      </c>
      <c r="C26" s="4" t="s">
        <v>201</v>
      </c>
      <c r="D26" s="5" t="s">
        <v>13</v>
      </c>
      <c r="E26" s="17">
        <v>348</v>
      </c>
      <c r="F26" s="6">
        <v>192.51</v>
      </c>
      <c r="G26" s="7">
        <f t="shared" ref="G26:G31" si="11">1-(F26/E26)</f>
        <v>0.44681034482758619</v>
      </c>
      <c r="H26" s="7"/>
      <c r="I26" s="7">
        <v>0.2</v>
      </c>
      <c r="J26" s="6">
        <f t="shared" ref="J26:J31" si="12">E26*(1-I26)</f>
        <v>278.40000000000003</v>
      </c>
      <c r="K26" s="6">
        <f t="shared" si="8"/>
        <v>85.890000000000043</v>
      </c>
      <c r="L26" s="7">
        <f t="shared" ref="L26:L31" si="13">1-(F26/J26)</f>
        <v>0.30851293103448285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tr">
        <f t="shared" si="10"/>
        <v>Jabra</v>
      </c>
      <c r="B27" s="149" t="s">
        <v>202</v>
      </c>
      <c r="C27" s="4" t="s">
        <v>203</v>
      </c>
      <c r="D27" s="5" t="s">
        <v>13</v>
      </c>
      <c r="E27" s="17">
        <v>368</v>
      </c>
      <c r="F27" s="6">
        <v>203.57</v>
      </c>
      <c r="G27" s="7">
        <f t="shared" si="11"/>
        <v>0.44682065217391309</v>
      </c>
      <c r="H27" s="7"/>
      <c r="I27" s="7">
        <v>0.2</v>
      </c>
      <c r="J27" s="6">
        <f t="shared" si="12"/>
        <v>294.40000000000003</v>
      </c>
      <c r="K27" s="6">
        <f t="shared" si="8"/>
        <v>90.830000000000041</v>
      </c>
      <c r="L27" s="7">
        <f t="shared" si="13"/>
        <v>0.30852581521739142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tr">
        <f t="shared" si="10"/>
        <v>Jabra</v>
      </c>
      <c r="B28" s="149" t="s">
        <v>204</v>
      </c>
      <c r="C28" s="4" t="s">
        <v>205</v>
      </c>
      <c r="D28" s="5" t="s">
        <v>13</v>
      </c>
      <c r="E28" s="17">
        <v>375</v>
      </c>
      <c r="F28" s="6">
        <v>207.45</v>
      </c>
      <c r="G28" s="7">
        <f t="shared" si="11"/>
        <v>0.44679999999999997</v>
      </c>
      <c r="H28" s="7"/>
      <c r="I28" s="7">
        <v>0.2</v>
      </c>
      <c r="J28" s="6">
        <f t="shared" si="12"/>
        <v>300</v>
      </c>
      <c r="K28" s="6">
        <f t="shared" si="8"/>
        <v>92.550000000000011</v>
      </c>
      <c r="L28" s="7">
        <f t="shared" si="13"/>
        <v>0.3085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tr">
        <f t="shared" si="10"/>
        <v>Jabra</v>
      </c>
      <c r="B29" s="149" t="s">
        <v>206</v>
      </c>
      <c r="C29" s="4" t="s">
        <v>207</v>
      </c>
      <c r="D29" s="5" t="s">
        <v>13</v>
      </c>
      <c r="E29" s="17">
        <v>420</v>
      </c>
      <c r="F29" s="6">
        <v>232.34</v>
      </c>
      <c r="G29" s="7">
        <f t="shared" si="11"/>
        <v>0.44680952380952377</v>
      </c>
      <c r="H29" s="7"/>
      <c r="I29" s="7">
        <v>0.2</v>
      </c>
      <c r="J29" s="6">
        <f t="shared" si="12"/>
        <v>336</v>
      </c>
      <c r="K29" s="6">
        <f t="shared" si="8"/>
        <v>103.66</v>
      </c>
      <c r="L29" s="7">
        <f t="shared" si="13"/>
        <v>0.30851190476190471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tr">
        <f t="shared" si="10"/>
        <v>Jabra</v>
      </c>
      <c r="B30" s="149" t="s">
        <v>208</v>
      </c>
      <c r="C30" s="4" t="s">
        <v>209</v>
      </c>
      <c r="D30" s="5" t="s">
        <v>13</v>
      </c>
      <c r="E30" s="17">
        <v>440</v>
      </c>
      <c r="F30" s="6">
        <v>243.4</v>
      </c>
      <c r="G30" s="7">
        <f t="shared" si="11"/>
        <v>0.44681818181818178</v>
      </c>
      <c r="H30" s="7"/>
      <c r="I30" s="7">
        <v>0.2</v>
      </c>
      <c r="J30" s="6">
        <f t="shared" si="12"/>
        <v>352</v>
      </c>
      <c r="K30" s="6">
        <f t="shared" si="8"/>
        <v>108.6</v>
      </c>
      <c r="L30" s="7">
        <f t="shared" si="13"/>
        <v>0.30852272727272723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19" t="str">
        <f t="shared" si="10"/>
        <v>Jabra</v>
      </c>
      <c r="B31" s="153" t="str">
        <f>"GN-9559-583-125"</f>
        <v>GN-9559-583-125</v>
      </c>
      <c r="C31" s="19" t="str">
        <f>"Jabra Engage 75 Stereo"</f>
        <v>Jabra Engage 75 Stereo</v>
      </c>
      <c r="D31" s="20" t="s">
        <v>13</v>
      </c>
      <c r="E31" s="21">
        <v>440</v>
      </c>
      <c r="F31" s="22">
        <v>243.4</v>
      </c>
      <c r="G31" s="23">
        <f t="shared" si="11"/>
        <v>0.44681818181818178</v>
      </c>
      <c r="H31" s="23"/>
      <c r="I31" s="23">
        <v>0.2</v>
      </c>
      <c r="J31" s="22">
        <f t="shared" si="12"/>
        <v>352</v>
      </c>
      <c r="K31" s="6">
        <f t="shared" si="8"/>
        <v>108.6</v>
      </c>
      <c r="L31" s="23">
        <f t="shared" si="13"/>
        <v>0.30852272727272723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tr">
        <f t="shared" ref="A32:A46" si="14">"Jabra"</f>
        <v>Jabra</v>
      </c>
      <c r="B32" s="149" t="s">
        <v>210</v>
      </c>
      <c r="C32" s="4" t="s">
        <v>211</v>
      </c>
      <c r="D32" s="5" t="s">
        <v>13</v>
      </c>
      <c r="E32" s="17">
        <v>90</v>
      </c>
      <c r="F32" s="6">
        <v>49.79</v>
      </c>
      <c r="G32" s="7">
        <f t="shared" ref="G32:G46" si="15">1-(F32/E32)</f>
        <v>0.44677777777777783</v>
      </c>
      <c r="H32" s="7"/>
      <c r="I32" s="7">
        <v>0.2</v>
      </c>
      <c r="J32" s="6">
        <f t="shared" ref="J32:J46" si="16">E32*(1-I32)</f>
        <v>72</v>
      </c>
      <c r="K32" s="6">
        <f t="shared" si="8"/>
        <v>22.21</v>
      </c>
      <c r="L32" s="7">
        <f t="shared" ref="L32:L46" si="17">1-(F32/J32)</f>
        <v>0.30847222222222226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tr">
        <f t="shared" si="14"/>
        <v>Jabra</v>
      </c>
      <c r="B33" s="149" t="s">
        <v>212</v>
      </c>
      <c r="C33" s="4" t="s">
        <v>213</v>
      </c>
      <c r="D33" s="5" t="s">
        <v>13</v>
      </c>
      <c r="E33" s="17">
        <v>90</v>
      </c>
      <c r="F33" s="6">
        <v>49.79</v>
      </c>
      <c r="G33" s="7">
        <f t="shared" si="15"/>
        <v>0.44677777777777783</v>
      </c>
      <c r="H33" s="7"/>
      <c r="I33" s="7">
        <v>0.2</v>
      </c>
      <c r="J33" s="6">
        <f t="shared" si="16"/>
        <v>72</v>
      </c>
      <c r="K33" s="6">
        <f t="shared" si="8"/>
        <v>22.21</v>
      </c>
      <c r="L33" s="7">
        <f t="shared" si="17"/>
        <v>0.30847222222222226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tr">
        <f t="shared" si="14"/>
        <v>Jabra</v>
      </c>
      <c r="B34" s="149" t="s">
        <v>214</v>
      </c>
      <c r="C34" s="4" t="s">
        <v>215</v>
      </c>
      <c r="D34" s="5" t="s">
        <v>13</v>
      </c>
      <c r="E34" s="17">
        <v>18</v>
      </c>
      <c r="F34" s="6">
        <v>9.9600000000000009</v>
      </c>
      <c r="G34" s="7">
        <f t="shared" si="15"/>
        <v>0.44666666666666666</v>
      </c>
      <c r="H34" s="7"/>
      <c r="I34" s="7">
        <v>0.2</v>
      </c>
      <c r="J34" s="6">
        <f t="shared" si="16"/>
        <v>14.4</v>
      </c>
      <c r="K34" s="6">
        <f t="shared" si="8"/>
        <v>4.4399999999999995</v>
      </c>
      <c r="L34" s="7">
        <f t="shared" si="17"/>
        <v>0.30833333333333324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tr">
        <f t="shared" si="14"/>
        <v>Jabra</v>
      </c>
      <c r="B35" s="149" t="s">
        <v>216</v>
      </c>
      <c r="C35" s="4" t="s">
        <v>217</v>
      </c>
      <c r="D35" s="5" t="s">
        <v>13</v>
      </c>
      <c r="E35" s="17">
        <v>18</v>
      </c>
      <c r="F35" s="6">
        <v>9.9600000000000009</v>
      </c>
      <c r="G35" s="7">
        <f t="shared" si="15"/>
        <v>0.44666666666666666</v>
      </c>
      <c r="H35" s="7"/>
      <c r="I35" s="7">
        <v>0.2</v>
      </c>
      <c r="J35" s="6">
        <f t="shared" si="16"/>
        <v>14.4</v>
      </c>
      <c r="K35" s="6">
        <f t="shared" si="8"/>
        <v>4.4399999999999995</v>
      </c>
      <c r="L35" s="7">
        <f t="shared" si="17"/>
        <v>0.30833333333333324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tr">
        <f t="shared" si="14"/>
        <v>Jabra</v>
      </c>
      <c r="B36" s="149" t="s">
        <v>218</v>
      </c>
      <c r="C36" s="4" t="s">
        <v>219</v>
      </c>
      <c r="D36" s="5" t="s">
        <v>13</v>
      </c>
      <c r="E36" s="17">
        <v>35</v>
      </c>
      <c r="F36" s="6">
        <v>19.36</v>
      </c>
      <c r="G36" s="7">
        <f t="shared" si="15"/>
        <v>0.44685714285714284</v>
      </c>
      <c r="H36" s="7"/>
      <c r="I36" s="7">
        <v>0.2</v>
      </c>
      <c r="J36" s="6">
        <f t="shared" si="16"/>
        <v>28</v>
      </c>
      <c r="K36" s="6">
        <f t="shared" si="8"/>
        <v>8.64</v>
      </c>
      <c r="L36" s="7">
        <f t="shared" si="17"/>
        <v>0.30857142857142861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tr">
        <f t="shared" si="14"/>
        <v>Jabra</v>
      </c>
      <c r="B37" s="149" t="s">
        <v>220</v>
      </c>
      <c r="C37" s="4" t="s">
        <v>221</v>
      </c>
      <c r="D37" s="5" t="s">
        <v>13</v>
      </c>
      <c r="E37" s="16">
        <v>20</v>
      </c>
      <c r="F37" s="6">
        <v>11.06</v>
      </c>
      <c r="G37" s="7">
        <f t="shared" si="15"/>
        <v>0.44699999999999995</v>
      </c>
      <c r="H37" s="7"/>
      <c r="I37" s="7">
        <v>0.2</v>
      </c>
      <c r="J37" s="6">
        <f t="shared" si="16"/>
        <v>16</v>
      </c>
      <c r="K37" s="6">
        <f t="shared" si="8"/>
        <v>4.9399999999999995</v>
      </c>
      <c r="L37" s="7">
        <f t="shared" si="17"/>
        <v>0.30874999999999997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tr">
        <f t="shared" si="14"/>
        <v>Jabra</v>
      </c>
      <c r="B38" s="149" t="s">
        <v>222</v>
      </c>
      <c r="C38" s="4" t="s">
        <v>223</v>
      </c>
      <c r="D38" s="5" t="s">
        <v>13</v>
      </c>
      <c r="E38" s="16">
        <v>20</v>
      </c>
      <c r="F38" s="6">
        <v>11.06</v>
      </c>
      <c r="G38" s="7">
        <f t="shared" si="15"/>
        <v>0.44699999999999995</v>
      </c>
      <c r="H38" s="7"/>
      <c r="I38" s="7">
        <v>0.2</v>
      </c>
      <c r="J38" s="6">
        <f t="shared" si="16"/>
        <v>16</v>
      </c>
      <c r="K38" s="6">
        <f t="shared" si="8"/>
        <v>4.9399999999999995</v>
      </c>
      <c r="L38" s="7">
        <f t="shared" si="17"/>
        <v>0.30874999999999997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tr">
        <f t="shared" si="14"/>
        <v>Jabra</v>
      </c>
      <c r="B39" s="149" t="s">
        <v>224</v>
      </c>
      <c r="C39" s="4" t="s">
        <v>225</v>
      </c>
      <c r="D39" s="5" t="s">
        <v>13</v>
      </c>
      <c r="E39" s="16">
        <v>20</v>
      </c>
      <c r="F39" s="6">
        <v>11.06</v>
      </c>
      <c r="G39" s="7">
        <f t="shared" si="15"/>
        <v>0.44699999999999995</v>
      </c>
      <c r="H39" s="7"/>
      <c r="I39" s="7">
        <v>0.2</v>
      </c>
      <c r="J39" s="6">
        <f t="shared" si="16"/>
        <v>16</v>
      </c>
      <c r="K39" s="6">
        <f t="shared" si="8"/>
        <v>4.9399999999999995</v>
      </c>
      <c r="L39" s="7">
        <f t="shared" si="17"/>
        <v>0.30874999999999997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tr">
        <f t="shared" si="14"/>
        <v>Jabra</v>
      </c>
      <c r="B40" s="149" t="s">
        <v>226</v>
      </c>
      <c r="C40" s="4" t="s">
        <v>227</v>
      </c>
      <c r="D40" s="5" t="s">
        <v>13</v>
      </c>
      <c r="E40" s="16">
        <v>20</v>
      </c>
      <c r="F40" s="6">
        <v>11.06</v>
      </c>
      <c r="G40" s="7">
        <f t="shared" si="15"/>
        <v>0.44699999999999995</v>
      </c>
      <c r="H40" s="7"/>
      <c r="I40" s="7">
        <v>0.2</v>
      </c>
      <c r="J40" s="6">
        <f t="shared" si="16"/>
        <v>16</v>
      </c>
      <c r="K40" s="6">
        <f t="shared" si="8"/>
        <v>4.9399999999999995</v>
      </c>
      <c r="L40" s="7">
        <f t="shared" si="17"/>
        <v>0.30874999999999997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tr">
        <f t="shared" si="14"/>
        <v>Jabra</v>
      </c>
      <c r="B41" s="149" t="s">
        <v>228</v>
      </c>
      <c r="C41" s="4" t="s">
        <v>229</v>
      </c>
      <c r="D41" s="5" t="s">
        <v>13</v>
      </c>
      <c r="E41" s="16">
        <v>25</v>
      </c>
      <c r="F41" s="6">
        <v>13.83</v>
      </c>
      <c r="G41" s="7">
        <f t="shared" si="15"/>
        <v>0.44679999999999997</v>
      </c>
      <c r="H41" s="7"/>
      <c r="I41" s="7">
        <v>0.2</v>
      </c>
      <c r="J41" s="6">
        <f t="shared" si="16"/>
        <v>20</v>
      </c>
      <c r="K41" s="6">
        <f t="shared" si="8"/>
        <v>6.17</v>
      </c>
      <c r="L41" s="7">
        <f t="shared" si="17"/>
        <v>0.3085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tr">
        <f t="shared" si="14"/>
        <v>Jabra</v>
      </c>
      <c r="B42" s="149" t="s">
        <v>230</v>
      </c>
      <c r="C42" s="4" t="s">
        <v>231</v>
      </c>
      <c r="D42" s="5" t="s">
        <v>13</v>
      </c>
      <c r="E42" s="16">
        <v>30</v>
      </c>
      <c r="F42" s="6">
        <v>16.600000000000001</v>
      </c>
      <c r="G42" s="7">
        <f t="shared" si="15"/>
        <v>0.44666666666666666</v>
      </c>
      <c r="H42" s="7"/>
      <c r="I42" s="7">
        <v>0.2</v>
      </c>
      <c r="J42" s="6">
        <f t="shared" si="16"/>
        <v>24</v>
      </c>
      <c r="K42" s="6">
        <f t="shared" si="8"/>
        <v>7.3999999999999986</v>
      </c>
      <c r="L42" s="7">
        <f t="shared" si="17"/>
        <v>0.30833333333333324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tr">
        <f t="shared" si="14"/>
        <v>Jabra</v>
      </c>
      <c r="B43" s="149" t="s">
        <v>232</v>
      </c>
      <c r="C43" s="4" t="s">
        <v>233</v>
      </c>
      <c r="D43" s="5" t="s">
        <v>13</v>
      </c>
      <c r="E43" s="16">
        <v>190</v>
      </c>
      <c r="F43" s="6">
        <v>105.11</v>
      </c>
      <c r="G43" s="7">
        <f t="shared" si="15"/>
        <v>0.44678947368421051</v>
      </c>
      <c r="H43" s="7"/>
      <c r="I43" s="7">
        <v>0.2</v>
      </c>
      <c r="J43" s="6">
        <f t="shared" si="16"/>
        <v>152</v>
      </c>
      <c r="K43" s="6">
        <f t="shared" si="8"/>
        <v>46.89</v>
      </c>
      <c r="L43" s="7">
        <f t="shared" si="17"/>
        <v>0.30848684210526311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tr">
        <f t="shared" si="14"/>
        <v>Jabra</v>
      </c>
      <c r="B44" s="149" t="s">
        <v>234</v>
      </c>
      <c r="C44" s="4" t="s">
        <v>235</v>
      </c>
      <c r="D44" s="5" t="s">
        <v>13</v>
      </c>
      <c r="E44" s="16">
        <v>200</v>
      </c>
      <c r="F44" s="6">
        <v>110.64</v>
      </c>
      <c r="G44" s="7">
        <f t="shared" si="15"/>
        <v>0.44679999999999997</v>
      </c>
      <c r="H44" s="7"/>
      <c r="I44" s="7">
        <v>0.2</v>
      </c>
      <c r="J44" s="6">
        <f t="shared" si="16"/>
        <v>160</v>
      </c>
      <c r="K44" s="6">
        <f t="shared" si="8"/>
        <v>49.36</v>
      </c>
      <c r="L44" s="7">
        <f t="shared" si="17"/>
        <v>0.3085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tr">
        <f t="shared" si="14"/>
        <v>Jabra</v>
      </c>
      <c r="B45" s="149" t="s">
        <v>236</v>
      </c>
      <c r="C45" s="4" t="s">
        <v>237</v>
      </c>
      <c r="D45" s="5" t="s">
        <v>13</v>
      </c>
      <c r="E45" s="16">
        <v>200</v>
      </c>
      <c r="F45" s="6">
        <v>110.64</v>
      </c>
      <c r="G45" s="7">
        <f t="shared" si="15"/>
        <v>0.44679999999999997</v>
      </c>
      <c r="H45" s="7"/>
      <c r="I45" s="7">
        <v>0.2</v>
      </c>
      <c r="J45" s="6">
        <f t="shared" si="16"/>
        <v>160</v>
      </c>
      <c r="K45" s="6">
        <f t="shared" si="8"/>
        <v>49.36</v>
      </c>
      <c r="L45" s="7">
        <f t="shared" si="17"/>
        <v>0.3085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8" t="str">
        <f t="shared" si="14"/>
        <v>Jabra</v>
      </c>
      <c r="B46" s="152" t="s">
        <v>238</v>
      </c>
      <c r="C46" s="8" t="s">
        <v>239</v>
      </c>
      <c r="D46" s="9" t="s">
        <v>13</v>
      </c>
      <c r="E46" s="24">
        <v>30</v>
      </c>
      <c r="F46" s="10">
        <v>16.600000000000001</v>
      </c>
      <c r="G46" s="11">
        <f t="shared" si="15"/>
        <v>0.44666666666666666</v>
      </c>
      <c r="H46" s="11"/>
      <c r="I46" s="11">
        <v>0.2</v>
      </c>
      <c r="J46" s="10">
        <f t="shared" si="16"/>
        <v>24</v>
      </c>
      <c r="K46" s="6">
        <f t="shared" si="8"/>
        <v>7.3999999999999986</v>
      </c>
      <c r="L46" s="11">
        <f t="shared" si="17"/>
        <v>0.30833333333333324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tr">
        <f t="shared" ref="A47:A58" si="18">"Jabra"</f>
        <v>Jabra</v>
      </c>
      <c r="B47" s="149" t="str">
        <f>"GN-9450-65-507-105"</f>
        <v>GN-9450-65-507-105</v>
      </c>
      <c r="C47" s="4" t="str">
        <f>"JABRA PRO 9450 MONO BT HEADSET"</f>
        <v>JABRA PRO 9450 MONO BT HEADSET</v>
      </c>
      <c r="D47" s="5" t="s">
        <v>13</v>
      </c>
      <c r="E47" s="17">
        <v>348</v>
      </c>
      <c r="F47" s="6">
        <v>192.51</v>
      </c>
      <c r="G47" s="7">
        <f t="shared" ref="G47:G58" si="19">1-(F47/E47)</f>
        <v>0.44681034482758619</v>
      </c>
      <c r="H47" s="7"/>
      <c r="I47" s="7">
        <v>0.2</v>
      </c>
      <c r="J47" s="6">
        <f t="shared" ref="J47:J58" si="20">E47*(1-I47)</f>
        <v>278.40000000000003</v>
      </c>
      <c r="K47" s="6">
        <f t="shared" si="8"/>
        <v>85.890000000000043</v>
      </c>
      <c r="L47" s="7">
        <f t="shared" ref="L47:L58" si="21">1-(F47/J47)</f>
        <v>0.30851293103448285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tr">
        <f t="shared" si="18"/>
        <v>Jabra</v>
      </c>
      <c r="B48" s="149" t="str">
        <f>"GN--GSA9450-65-507-105"</f>
        <v>GN--GSA9450-65-507-105</v>
      </c>
      <c r="C48" s="4" t="str">
        <f>"JABRA PRO 9450 NCSA MONO BT HEADSET"</f>
        <v>JABRA PRO 9450 NCSA MONO BT HEADSET</v>
      </c>
      <c r="D48" s="5" t="s">
        <v>13</v>
      </c>
      <c r="E48" s="6">
        <v>348</v>
      </c>
      <c r="F48" s="6">
        <v>192.51</v>
      </c>
      <c r="G48" s="7">
        <f t="shared" si="19"/>
        <v>0.44681034482758619</v>
      </c>
      <c r="H48" s="7"/>
      <c r="I48" s="7">
        <v>0.2</v>
      </c>
      <c r="J48" s="6">
        <f t="shared" si="20"/>
        <v>278.40000000000003</v>
      </c>
      <c r="K48" s="6">
        <f t="shared" si="8"/>
        <v>85.890000000000043</v>
      </c>
      <c r="L48" s="7">
        <f t="shared" si="21"/>
        <v>0.30851293103448285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tr">
        <f t="shared" si="18"/>
        <v>Jabra</v>
      </c>
      <c r="B49" s="149" t="s">
        <v>240</v>
      </c>
      <c r="C49" s="4" t="s">
        <v>241</v>
      </c>
      <c r="D49" s="5" t="s">
        <v>13</v>
      </c>
      <c r="E49" s="17">
        <v>375</v>
      </c>
      <c r="F49" s="6">
        <v>176.33</v>
      </c>
      <c r="G49" s="7">
        <f t="shared" si="19"/>
        <v>0.52978666666666663</v>
      </c>
      <c r="H49" s="7"/>
      <c r="I49" s="7">
        <v>0.2</v>
      </c>
      <c r="J49" s="6">
        <f t="shared" si="20"/>
        <v>300</v>
      </c>
      <c r="K49" s="6">
        <f t="shared" si="8"/>
        <v>123.66999999999999</v>
      </c>
      <c r="L49" s="7">
        <f t="shared" si="21"/>
        <v>0.41223333333333334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tr">
        <f t="shared" si="18"/>
        <v>Jabra</v>
      </c>
      <c r="B50" s="149" t="str">
        <f>"GN-9450-65-707-105"</f>
        <v>GN-9450-65-707-105</v>
      </c>
      <c r="C50" s="4" t="str">
        <f>"JABRA PRO 9450 FLEX MONO WL"</f>
        <v>JABRA PRO 9450 FLEX MONO WL</v>
      </c>
      <c r="D50" s="5" t="s">
        <v>13</v>
      </c>
      <c r="E50" s="17">
        <v>348</v>
      </c>
      <c r="F50" s="6">
        <v>192.52</v>
      </c>
      <c r="G50" s="7">
        <f t="shared" si="19"/>
        <v>0.44678160919540222</v>
      </c>
      <c r="H50" s="7"/>
      <c r="I50" s="7">
        <v>0.2</v>
      </c>
      <c r="J50" s="6">
        <f t="shared" si="20"/>
        <v>278.40000000000003</v>
      </c>
      <c r="K50" s="6">
        <f t="shared" si="8"/>
        <v>85.880000000000024</v>
      </c>
      <c r="L50" s="7">
        <f t="shared" si="21"/>
        <v>0.30847701149425288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tr">
        <f t="shared" si="18"/>
        <v>Jabra</v>
      </c>
      <c r="B51" s="149" t="str">
        <f>"GN-9450-65-707-105-DC"</f>
        <v>GN-9450-65-707-105-DC</v>
      </c>
      <c r="C51" s="4" t="s">
        <v>242</v>
      </c>
      <c r="D51" s="5" t="s">
        <v>13</v>
      </c>
      <c r="E51" s="17">
        <v>348</v>
      </c>
      <c r="F51" s="6">
        <v>192.51</v>
      </c>
      <c r="G51" s="7">
        <f t="shared" si="19"/>
        <v>0.44681034482758619</v>
      </c>
      <c r="H51" s="7"/>
      <c r="I51" s="7">
        <v>0.2</v>
      </c>
      <c r="J51" s="6">
        <f t="shared" si="20"/>
        <v>278.40000000000003</v>
      </c>
      <c r="K51" s="6">
        <f t="shared" si="8"/>
        <v>85.890000000000043</v>
      </c>
      <c r="L51" s="7">
        <f t="shared" si="21"/>
        <v>0.30851293103448285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tr">
        <f t="shared" si="18"/>
        <v>Jabra</v>
      </c>
      <c r="B52" s="149" t="s">
        <v>243</v>
      </c>
      <c r="C52" s="4" t="s">
        <v>244</v>
      </c>
      <c r="D52" s="5" t="s">
        <v>13</v>
      </c>
      <c r="E52" s="17">
        <v>375</v>
      </c>
      <c r="F52" s="6">
        <v>176.33</v>
      </c>
      <c r="G52" s="7">
        <f t="shared" si="19"/>
        <v>0.52978666666666663</v>
      </c>
      <c r="H52" s="7"/>
      <c r="I52" s="7">
        <v>0.2</v>
      </c>
      <c r="J52" s="6">
        <f t="shared" si="20"/>
        <v>300</v>
      </c>
      <c r="K52" s="6">
        <f t="shared" si="8"/>
        <v>123.66999999999999</v>
      </c>
      <c r="L52" s="7">
        <f t="shared" si="21"/>
        <v>0.41223333333333334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tr">
        <f t="shared" si="18"/>
        <v>Jabra</v>
      </c>
      <c r="B53" s="149" t="s">
        <v>245</v>
      </c>
      <c r="C53" s="4" t="s">
        <v>246</v>
      </c>
      <c r="D53" s="5" t="s">
        <v>13</v>
      </c>
      <c r="E53" s="17">
        <v>410</v>
      </c>
      <c r="F53" s="6">
        <v>226.81</v>
      </c>
      <c r="G53" s="7">
        <f t="shared" si="19"/>
        <v>0.44680487804878044</v>
      </c>
      <c r="H53" s="7"/>
      <c r="I53" s="7">
        <v>0.2</v>
      </c>
      <c r="J53" s="6">
        <f t="shared" si="20"/>
        <v>328</v>
      </c>
      <c r="K53" s="6">
        <f t="shared" si="8"/>
        <v>101.19</v>
      </c>
      <c r="L53" s="7">
        <f t="shared" si="21"/>
        <v>0.30850609756097558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tr">
        <f t="shared" si="18"/>
        <v>Jabra</v>
      </c>
      <c r="B54" s="149" t="str">
        <f>"GN-9460-65-707-105"</f>
        <v>GN-9460-65-707-105</v>
      </c>
      <c r="C54" s="4" t="str">
        <f>"JABRA PRO 9460 NC 400FT DESK"</f>
        <v>JABRA PRO 9460 NC 400FT DESK</v>
      </c>
      <c r="D54" s="5" t="s">
        <v>13</v>
      </c>
      <c r="E54" s="17">
        <v>392</v>
      </c>
      <c r="F54" s="6">
        <v>216.85</v>
      </c>
      <c r="G54" s="7">
        <f t="shared" si="19"/>
        <v>0.44681122448979593</v>
      </c>
      <c r="H54" s="7"/>
      <c r="I54" s="7">
        <v>0.2</v>
      </c>
      <c r="J54" s="6">
        <f t="shared" si="20"/>
        <v>313.60000000000002</v>
      </c>
      <c r="K54" s="6">
        <f t="shared" si="8"/>
        <v>96.750000000000028</v>
      </c>
      <c r="L54" s="7">
        <f t="shared" si="21"/>
        <v>0.30851403061224492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tr">
        <f t="shared" si="18"/>
        <v>Jabra</v>
      </c>
      <c r="B55" s="149" t="s">
        <v>247</v>
      </c>
      <c r="C55" s="4" t="s">
        <v>248</v>
      </c>
      <c r="D55" s="5" t="s">
        <v>13</v>
      </c>
      <c r="E55" s="17">
        <v>392</v>
      </c>
      <c r="F55" s="6">
        <v>216.85</v>
      </c>
      <c r="G55" s="7">
        <f t="shared" si="19"/>
        <v>0.44681122448979593</v>
      </c>
      <c r="H55" s="7"/>
      <c r="I55" s="7">
        <v>0.2</v>
      </c>
      <c r="J55" s="6">
        <f t="shared" si="20"/>
        <v>313.60000000000002</v>
      </c>
      <c r="K55" s="6">
        <f t="shared" si="8"/>
        <v>96.750000000000028</v>
      </c>
      <c r="L55" s="7">
        <f t="shared" si="21"/>
        <v>0.30851403061224492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tr">
        <f t="shared" si="18"/>
        <v>Jabra</v>
      </c>
      <c r="B56" s="149" t="s">
        <v>249</v>
      </c>
      <c r="C56" s="4" t="s">
        <v>250</v>
      </c>
      <c r="D56" s="5" t="s">
        <v>13</v>
      </c>
      <c r="E56" s="17">
        <v>439.95</v>
      </c>
      <c r="F56" s="6">
        <v>243.37</v>
      </c>
      <c r="G56" s="7">
        <f t="shared" si="19"/>
        <v>0.44682350267075799</v>
      </c>
      <c r="H56" s="7"/>
      <c r="I56" s="7">
        <v>0.2</v>
      </c>
      <c r="J56" s="6">
        <f t="shared" si="20"/>
        <v>351.96000000000004</v>
      </c>
      <c r="K56" s="6">
        <f t="shared" si="8"/>
        <v>108.59000000000003</v>
      </c>
      <c r="L56" s="7">
        <f t="shared" si="21"/>
        <v>0.30852937833844762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tr">
        <f t="shared" si="18"/>
        <v>Jabra</v>
      </c>
      <c r="B57" s="149" t="str">
        <f>"GN-9470-66-904-105"</f>
        <v>GN-9470-66-904-105</v>
      </c>
      <c r="C57" s="4" t="str">
        <f>"JABRA PRO 9470 1.9G TRILINK SYS"</f>
        <v>JABRA PRO 9470 1.9G TRILINK SYS</v>
      </c>
      <c r="D57" s="5" t="s">
        <v>13</v>
      </c>
      <c r="E57" s="17">
        <v>419.95</v>
      </c>
      <c r="F57" s="6">
        <v>232.31</v>
      </c>
      <c r="G57" s="7">
        <f t="shared" si="19"/>
        <v>0.44681509703536137</v>
      </c>
      <c r="H57" s="7"/>
      <c r="I57" s="7">
        <v>0.2</v>
      </c>
      <c r="J57" s="6">
        <f t="shared" si="20"/>
        <v>335.96000000000004</v>
      </c>
      <c r="K57" s="6">
        <f t="shared" si="8"/>
        <v>103.65000000000003</v>
      </c>
      <c r="L57" s="7">
        <f t="shared" si="21"/>
        <v>0.30851887129420175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19" t="str">
        <f t="shared" si="18"/>
        <v>Jabra</v>
      </c>
      <c r="B58" s="153" t="s">
        <v>251</v>
      </c>
      <c r="C58" s="19" t="s">
        <v>252</v>
      </c>
      <c r="D58" s="20" t="s">
        <v>13</v>
      </c>
      <c r="E58" s="21">
        <v>419.95</v>
      </c>
      <c r="F58" s="22">
        <v>232.31</v>
      </c>
      <c r="G58" s="23">
        <f t="shared" si="19"/>
        <v>0.44681509703536137</v>
      </c>
      <c r="H58" s="23"/>
      <c r="I58" s="23">
        <v>0.2</v>
      </c>
      <c r="J58" s="22">
        <f t="shared" si="20"/>
        <v>335.96000000000004</v>
      </c>
      <c r="K58" s="6">
        <f t="shared" si="8"/>
        <v>103.65000000000003</v>
      </c>
      <c r="L58" s="23">
        <f t="shared" si="21"/>
        <v>0.30851887129420175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tr">
        <f t="shared" ref="A59:A74" si="22">"Jabra"</f>
        <v>Jabra</v>
      </c>
      <c r="B59" s="149" t="str">
        <f>"GN-14401-01"</f>
        <v>GN-14401-01</v>
      </c>
      <c r="C59" s="4" t="str">
        <f>"REPLACEMENT PRO 9470 MONAURAL NC"</f>
        <v>REPLACEMENT PRO 9470 MONAURAL NC</v>
      </c>
      <c r="D59" s="5" t="s">
        <v>13</v>
      </c>
      <c r="E59" s="17">
        <v>150</v>
      </c>
      <c r="F59" s="6">
        <v>82.98</v>
      </c>
      <c r="G59" s="7">
        <f t="shared" ref="G59:G74" si="23">1-(F59/E59)</f>
        <v>0.44679999999999997</v>
      </c>
      <c r="H59" s="7"/>
      <c r="I59" s="7">
        <v>0.2</v>
      </c>
      <c r="J59" s="6">
        <f t="shared" ref="J59:J74" si="24">E59*(1-I59)</f>
        <v>120</v>
      </c>
      <c r="K59" s="6">
        <f t="shared" si="8"/>
        <v>37.019999999999996</v>
      </c>
      <c r="L59" s="7">
        <f t="shared" ref="L59:L74" si="25">1-(F59/J59)</f>
        <v>0.3085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tr">
        <f t="shared" si="22"/>
        <v>Jabra</v>
      </c>
      <c r="B60" s="149" t="str">
        <f>"GN-14401-03"</f>
        <v>GN-14401-03</v>
      </c>
      <c r="C60" s="4" t="str">
        <f>"REPLACEMENT PRO 9460/9465 MONAURAL DUO"</f>
        <v>REPLACEMENT PRO 9460/9465 MONAURAL DUO</v>
      </c>
      <c r="D60" s="5" t="s">
        <v>13</v>
      </c>
      <c r="E60" s="17">
        <v>150</v>
      </c>
      <c r="F60" s="6">
        <v>82.98</v>
      </c>
      <c r="G60" s="7">
        <f t="shared" si="23"/>
        <v>0.44679999999999997</v>
      </c>
      <c r="H60" s="7"/>
      <c r="I60" s="7">
        <v>0.2</v>
      </c>
      <c r="J60" s="6">
        <f t="shared" si="24"/>
        <v>120</v>
      </c>
      <c r="K60" s="6">
        <f t="shared" si="8"/>
        <v>37.019999999999996</v>
      </c>
      <c r="L60" s="7">
        <f t="shared" si="25"/>
        <v>0.3085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tr">
        <f t="shared" si="22"/>
        <v>Jabra</v>
      </c>
      <c r="B61" s="149" t="str">
        <f>"GN-14401-05"</f>
        <v>GN-14401-05</v>
      </c>
      <c r="C61" s="4" t="str">
        <f>"REPLACEMENT PRO 9460 MONAURAL NC FLEX-BOOM"</f>
        <v>REPLACEMENT PRO 9460 MONAURAL NC FLEX-BOOM</v>
      </c>
      <c r="D61" s="5" t="s">
        <v>13</v>
      </c>
      <c r="E61" s="17">
        <v>150</v>
      </c>
      <c r="F61" s="6">
        <v>82.98</v>
      </c>
      <c r="G61" s="7">
        <f t="shared" si="23"/>
        <v>0.44679999999999997</v>
      </c>
      <c r="H61" s="7"/>
      <c r="I61" s="7">
        <v>0.2</v>
      </c>
      <c r="J61" s="6">
        <f t="shared" si="24"/>
        <v>120</v>
      </c>
      <c r="K61" s="6">
        <f t="shared" si="8"/>
        <v>37.019999999999996</v>
      </c>
      <c r="L61" s="7">
        <f t="shared" si="25"/>
        <v>0.3085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tr">
        <f t="shared" si="22"/>
        <v>Jabra</v>
      </c>
      <c r="B62" s="149" t="s">
        <v>253</v>
      </c>
      <c r="C62" s="4" t="str">
        <f>"REPLACEMENT PRO 9450 MONAURAL NC MIDI-BOOM"</f>
        <v>REPLACEMENT PRO 9450 MONAURAL NC MIDI-BOOM</v>
      </c>
      <c r="D62" s="5" t="s">
        <v>13</v>
      </c>
      <c r="E62" s="17">
        <v>150</v>
      </c>
      <c r="F62" s="6">
        <v>82.98</v>
      </c>
      <c r="G62" s="7">
        <f t="shared" si="23"/>
        <v>0.44679999999999997</v>
      </c>
      <c r="H62" s="7"/>
      <c r="I62" s="7">
        <v>0.2</v>
      </c>
      <c r="J62" s="6">
        <f t="shared" si="24"/>
        <v>120</v>
      </c>
      <c r="K62" s="6">
        <f t="shared" si="8"/>
        <v>37.019999999999996</v>
      </c>
      <c r="L62" s="7">
        <f t="shared" si="25"/>
        <v>0.3085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tr">
        <f t="shared" si="22"/>
        <v>Jabra</v>
      </c>
      <c r="B63" s="149" t="s">
        <v>254</v>
      </c>
      <c r="C63" s="4" t="s">
        <v>255</v>
      </c>
      <c r="D63" s="5" t="s">
        <v>13</v>
      </c>
      <c r="E63" s="17">
        <v>12</v>
      </c>
      <c r="F63" s="6">
        <v>6.64</v>
      </c>
      <c r="G63" s="7">
        <f t="shared" si="23"/>
        <v>0.44666666666666666</v>
      </c>
      <c r="H63" s="7"/>
      <c r="I63" s="7">
        <v>0.2</v>
      </c>
      <c r="J63" s="6">
        <f t="shared" si="24"/>
        <v>9.6000000000000014</v>
      </c>
      <c r="K63" s="6">
        <f t="shared" si="8"/>
        <v>2.9600000000000017</v>
      </c>
      <c r="L63" s="7">
        <f t="shared" si="25"/>
        <v>0.30833333333333346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tr">
        <f t="shared" si="22"/>
        <v>Jabra</v>
      </c>
      <c r="B64" s="149" t="s">
        <v>256</v>
      </c>
      <c r="C64" s="4" t="s">
        <v>257</v>
      </c>
      <c r="D64" s="5" t="s">
        <v>13</v>
      </c>
      <c r="E64" s="17">
        <v>25</v>
      </c>
      <c r="F64" s="6">
        <v>13.83</v>
      </c>
      <c r="G64" s="7">
        <f t="shared" si="23"/>
        <v>0.44679999999999997</v>
      </c>
      <c r="H64" s="7"/>
      <c r="I64" s="7">
        <v>0.2</v>
      </c>
      <c r="J64" s="6">
        <f t="shared" si="24"/>
        <v>20</v>
      </c>
      <c r="K64" s="6">
        <f t="shared" si="8"/>
        <v>6.17</v>
      </c>
      <c r="L64" s="7">
        <f t="shared" si="25"/>
        <v>0.3085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tr">
        <f t="shared" si="22"/>
        <v>Jabra</v>
      </c>
      <c r="B65" s="149" t="str">
        <f>"GN-14121-24"</f>
        <v>GN-14121-24</v>
      </c>
      <c r="C65" s="4" t="str">
        <f>"Jabra A Neckband PRO900 and 9400 Series"</f>
        <v>Jabra A Neckband PRO900 and 9400 Series</v>
      </c>
      <c r="D65" s="5" t="s">
        <v>13</v>
      </c>
      <c r="E65" s="17">
        <v>19</v>
      </c>
      <c r="F65" s="6">
        <v>10.51</v>
      </c>
      <c r="G65" s="7">
        <f t="shared" si="23"/>
        <v>0.44684210526315793</v>
      </c>
      <c r="H65" s="7"/>
      <c r="I65" s="7">
        <v>0.2</v>
      </c>
      <c r="J65" s="6">
        <f t="shared" si="24"/>
        <v>15.200000000000001</v>
      </c>
      <c r="K65" s="6">
        <f t="shared" si="8"/>
        <v>4.6900000000000013</v>
      </c>
      <c r="L65" s="7">
        <f t="shared" si="25"/>
        <v>0.30855263157894741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tr">
        <f t="shared" si="22"/>
        <v>Jabra</v>
      </c>
      <c r="B66" s="149" t="str">
        <f>"GN-14121-25"</f>
        <v>GN-14121-25</v>
      </c>
      <c r="C66" s="4" t="str">
        <f>"Jabra A Headband PRO900 and 9400 Series"</f>
        <v>Jabra A Headband PRO900 and 9400 Series</v>
      </c>
      <c r="D66" s="5" t="s">
        <v>13</v>
      </c>
      <c r="E66" s="17">
        <v>19</v>
      </c>
      <c r="F66" s="6">
        <v>10.51</v>
      </c>
      <c r="G66" s="7">
        <f t="shared" si="23"/>
        <v>0.44684210526315793</v>
      </c>
      <c r="H66" s="7"/>
      <c r="I66" s="7">
        <v>0.2</v>
      </c>
      <c r="J66" s="6">
        <f t="shared" si="24"/>
        <v>15.200000000000001</v>
      </c>
      <c r="K66" s="6">
        <f t="shared" si="8"/>
        <v>4.6900000000000013</v>
      </c>
      <c r="L66" s="7">
        <f t="shared" si="25"/>
        <v>0.30855263157894741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tr">
        <f t="shared" si="22"/>
        <v>Jabra</v>
      </c>
      <c r="B67" s="149" t="str">
        <f>"GN-14121-26"</f>
        <v>GN-14121-26</v>
      </c>
      <c r="C67" s="4" t="str">
        <f>"Earhook for PRO 900 and PRO 9400 Series"</f>
        <v>Earhook for PRO 900 and PRO 9400 Series</v>
      </c>
      <c r="D67" s="5" t="s">
        <v>13</v>
      </c>
      <c r="E67" s="17">
        <v>19</v>
      </c>
      <c r="F67" s="6">
        <v>5.53</v>
      </c>
      <c r="G67" s="7">
        <f t="shared" si="23"/>
        <v>0.70894736842105255</v>
      </c>
      <c r="H67" s="7"/>
      <c r="I67" s="7">
        <v>0.2</v>
      </c>
      <c r="J67" s="6">
        <f t="shared" si="24"/>
        <v>15.200000000000001</v>
      </c>
      <c r="K67" s="6">
        <f t="shared" si="8"/>
        <v>9.6700000000000017</v>
      </c>
      <c r="L67" s="7">
        <f t="shared" si="25"/>
        <v>0.6361842105263158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tr">
        <f t="shared" si="22"/>
        <v>Jabra</v>
      </c>
      <c r="B68" s="149" t="s">
        <v>258</v>
      </c>
      <c r="C68" s="4" t="s">
        <v>259</v>
      </c>
      <c r="D68" s="5" t="s">
        <v>13</v>
      </c>
      <c r="E68" s="17">
        <v>19</v>
      </c>
      <c r="F68" s="6">
        <v>10.51</v>
      </c>
      <c r="G68" s="7">
        <f t="shared" si="23"/>
        <v>0.44684210526315793</v>
      </c>
      <c r="H68" s="7"/>
      <c r="I68" s="7">
        <v>0.2</v>
      </c>
      <c r="J68" s="6">
        <f t="shared" si="24"/>
        <v>15.200000000000001</v>
      </c>
      <c r="K68" s="6">
        <f t="shared" si="8"/>
        <v>4.6900000000000013</v>
      </c>
      <c r="L68" s="7">
        <f t="shared" si="25"/>
        <v>0.30855263157894741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tr">
        <f t="shared" si="22"/>
        <v>Jabra</v>
      </c>
      <c r="B69" s="149" t="s">
        <v>260</v>
      </c>
      <c r="C69" s="4" t="s">
        <v>261</v>
      </c>
      <c r="D69" s="5" t="s">
        <v>13</v>
      </c>
      <c r="E69" s="17">
        <v>40</v>
      </c>
      <c r="F69" s="6">
        <v>22.13</v>
      </c>
      <c r="G69" s="7">
        <f t="shared" si="23"/>
        <v>0.44674999999999998</v>
      </c>
      <c r="H69" s="7"/>
      <c r="I69" s="7">
        <v>0.2</v>
      </c>
      <c r="J69" s="6">
        <f t="shared" si="24"/>
        <v>32</v>
      </c>
      <c r="K69" s="6">
        <f t="shared" si="8"/>
        <v>9.870000000000001</v>
      </c>
      <c r="L69" s="7">
        <f t="shared" si="25"/>
        <v>0.30843750000000003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tr">
        <f t="shared" si="22"/>
        <v>Jabra</v>
      </c>
      <c r="B70" s="149" t="s">
        <v>262</v>
      </c>
      <c r="C70" s="4" t="s">
        <v>263</v>
      </c>
      <c r="D70" s="5" t="s">
        <v>13</v>
      </c>
      <c r="E70" s="17">
        <v>22</v>
      </c>
      <c r="F70" s="6">
        <v>12.17</v>
      </c>
      <c r="G70" s="7">
        <f t="shared" si="23"/>
        <v>0.44681818181818178</v>
      </c>
      <c r="H70" s="7"/>
      <c r="I70" s="7">
        <v>0.2</v>
      </c>
      <c r="J70" s="6">
        <f t="shared" si="24"/>
        <v>17.600000000000001</v>
      </c>
      <c r="K70" s="6">
        <f t="shared" si="8"/>
        <v>5.4300000000000015</v>
      </c>
      <c r="L70" s="7">
        <f t="shared" si="25"/>
        <v>0.30852272727272734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tr">
        <f t="shared" si="22"/>
        <v>Jabra</v>
      </c>
      <c r="B71" s="149" t="str">
        <f>"GN-14207-10"</f>
        <v>GN-14207-10</v>
      </c>
      <c r="C71" s="4" t="str">
        <f>"JABRA BUSYLIGHT"</f>
        <v>JABRA BUSYLIGHT</v>
      </c>
      <c r="D71" s="5" t="s">
        <v>13</v>
      </c>
      <c r="E71" s="17">
        <v>39</v>
      </c>
      <c r="F71" s="6">
        <v>21.57</v>
      </c>
      <c r="G71" s="7">
        <f t="shared" si="23"/>
        <v>0.44692307692307687</v>
      </c>
      <c r="H71" s="7"/>
      <c r="I71" s="7">
        <v>0.2</v>
      </c>
      <c r="J71" s="6">
        <f t="shared" si="24"/>
        <v>31.200000000000003</v>
      </c>
      <c r="K71" s="6">
        <f t="shared" si="8"/>
        <v>9.6300000000000026</v>
      </c>
      <c r="L71" s="7">
        <f t="shared" si="25"/>
        <v>0.30865384615384617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tr">
        <f t="shared" si="22"/>
        <v>Jabra</v>
      </c>
      <c r="B72" s="149" t="s">
        <v>264</v>
      </c>
      <c r="C72" s="4" t="s">
        <v>265</v>
      </c>
      <c r="D72" s="5" t="s">
        <v>13</v>
      </c>
      <c r="E72" s="17">
        <v>50</v>
      </c>
      <c r="F72" s="6">
        <v>25.53</v>
      </c>
      <c r="G72" s="7">
        <f t="shared" si="23"/>
        <v>0.48939999999999995</v>
      </c>
      <c r="H72" s="7"/>
      <c r="I72" s="7">
        <v>0.2</v>
      </c>
      <c r="J72" s="6">
        <f t="shared" si="24"/>
        <v>40</v>
      </c>
      <c r="K72" s="6">
        <f t="shared" si="8"/>
        <v>14.469999999999999</v>
      </c>
      <c r="L72" s="7">
        <f t="shared" si="25"/>
        <v>0.36175000000000002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tr">
        <f t="shared" si="22"/>
        <v>Jabra</v>
      </c>
      <c r="B73" s="149" t="s">
        <v>266</v>
      </c>
      <c r="C73" s="4" t="s">
        <v>267</v>
      </c>
      <c r="D73" s="5" t="s">
        <v>13</v>
      </c>
      <c r="E73" s="17">
        <v>79</v>
      </c>
      <c r="F73" s="6">
        <v>43.7</v>
      </c>
      <c r="G73" s="7">
        <f t="shared" si="23"/>
        <v>0.44683544303797462</v>
      </c>
      <c r="H73" s="7"/>
      <c r="I73" s="7">
        <v>0.2</v>
      </c>
      <c r="J73" s="6">
        <f t="shared" si="24"/>
        <v>63.2</v>
      </c>
      <c r="K73" s="6">
        <f t="shared" si="8"/>
        <v>19.5</v>
      </c>
      <c r="L73" s="7">
        <f t="shared" si="25"/>
        <v>0.30854430379746833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8" t="str">
        <f t="shared" si="22"/>
        <v>Jabra</v>
      </c>
      <c r="B74" s="152" t="s">
        <v>268</v>
      </c>
      <c r="C74" s="8" t="s">
        <v>269</v>
      </c>
      <c r="D74" s="9" t="s">
        <v>13</v>
      </c>
      <c r="E74" s="18">
        <v>10</v>
      </c>
      <c r="F74" s="10">
        <v>5.53</v>
      </c>
      <c r="G74" s="11">
        <f t="shared" si="23"/>
        <v>0.44699999999999995</v>
      </c>
      <c r="H74" s="11"/>
      <c r="I74" s="11">
        <v>0.3</v>
      </c>
      <c r="J74" s="10">
        <f t="shared" si="24"/>
        <v>7</v>
      </c>
      <c r="K74" s="6">
        <f t="shared" si="8"/>
        <v>1.4699999999999998</v>
      </c>
      <c r="L74" s="11">
        <f t="shared" si="25"/>
        <v>0.20999999999999996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tr">
        <f t="shared" ref="A75:A85" si="26">"Jabra"</f>
        <v>Jabra</v>
      </c>
      <c r="B75" s="149" t="str">
        <f>"GN-920-65-508-105"</f>
        <v>GN-920-65-508-105</v>
      </c>
      <c r="C75" s="4" t="str">
        <f>"JABRA PRO 920  HEADSET; MONO"</f>
        <v>JABRA PRO 920  HEADSET; MONO</v>
      </c>
      <c r="D75" s="5" t="s">
        <v>13</v>
      </c>
      <c r="E75" s="17">
        <v>271</v>
      </c>
      <c r="F75" s="6">
        <v>149.91</v>
      </c>
      <c r="G75" s="7">
        <f t="shared" ref="G75:G85" si="27">1-(F75/E75)</f>
        <v>0.44682656826568268</v>
      </c>
      <c r="H75" s="7"/>
      <c r="I75" s="7">
        <v>0.2</v>
      </c>
      <c r="J75" s="6">
        <f t="shared" ref="J75:J85" si="28">E75*(1-I75)</f>
        <v>216.8</v>
      </c>
      <c r="K75" s="6">
        <f t="shared" si="8"/>
        <v>66.890000000000015</v>
      </c>
      <c r="L75" s="7">
        <f t="shared" ref="L75:L85" si="29">1-(F75/J75)</f>
        <v>0.30853321033210335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tr">
        <f t="shared" si="26"/>
        <v>Jabra</v>
      </c>
      <c r="B76" s="149" t="str">
        <f>"GN-GSA920-65-508-105"</f>
        <v>GN-GSA920-65-508-105</v>
      </c>
      <c r="C76" s="4" t="str">
        <f>"JABRA PRO 920  HEADSET;GSA MONO"</f>
        <v>JABRA PRO 920  HEADSET;GSA MONO</v>
      </c>
      <c r="D76" s="5" t="s">
        <v>13</v>
      </c>
      <c r="E76" s="17">
        <v>271</v>
      </c>
      <c r="F76" s="6">
        <v>149.91</v>
      </c>
      <c r="G76" s="7">
        <f t="shared" si="27"/>
        <v>0.44682656826568268</v>
      </c>
      <c r="H76" s="7"/>
      <c r="I76" s="7">
        <v>0.2</v>
      </c>
      <c r="J76" s="6">
        <f t="shared" si="28"/>
        <v>216.8</v>
      </c>
      <c r="K76" s="6">
        <f t="shared" si="8"/>
        <v>66.890000000000015</v>
      </c>
      <c r="L76" s="7">
        <f t="shared" si="29"/>
        <v>0.30853321033210335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tr">
        <f t="shared" si="26"/>
        <v>Jabra</v>
      </c>
      <c r="B77" s="149" t="s">
        <v>270</v>
      </c>
      <c r="C77" s="4" t="s">
        <v>271</v>
      </c>
      <c r="D77" s="5" t="s">
        <v>13</v>
      </c>
      <c r="E77" s="17">
        <v>279</v>
      </c>
      <c r="F77" s="6">
        <v>154.34</v>
      </c>
      <c r="G77" s="7">
        <f t="shared" si="27"/>
        <v>0.44681003584229384</v>
      </c>
      <c r="H77" s="7"/>
      <c r="I77" s="7">
        <v>0.2</v>
      </c>
      <c r="J77" s="6">
        <f t="shared" si="28"/>
        <v>223.20000000000002</v>
      </c>
      <c r="K77" s="6">
        <f t="shared" si="8"/>
        <v>68.860000000000014</v>
      </c>
      <c r="L77" s="7">
        <f t="shared" si="29"/>
        <v>0.30851254480286738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tr">
        <f t="shared" si="26"/>
        <v>Jabra</v>
      </c>
      <c r="B78" s="149" t="str">
        <f>"GN-925-15-508-185"</f>
        <v>GN-925-15-508-185</v>
      </c>
      <c r="C78" s="4" t="str">
        <f>"JABRA PRO 925 BT SINGLE"</f>
        <v>JABRA PRO 925 BT SINGLE</v>
      </c>
      <c r="D78" s="5" t="s">
        <v>13</v>
      </c>
      <c r="E78" s="17">
        <v>271</v>
      </c>
      <c r="F78" s="6">
        <v>149.91</v>
      </c>
      <c r="G78" s="7">
        <f t="shared" si="27"/>
        <v>0.44682656826568268</v>
      </c>
      <c r="H78" s="7"/>
      <c r="I78" s="7">
        <v>0.2</v>
      </c>
      <c r="J78" s="6">
        <f t="shared" si="28"/>
        <v>216.8</v>
      </c>
      <c r="K78" s="6">
        <f t="shared" si="8"/>
        <v>66.890000000000015</v>
      </c>
      <c r="L78" s="7">
        <f t="shared" si="29"/>
        <v>0.30853321033210335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tr">
        <f t="shared" si="26"/>
        <v>Jabra</v>
      </c>
      <c r="B79" s="149" t="str">
        <f>"GN-925-15-508-205"</f>
        <v>GN-925-15-508-205</v>
      </c>
      <c r="C79" s="4" t="str">
        <f>"JABRA PRO 925 BT DUAL CONNEC"</f>
        <v>JABRA PRO 925 BT DUAL CONNEC</v>
      </c>
      <c r="D79" s="5" t="s">
        <v>13</v>
      </c>
      <c r="E79" s="17">
        <v>313</v>
      </c>
      <c r="F79" s="6">
        <v>173.15</v>
      </c>
      <c r="G79" s="7">
        <f t="shared" si="27"/>
        <v>0.44680511182108629</v>
      </c>
      <c r="H79" s="7"/>
      <c r="I79" s="7">
        <v>0.2</v>
      </c>
      <c r="J79" s="6">
        <f t="shared" si="28"/>
        <v>250.4</v>
      </c>
      <c r="K79" s="6">
        <f t="shared" si="8"/>
        <v>77.25</v>
      </c>
      <c r="L79" s="7">
        <f t="shared" si="29"/>
        <v>0.3085063897763578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tr">
        <f t="shared" si="26"/>
        <v>Jabra</v>
      </c>
      <c r="B80" s="149" t="s">
        <v>272</v>
      </c>
      <c r="C80" s="4" t="s">
        <v>273</v>
      </c>
      <c r="D80" s="5" t="s">
        <v>13</v>
      </c>
      <c r="E80" s="17">
        <v>271</v>
      </c>
      <c r="F80" s="6">
        <v>149.91</v>
      </c>
      <c r="G80" s="7">
        <f t="shared" si="27"/>
        <v>0.44682656826568268</v>
      </c>
      <c r="H80" s="7"/>
      <c r="I80" s="7">
        <v>0.2</v>
      </c>
      <c r="J80" s="6">
        <f t="shared" si="28"/>
        <v>216.8</v>
      </c>
      <c r="K80" s="6">
        <f t="shared" si="8"/>
        <v>66.890000000000015</v>
      </c>
      <c r="L80" s="7">
        <f t="shared" si="29"/>
        <v>0.30853321033210335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tr">
        <f t="shared" si="26"/>
        <v>Jabra</v>
      </c>
      <c r="B81" s="149" t="s">
        <v>274</v>
      </c>
      <c r="C81" s="4" t="s">
        <v>275</v>
      </c>
      <c r="D81" s="5" t="s">
        <v>13</v>
      </c>
      <c r="E81" s="17">
        <v>271</v>
      </c>
      <c r="F81" s="6">
        <v>149.91</v>
      </c>
      <c r="G81" s="7">
        <f t="shared" si="27"/>
        <v>0.44682656826568268</v>
      </c>
      <c r="H81" s="7"/>
      <c r="I81" s="7">
        <v>0.2</v>
      </c>
      <c r="J81" s="6">
        <f t="shared" si="28"/>
        <v>216.8</v>
      </c>
      <c r="K81" s="6">
        <f t="shared" si="8"/>
        <v>66.890000000000015</v>
      </c>
      <c r="L81" s="7">
        <f t="shared" si="29"/>
        <v>0.30853321033210335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tr">
        <f t="shared" si="26"/>
        <v>Jabra</v>
      </c>
      <c r="B82" s="149" t="s">
        <v>276</v>
      </c>
      <c r="C82" s="4" t="s">
        <v>277</v>
      </c>
      <c r="D82" s="5" t="s">
        <v>13</v>
      </c>
      <c r="E82" s="17">
        <v>279</v>
      </c>
      <c r="F82" s="6">
        <v>154.34</v>
      </c>
      <c r="G82" s="7">
        <f t="shared" si="27"/>
        <v>0.44681003584229384</v>
      </c>
      <c r="H82" s="7"/>
      <c r="I82" s="7">
        <v>0.2</v>
      </c>
      <c r="J82" s="6">
        <f t="shared" si="28"/>
        <v>223.20000000000002</v>
      </c>
      <c r="K82" s="6">
        <f t="shared" si="8"/>
        <v>68.860000000000014</v>
      </c>
      <c r="L82" s="7">
        <f t="shared" si="29"/>
        <v>0.30851254480286738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tr">
        <f t="shared" si="26"/>
        <v>Jabra</v>
      </c>
      <c r="B83" s="149" t="s">
        <v>278</v>
      </c>
      <c r="C83" s="4" t="s">
        <v>279</v>
      </c>
      <c r="D83" s="5" t="s">
        <v>13</v>
      </c>
      <c r="E83" s="17">
        <v>271</v>
      </c>
      <c r="F83" s="6">
        <v>149.91</v>
      </c>
      <c r="G83" s="7">
        <f t="shared" si="27"/>
        <v>0.44682656826568268</v>
      </c>
      <c r="H83" s="7"/>
      <c r="I83" s="7">
        <v>0.2</v>
      </c>
      <c r="J83" s="6">
        <f t="shared" si="28"/>
        <v>216.8</v>
      </c>
      <c r="K83" s="6">
        <f t="shared" si="8"/>
        <v>66.890000000000015</v>
      </c>
      <c r="L83" s="7">
        <f t="shared" si="29"/>
        <v>0.30853321033210335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tr">
        <f t="shared" si="26"/>
        <v>Jabra</v>
      </c>
      <c r="B84" s="149" t="str">
        <f>"GN-930-69-503-105"</f>
        <v>GN-930-69-503-105</v>
      </c>
      <c r="C84" s="4" t="str">
        <f>"JABRA PRO 930 DUO MS"</f>
        <v>JABRA PRO 930 DUO MS</v>
      </c>
      <c r="D84" s="5" t="s">
        <v>13</v>
      </c>
      <c r="E84" s="17">
        <v>279</v>
      </c>
      <c r="F84" s="6">
        <v>154.34</v>
      </c>
      <c r="G84" s="7">
        <f t="shared" si="27"/>
        <v>0.44681003584229384</v>
      </c>
      <c r="H84" s="7"/>
      <c r="I84" s="7">
        <v>0.2</v>
      </c>
      <c r="J84" s="6">
        <f t="shared" si="28"/>
        <v>223.20000000000002</v>
      </c>
      <c r="K84" s="6">
        <f t="shared" si="8"/>
        <v>68.860000000000014</v>
      </c>
      <c r="L84" s="7">
        <f t="shared" si="29"/>
        <v>0.30851254480286738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9" t="str">
        <f t="shared" si="26"/>
        <v>Jabra</v>
      </c>
      <c r="B85" s="153" t="s">
        <v>280</v>
      </c>
      <c r="C85" s="19" t="s">
        <v>281</v>
      </c>
      <c r="D85" s="20" t="s">
        <v>13</v>
      </c>
      <c r="E85" s="21">
        <v>313</v>
      </c>
      <c r="F85" s="22">
        <v>173.15</v>
      </c>
      <c r="G85" s="23">
        <f t="shared" si="27"/>
        <v>0.44680511182108629</v>
      </c>
      <c r="H85" s="23"/>
      <c r="I85" s="23">
        <v>0.3</v>
      </c>
      <c r="J85" s="22">
        <f t="shared" si="28"/>
        <v>219.1</v>
      </c>
      <c r="K85" s="6">
        <f t="shared" si="8"/>
        <v>45.949999999999989</v>
      </c>
      <c r="L85" s="23">
        <f t="shared" si="29"/>
        <v>0.20972158831583743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tr">
        <f t="shared" ref="A86:A101" si="30">"Jabra"</f>
        <v>Jabra</v>
      </c>
      <c r="B86" s="149" t="s">
        <v>258</v>
      </c>
      <c r="C86" s="4" t="s">
        <v>282</v>
      </c>
      <c r="D86" s="5" t="s">
        <v>13</v>
      </c>
      <c r="E86" s="17">
        <v>19</v>
      </c>
      <c r="F86" s="6">
        <v>10.51</v>
      </c>
      <c r="G86" s="7">
        <f t="shared" ref="G86:G101" si="31">1-(F86/E86)</f>
        <v>0.44684210526315793</v>
      </c>
      <c r="H86" s="7"/>
      <c r="I86" s="7">
        <v>0.2</v>
      </c>
      <c r="J86" s="6">
        <f t="shared" ref="J86:J101" si="32">E86*(1-I86)</f>
        <v>15.200000000000001</v>
      </c>
      <c r="K86" s="6">
        <f t="shared" si="8"/>
        <v>4.6900000000000013</v>
      </c>
      <c r="L86" s="7">
        <f t="shared" ref="L86:L101" si="33">1-(F86/J86)</f>
        <v>0.30855263157894741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tr">
        <f t="shared" si="30"/>
        <v>Jabra</v>
      </c>
      <c r="B87" s="149" t="s">
        <v>283</v>
      </c>
      <c r="C87" s="4" t="s">
        <v>284</v>
      </c>
      <c r="D87" s="5" t="s">
        <v>13</v>
      </c>
      <c r="E87" s="17">
        <v>19</v>
      </c>
      <c r="F87" s="6">
        <v>5.53</v>
      </c>
      <c r="G87" s="7">
        <f t="shared" si="31"/>
        <v>0.70894736842105255</v>
      </c>
      <c r="H87" s="7"/>
      <c r="I87" s="7">
        <v>0.2</v>
      </c>
      <c r="J87" s="6">
        <f t="shared" si="32"/>
        <v>15.200000000000001</v>
      </c>
      <c r="K87" s="6">
        <f t="shared" si="8"/>
        <v>9.6700000000000017</v>
      </c>
      <c r="L87" s="7">
        <f t="shared" si="33"/>
        <v>0.6361842105263158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tr">
        <f t="shared" si="30"/>
        <v>Jabra</v>
      </c>
      <c r="B88" s="149" t="s">
        <v>285</v>
      </c>
      <c r="C88" s="4" t="s">
        <v>286</v>
      </c>
      <c r="D88" s="5" t="s">
        <v>13</v>
      </c>
      <c r="E88" s="17">
        <v>19</v>
      </c>
      <c r="F88" s="6">
        <v>10.51</v>
      </c>
      <c r="G88" s="7">
        <f t="shared" si="31"/>
        <v>0.44684210526315793</v>
      </c>
      <c r="H88" s="7"/>
      <c r="I88" s="7">
        <v>0.2</v>
      </c>
      <c r="J88" s="6">
        <f t="shared" si="32"/>
        <v>15.200000000000001</v>
      </c>
      <c r="K88" s="6">
        <f t="shared" si="8"/>
        <v>4.6900000000000013</v>
      </c>
      <c r="L88" s="7">
        <f t="shared" si="33"/>
        <v>0.30855263157894741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tr">
        <f t="shared" si="30"/>
        <v>Jabra</v>
      </c>
      <c r="B89" s="149" t="s">
        <v>254</v>
      </c>
      <c r="C89" s="4" t="s">
        <v>287</v>
      </c>
      <c r="D89" s="5" t="s">
        <v>13</v>
      </c>
      <c r="E89" s="17">
        <v>12</v>
      </c>
      <c r="F89" s="6">
        <v>6.64</v>
      </c>
      <c r="G89" s="7">
        <f t="shared" si="31"/>
        <v>0.44666666666666666</v>
      </c>
      <c r="H89" s="7"/>
      <c r="I89" s="7">
        <v>0.2</v>
      </c>
      <c r="J89" s="6">
        <f t="shared" si="32"/>
        <v>9.6000000000000014</v>
      </c>
      <c r="K89" s="6">
        <f t="shared" si="8"/>
        <v>2.9600000000000017</v>
      </c>
      <c r="L89" s="7">
        <f t="shared" si="33"/>
        <v>0.30833333333333346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tr">
        <f t="shared" si="30"/>
        <v>Jabra</v>
      </c>
      <c r="B90" s="149" t="s">
        <v>288</v>
      </c>
      <c r="C90" s="4" t="s">
        <v>289</v>
      </c>
      <c r="D90" s="5" t="s">
        <v>13</v>
      </c>
      <c r="E90" s="17">
        <v>26</v>
      </c>
      <c r="F90" s="6">
        <v>14.38</v>
      </c>
      <c r="G90" s="7">
        <f t="shared" si="31"/>
        <v>0.44692307692307687</v>
      </c>
      <c r="H90" s="7"/>
      <c r="I90" s="7">
        <v>0.2</v>
      </c>
      <c r="J90" s="6">
        <f t="shared" si="32"/>
        <v>20.8</v>
      </c>
      <c r="K90" s="6">
        <f t="shared" si="8"/>
        <v>6.42</v>
      </c>
      <c r="L90" s="7">
        <f t="shared" si="33"/>
        <v>0.30865384615384617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tr">
        <f t="shared" si="30"/>
        <v>Jabra</v>
      </c>
      <c r="B91" s="149" t="s">
        <v>290</v>
      </c>
      <c r="C91" s="4" t="s">
        <v>291</v>
      </c>
      <c r="D91" s="5" t="s">
        <v>13</v>
      </c>
      <c r="E91" s="17">
        <v>49</v>
      </c>
      <c r="F91" s="6">
        <v>27.11</v>
      </c>
      <c r="G91" s="7">
        <f t="shared" si="31"/>
        <v>0.44673469387755105</v>
      </c>
      <c r="H91" s="7"/>
      <c r="I91" s="7">
        <v>0.2</v>
      </c>
      <c r="J91" s="6">
        <f t="shared" si="32"/>
        <v>39.200000000000003</v>
      </c>
      <c r="K91" s="6">
        <f t="shared" si="8"/>
        <v>12.090000000000003</v>
      </c>
      <c r="L91" s="7">
        <f t="shared" si="33"/>
        <v>0.30841836734693884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tr">
        <f t="shared" si="30"/>
        <v>Jabra</v>
      </c>
      <c r="B92" s="149" t="s">
        <v>292</v>
      </c>
      <c r="C92" s="4" t="s">
        <v>293</v>
      </c>
      <c r="D92" s="5" t="s">
        <v>13</v>
      </c>
      <c r="E92" s="17">
        <v>49</v>
      </c>
      <c r="F92" s="6">
        <v>30.32</v>
      </c>
      <c r="G92" s="7">
        <f t="shared" si="31"/>
        <v>0.38122448979591839</v>
      </c>
      <c r="H92" s="7"/>
      <c r="I92" s="7">
        <v>0.2</v>
      </c>
      <c r="J92" s="6">
        <f t="shared" si="32"/>
        <v>39.200000000000003</v>
      </c>
      <c r="K92" s="6">
        <f t="shared" si="8"/>
        <v>8.8800000000000026</v>
      </c>
      <c r="L92" s="7">
        <f t="shared" si="33"/>
        <v>0.22653061224489801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tr">
        <f t="shared" si="30"/>
        <v>Jabra</v>
      </c>
      <c r="B93" s="149" t="s">
        <v>294</v>
      </c>
      <c r="C93" s="4" t="s">
        <v>295</v>
      </c>
      <c r="D93" s="5" t="s">
        <v>13</v>
      </c>
      <c r="E93" s="17">
        <v>25</v>
      </c>
      <c r="F93" s="6">
        <v>13.83</v>
      </c>
      <c r="G93" s="7">
        <f t="shared" si="31"/>
        <v>0.44679999999999997</v>
      </c>
      <c r="H93" s="7"/>
      <c r="I93" s="7">
        <v>0.2</v>
      </c>
      <c r="J93" s="6">
        <f t="shared" si="32"/>
        <v>20</v>
      </c>
      <c r="K93" s="6">
        <f t="shared" si="8"/>
        <v>6.17</v>
      </c>
      <c r="L93" s="7">
        <f t="shared" si="33"/>
        <v>0.3085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tr">
        <f t="shared" si="30"/>
        <v>Jabra</v>
      </c>
      <c r="B94" s="149" t="s">
        <v>296</v>
      </c>
      <c r="C94" s="4" t="s">
        <v>297</v>
      </c>
      <c r="D94" s="5" t="s">
        <v>13</v>
      </c>
      <c r="E94" s="17">
        <v>99</v>
      </c>
      <c r="F94" s="6">
        <v>61.17</v>
      </c>
      <c r="G94" s="7">
        <f t="shared" si="31"/>
        <v>0.38212121212121208</v>
      </c>
      <c r="H94" s="7"/>
      <c r="I94" s="7">
        <v>0.2</v>
      </c>
      <c r="J94" s="6">
        <f t="shared" si="32"/>
        <v>79.2</v>
      </c>
      <c r="K94" s="6">
        <f t="shared" si="8"/>
        <v>18.03</v>
      </c>
      <c r="L94" s="7">
        <f t="shared" si="33"/>
        <v>0.22765151515151516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tr">
        <f t="shared" si="30"/>
        <v>Jabra</v>
      </c>
      <c r="B95" s="149" t="s">
        <v>298</v>
      </c>
      <c r="C95" s="4" t="s">
        <v>299</v>
      </c>
      <c r="D95" s="5" t="s">
        <v>13</v>
      </c>
      <c r="E95" s="17">
        <v>139</v>
      </c>
      <c r="F95" s="6">
        <v>76.89</v>
      </c>
      <c r="G95" s="7">
        <f t="shared" si="31"/>
        <v>0.44683453237410076</v>
      </c>
      <c r="H95" s="7"/>
      <c r="I95" s="7">
        <v>0.2</v>
      </c>
      <c r="J95" s="6">
        <f t="shared" si="32"/>
        <v>111.2</v>
      </c>
      <c r="K95" s="6">
        <f t="shared" si="8"/>
        <v>34.31</v>
      </c>
      <c r="L95" s="7">
        <f t="shared" si="33"/>
        <v>0.30854316546762595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tr">
        <f t="shared" si="30"/>
        <v>Jabra</v>
      </c>
      <c r="B96" s="149" t="s">
        <v>300</v>
      </c>
      <c r="C96" s="4" t="s">
        <v>301</v>
      </c>
      <c r="D96" s="5" t="s">
        <v>13</v>
      </c>
      <c r="E96" s="17">
        <v>129</v>
      </c>
      <c r="F96" s="6">
        <v>71.36</v>
      </c>
      <c r="G96" s="7">
        <f t="shared" si="31"/>
        <v>0.44682170542635657</v>
      </c>
      <c r="H96" s="7"/>
      <c r="I96" s="7">
        <v>0.2</v>
      </c>
      <c r="J96" s="6">
        <f t="shared" si="32"/>
        <v>103.2</v>
      </c>
      <c r="K96" s="6">
        <f t="shared" si="8"/>
        <v>31.840000000000003</v>
      </c>
      <c r="L96" s="7">
        <f t="shared" si="33"/>
        <v>0.30852713178294577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tr">
        <f t="shared" si="30"/>
        <v>Jabra</v>
      </c>
      <c r="B97" s="149" t="s">
        <v>302</v>
      </c>
      <c r="C97" s="4" t="s">
        <v>303</v>
      </c>
      <c r="D97" s="5" t="s">
        <v>13</v>
      </c>
      <c r="E97" s="17">
        <v>129</v>
      </c>
      <c r="F97" s="6">
        <v>71.36</v>
      </c>
      <c r="G97" s="7">
        <f t="shared" si="31"/>
        <v>0.44682170542635657</v>
      </c>
      <c r="H97" s="7"/>
      <c r="I97" s="7">
        <v>0.2</v>
      </c>
      <c r="J97" s="6">
        <f t="shared" si="32"/>
        <v>103.2</v>
      </c>
      <c r="K97" s="6">
        <f t="shared" si="8"/>
        <v>31.840000000000003</v>
      </c>
      <c r="L97" s="7">
        <f t="shared" si="33"/>
        <v>0.30852713178294577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tr">
        <f t="shared" si="30"/>
        <v>Jabra</v>
      </c>
      <c r="B98" s="149" t="s">
        <v>190</v>
      </c>
      <c r="C98" s="130" t="s">
        <v>191</v>
      </c>
      <c r="D98" s="5" t="s">
        <v>13</v>
      </c>
      <c r="E98" s="17">
        <v>75</v>
      </c>
      <c r="F98" s="6">
        <v>46.28</v>
      </c>
      <c r="G98" s="7">
        <f t="shared" si="31"/>
        <v>0.38293333333333335</v>
      </c>
      <c r="H98" s="7"/>
      <c r="I98" s="7">
        <v>0.2</v>
      </c>
      <c r="J98" s="6">
        <f t="shared" si="32"/>
        <v>60</v>
      </c>
      <c r="K98" s="6">
        <f t="shared" si="8"/>
        <v>13.719999999999999</v>
      </c>
      <c r="L98" s="7">
        <f t="shared" si="33"/>
        <v>0.22866666666666668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tr">
        <f t="shared" si="30"/>
        <v>Jabra</v>
      </c>
      <c r="B99" s="149" t="s">
        <v>192</v>
      </c>
      <c r="C99" s="4" t="s">
        <v>193</v>
      </c>
      <c r="D99" s="5" t="s">
        <v>13</v>
      </c>
      <c r="E99" s="17">
        <v>75</v>
      </c>
      <c r="F99" s="6">
        <v>46.28</v>
      </c>
      <c r="G99" s="7">
        <f t="shared" si="31"/>
        <v>0.38293333333333335</v>
      </c>
      <c r="H99" s="7"/>
      <c r="I99" s="7">
        <v>0.2</v>
      </c>
      <c r="J99" s="6">
        <f t="shared" si="32"/>
        <v>60</v>
      </c>
      <c r="K99" s="6">
        <f t="shared" si="8"/>
        <v>13.719999999999999</v>
      </c>
      <c r="L99" s="7">
        <f t="shared" si="33"/>
        <v>0.22866666666666668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tr">
        <f t="shared" si="30"/>
        <v>Jabra</v>
      </c>
      <c r="B100" s="149" t="s">
        <v>194</v>
      </c>
      <c r="C100" s="4" t="s">
        <v>195</v>
      </c>
      <c r="D100" s="5" t="s">
        <v>13</v>
      </c>
      <c r="E100" s="17">
        <v>75</v>
      </c>
      <c r="F100" s="6">
        <v>46.28</v>
      </c>
      <c r="G100" s="7">
        <f t="shared" si="31"/>
        <v>0.38293333333333335</v>
      </c>
      <c r="H100" s="7"/>
      <c r="I100" s="7">
        <v>0.2</v>
      </c>
      <c r="J100" s="6">
        <f t="shared" si="32"/>
        <v>60</v>
      </c>
      <c r="K100" s="6">
        <f t="shared" si="8"/>
        <v>13.719999999999999</v>
      </c>
      <c r="L100" s="7">
        <f t="shared" si="33"/>
        <v>0.22866666666666668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8" t="str">
        <f t="shared" si="30"/>
        <v>Jabra</v>
      </c>
      <c r="B101" s="152" t="s">
        <v>196</v>
      </c>
      <c r="C101" s="8" t="s">
        <v>304</v>
      </c>
      <c r="D101" s="9" t="s">
        <v>13</v>
      </c>
      <c r="E101" s="18">
        <v>75</v>
      </c>
      <c r="F101" s="10">
        <v>46.28</v>
      </c>
      <c r="G101" s="11">
        <f t="shared" si="31"/>
        <v>0.38293333333333335</v>
      </c>
      <c r="H101" s="11"/>
      <c r="I101" s="11">
        <v>0.25</v>
      </c>
      <c r="J101" s="10">
        <f t="shared" si="32"/>
        <v>56.25</v>
      </c>
      <c r="K101" s="10">
        <f t="shared" si="8"/>
        <v>9.9699999999999989</v>
      </c>
      <c r="L101" s="11">
        <f t="shared" si="33"/>
        <v>0.17724444444444443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305</v>
      </c>
      <c r="B102" s="149" t="s">
        <v>306</v>
      </c>
      <c r="C102" s="4" t="s">
        <v>307</v>
      </c>
      <c r="D102" s="5" t="s">
        <v>13</v>
      </c>
      <c r="E102" s="17">
        <v>179.99</v>
      </c>
      <c r="F102" s="6">
        <v>113.83</v>
      </c>
      <c r="G102" s="7">
        <f t="shared" ref="G102:G104" si="34">1-(F102/E102)</f>
        <v>0.36757597644313578</v>
      </c>
      <c r="H102" s="7"/>
      <c r="I102" s="7">
        <v>0.2</v>
      </c>
      <c r="J102" s="6">
        <f t="shared" ref="J102:J104" si="35">E102*(1-I102)</f>
        <v>143.99200000000002</v>
      </c>
      <c r="K102" s="6">
        <f t="shared" ref="K102:K104" si="36">J102-F102</f>
        <v>30.16200000000002</v>
      </c>
      <c r="L102" s="7">
        <f t="shared" ref="L102:L104" si="37">1-(F102/J102)</f>
        <v>0.2094699705539198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305</v>
      </c>
      <c r="B103" s="149" t="s">
        <v>308</v>
      </c>
      <c r="C103" s="4" t="s">
        <v>309</v>
      </c>
      <c r="D103" s="5" t="s">
        <v>13</v>
      </c>
      <c r="E103" s="17">
        <v>149.99</v>
      </c>
      <c r="F103" s="6">
        <v>97.87</v>
      </c>
      <c r="G103" s="7">
        <f t="shared" si="34"/>
        <v>0.34748983265551037</v>
      </c>
      <c r="H103" s="7"/>
      <c r="I103" s="7">
        <v>0.2</v>
      </c>
      <c r="J103" s="6">
        <f t="shared" si="35"/>
        <v>119.99200000000002</v>
      </c>
      <c r="K103" s="6">
        <f t="shared" si="36"/>
        <v>22.122000000000014</v>
      </c>
      <c r="L103" s="7">
        <f t="shared" si="37"/>
        <v>0.18436229081938804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8" t="s">
        <v>305</v>
      </c>
      <c r="B104" s="152" t="s">
        <v>310</v>
      </c>
      <c r="C104" s="8" t="s">
        <v>311</v>
      </c>
      <c r="D104" s="9" t="s">
        <v>13</v>
      </c>
      <c r="E104" s="18">
        <v>129.99</v>
      </c>
      <c r="F104" s="10">
        <v>94.68</v>
      </c>
      <c r="G104" s="11">
        <f t="shared" si="34"/>
        <v>0.27163627971382409</v>
      </c>
      <c r="H104" s="11"/>
      <c r="I104" s="11">
        <v>0.1</v>
      </c>
      <c r="J104" s="10">
        <f t="shared" si="35"/>
        <v>116.99100000000001</v>
      </c>
      <c r="K104" s="10">
        <f t="shared" si="36"/>
        <v>22.311000000000007</v>
      </c>
      <c r="L104" s="11">
        <f t="shared" si="37"/>
        <v>0.19070697745980458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135" customFormat="1" ht="12.75" customHeight="1" x14ac:dyDescent="0.3">
      <c r="A105" s="136" t="str">
        <f t="shared" ref="A105:A111" si="38">"Jabra"</f>
        <v>Jabra</v>
      </c>
      <c r="B105" s="150" t="str">
        <f>"GN-6670-904-105"</f>
        <v>GN-6670-904-105</v>
      </c>
      <c r="C105" s="136" t="str">
        <f>"JABRA MOTION OFFICE"</f>
        <v>JABRA MOTION OFFICE</v>
      </c>
      <c r="D105" s="137" t="s">
        <v>13</v>
      </c>
      <c r="E105" s="138">
        <v>380</v>
      </c>
      <c r="F105" s="139">
        <v>194.68</v>
      </c>
      <c r="G105" s="140">
        <f t="shared" ref="G105:G111" si="39">1-(F105/E105)</f>
        <v>0.48768421052631572</v>
      </c>
      <c r="H105" s="140"/>
      <c r="I105" s="140">
        <v>0.2</v>
      </c>
      <c r="J105" s="139">
        <f t="shared" ref="J105:J111" si="40">E105*(1-I105)</f>
        <v>304</v>
      </c>
      <c r="K105" s="139">
        <f t="shared" ref="K105:K438" si="41">J105-F105</f>
        <v>109.32</v>
      </c>
      <c r="L105" s="140">
        <f t="shared" ref="L105:L111" si="42">1-(F105/J105)</f>
        <v>0.35960526315789476</v>
      </c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spans="1:26" ht="12.75" customHeight="1" x14ac:dyDescent="0.3">
      <c r="A106" s="4" t="str">
        <f t="shared" si="38"/>
        <v>Jabra</v>
      </c>
      <c r="B106" s="149" t="str">
        <f>"GN-GSA6670-904-105"</f>
        <v>GN-GSA6670-904-105</v>
      </c>
      <c r="C106" s="4" t="s">
        <v>312</v>
      </c>
      <c r="D106" s="5" t="s">
        <v>13</v>
      </c>
      <c r="E106" s="17">
        <v>380</v>
      </c>
      <c r="F106" s="6">
        <v>194.68</v>
      </c>
      <c r="G106" s="7">
        <f t="shared" si="39"/>
        <v>0.48768421052631572</v>
      </c>
      <c r="H106" s="7"/>
      <c r="I106" s="7">
        <v>0.2</v>
      </c>
      <c r="J106" s="6">
        <f t="shared" si="40"/>
        <v>304</v>
      </c>
      <c r="K106" s="6">
        <f t="shared" si="41"/>
        <v>109.32</v>
      </c>
      <c r="L106" s="7">
        <f t="shared" si="42"/>
        <v>0.35960526315789476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135" customFormat="1" ht="12.75" customHeight="1" x14ac:dyDescent="0.3">
      <c r="A107" s="136" t="str">
        <f t="shared" si="38"/>
        <v>Jabra</v>
      </c>
      <c r="B107" s="150" t="str">
        <f>"GN-6670-904-305"</f>
        <v>GN-6670-904-305</v>
      </c>
      <c r="C107" s="136" t="str">
        <f>"JABRA MOTION OFFICE MS"</f>
        <v>JABRA MOTION OFFICE MS</v>
      </c>
      <c r="D107" s="137" t="s">
        <v>13</v>
      </c>
      <c r="E107" s="138">
        <v>380</v>
      </c>
      <c r="F107" s="139">
        <v>194.68</v>
      </c>
      <c r="G107" s="140">
        <f t="shared" si="39"/>
        <v>0.48768421052631572</v>
      </c>
      <c r="H107" s="140"/>
      <c r="I107" s="140">
        <v>0.25</v>
      </c>
      <c r="J107" s="139">
        <f t="shared" si="40"/>
        <v>285</v>
      </c>
      <c r="K107" s="139">
        <f t="shared" si="41"/>
        <v>90.32</v>
      </c>
      <c r="L107" s="140">
        <f t="shared" si="42"/>
        <v>0.31691228070175437</v>
      </c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spans="1:26" ht="12.75" customHeight="1" x14ac:dyDescent="0.3">
      <c r="A108" s="4" t="str">
        <f t="shared" si="38"/>
        <v>Jabra</v>
      </c>
      <c r="B108" s="149" t="str">
        <f>"GN-6630-900-105"</f>
        <v>GN-6630-900-105</v>
      </c>
      <c r="C108" s="4" t="str">
        <f>"Jabra Motion UC BT Headset"</f>
        <v>Jabra Motion UC BT Headset</v>
      </c>
      <c r="D108" s="5" t="s">
        <v>13</v>
      </c>
      <c r="E108" s="17">
        <v>199.99</v>
      </c>
      <c r="F108" s="6">
        <v>102.13</v>
      </c>
      <c r="G108" s="7">
        <f t="shared" si="39"/>
        <v>0.48932446622331116</v>
      </c>
      <c r="H108" s="7"/>
      <c r="I108" s="7">
        <v>0.2</v>
      </c>
      <c r="J108" s="6">
        <f t="shared" si="40"/>
        <v>159.99200000000002</v>
      </c>
      <c r="K108" s="6">
        <f t="shared" si="41"/>
        <v>57.862000000000023</v>
      </c>
      <c r="L108" s="7">
        <f t="shared" si="42"/>
        <v>0.36165558277913901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tr">
        <f t="shared" si="38"/>
        <v>Jabra</v>
      </c>
      <c r="B109" s="149" t="str">
        <f>"GN-6630-900-305"</f>
        <v>GN-6630-900-305</v>
      </c>
      <c r="C109" s="4" t="str">
        <f>"Jabra Motion UC BT Headset for MS Lync"</f>
        <v>Jabra Motion UC BT Headset for MS Lync</v>
      </c>
      <c r="D109" s="5" t="s">
        <v>13</v>
      </c>
      <c r="E109" s="17">
        <v>199.99</v>
      </c>
      <c r="F109" s="6">
        <v>102.13</v>
      </c>
      <c r="G109" s="7">
        <f t="shared" si="39"/>
        <v>0.48932446622331116</v>
      </c>
      <c r="H109" s="7"/>
      <c r="I109" s="7">
        <v>0.2</v>
      </c>
      <c r="J109" s="6">
        <f t="shared" si="40"/>
        <v>159.99200000000002</v>
      </c>
      <c r="K109" s="6">
        <f t="shared" si="41"/>
        <v>57.862000000000023</v>
      </c>
      <c r="L109" s="7">
        <f t="shared" si="42"/>
        <v>0.36165558277913901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tr">
        <f t="shared" si="38"/>
        <v>Jabra</v>
      </c>
      <c r="B110" s="149" t="str">
        <f>"GN-6640-906-105"</f>
        <v>GN-6640-906-105</v>
      </c>
      <c r="C110" s="4" t="str">
        <f>"JABRA MOTION UC PLUSBT HEADSET"</f>
        <v>JABRA MOTION UC PLUSBT HEADSET</v>
      </c>
      <c r="D110" s="5" t="s">
        <v>13</v>
      </c>
      <c r="E110" s="17">
        <v>219.99</v>
      </c>
      <c r="F110" s="6">
        <v>112.77</v>
      </c>
      <c r="G110" s="7">
        <f t="shared" si="39"/>
        <v>0.48738579026319384</v>
      </c>
      <c r="H110" s="7"/>
      <c r="I110" s="7">
        <v>0.2</v>
      </c>
      <c r="J110" s="6">
        <f t="shared" si="40"/>
        <v>175.99200000000002</v>
      </c>
      <c r="K110" s="6">
        <f t="shared" si="41"/>
        <v>63.222000000000023</v>
      </c>
      <c r="L110" s="7">
        <f t="shared" si="42"/>
        <v>0.35923223782899227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19" t="str">
        <f t="shared" si="38"/>
        <v>Jabra</v>
      </c>
      <c r="B111" s="153" t="str">
        <f>"GN-6640-906-305"</f>
        <v>GN-6640-906-305</v>
      </c>
      <c r="C111" s="19" t="str">
        <f>"Jabra Motion UC Plus BT Headset for Lync"</f>
        <v>Jabra Motion UC Plus BT Headset for Lync</v>
      </c>
      <c r="D111" s="20" t="s">
        <v>13</v>
      </c>
      <c r="E111" s="21">
        <v>219.99</v>
      </c>
      <c r="F111" s="22">
        <v>112.77</v>
      </c>
      <c r="G111" s="23">
        <f t="shared" si="39"/>
        <v>0.48738579026319384</v>
      </c>
      <c r="H111" s="23"/>
      <c r="I111" s="23">
        <v>0.35</v>
      </c>
      <c r="J111" s="22">
        <f t="shared" si="40"/>
        <v>142.99350000000001</v>
      </c>
      <c r="K111" s="6">
        <f t="shared" si="41"/>
        <v>30.223500000000016</v>
      </c>
      <c r="L111" s="23">
        <f t="shared" si="42"/>
        <v>0.21136275425106743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305</v>
      </c>
      <c r="B112" s="149" t="s">
        <v>313</v>
      </c>
      <c r="C112" s="4" t="s">
        <v>314</v>
      </c>
      <c r="D112" s="5" t="s">
        <v>13</v>
      </c>
      <c r="E112" s="17">
        <v>50</v>
      </c>
      <c r="F112" s="6">
        <v>25.53</v>
      </c>
      <c r="G112" s="7">
        <f t="shared" ref="G112:G119" si="43">1-(F112/E112)</f>
        <v>0.48939999999999995</v>
      </c>
      <c r="H112" s="7"/>
      <c r="I112" s="7">
        <v>0.2</v>
      </c>
      <c r="J112" s="6">
        <f t="shared" ref="J112:J119" si="44">E112*(1-I112)</f>
        <v>40</v>
      </c>
      <c r="K112" s="6">
        <f t="shared" si="41"/>
        <v>14.469999999999999</v>
      </c>
      <c r="L112" s="7">
        <f t="shared" ref="L112:L119" si="45">1-(F112/J112)</f>
        <v>0.36175000000000002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305</v>
      </c>
      <c r="B113" s="149" t="s">
        <v>315</v>
      </c>
      <c r="C113" s="4" t="s">
        <v>316</v>
      </c>
      <c r="D113" s="5" t="s">
        <v>13</v>
      </c>
      <c r="E113" s="17">
        <v>50</v>
      </c>
      <c r="F113" s="6">
        <v>25.53</v>
      </c>
      <c r="G113" s="7">
        <f t="shared" si="43"/>
        <v>0.48939999999999995</v>
      </c>
      <c r="H113" s="7"/>
      <c r="I113" s="7">
        <v>0.2</v>
      </c>
      <c r="J113" s="6">
        <f t="shared" si="44"/>
        <v>40</v>
      </c>
      <c r="K113" s="6">
        <f t="shared" si="41"/>
        <v>14.469999999999999</v>
      </c>
      <c r="L113" s="7">
        <f t="shared" si="45"/>
        <v>0.36175000000000002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305</v>
      </c>
      <c r="B114" s="149" t="s">
        <v>256</v>
      </c>
      <c r="C114" s="4" t="s">
        <v>317</v>
      </c>
      <c r="D114" s="5" t="s">
        <v>13</v>
      </c>
      <c r="E114" s="17">
        <v>25</v>
      </c>
      <c r="F114" s="6">
        <v>13.83</v>
      </c>
      <c r="G114" s="7">
        <f t="shared" si="43"/>
        <v>0.44679999999999997</v>
      </c>
      <c r="H114" s="7"/>
      <c r="I114" s="7">
        <v>0.2</v>
      </c>
      <c r="J114" s="6">
        <f t="shared" si="44"/>
        <v>20</v>
      </c>
      <c r="K114" s="6">
        <f t="shared" si="41"/>
        <v>6.17</v>
      </c>
      <c r="L114" s="7">
        <f t="shared" si="45"/>
        <v>0.3085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305</v>
      </c>
      <c r="B115" s="149" t="s">
        <v>318</v>
      </c>
      <c r="C115" s="4" t="s">
        <v>319</v>
      </c>
      <c r="D115" s="5" t="s">
        <v>13</v>
      </c>
      <c r="E115" s="17">
        <v>21</v>
      </c>
      <c r="F115" s="6">
        <v>5.32</v>
      </c>
      <c r="G115" s="7">
        <f t="shared" si="43"/>
        <v>0.74666666666666659</v>
      </c>
      <c r="H115" s="7"/>
      <c r="I115" s="7">
        <v>0.2</v>
      </c>
      <c r="J115" s="6">
        <f t="shared" si="44"/>
        <v>16.8</v>
      </c>
      <c r="K115" s="6">
        <f t="shared" si="41"/>
        <v>11.48</v>
      </c>
      <c r="L115" s="7">
        <f t="shared" si="45"/>
        <v>0.68333333333333335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305</v>
      </c>
      <c r="B116" s="149" t="s">
        <v>320</v>
      </c>
      <c r="C116" s="4" t="s">
        <v>321</v>
      </c>
      <c r="D116" s="5" t="s">
        <v>13</v>
      </c>
      <c r="E116" s="17">
        <v>25</v>
      </c>
      <c r="F116" s="6">
        <v>13.83</v>
      </c>
      <c r="G116" s="7">
        <f t="shared" si="43"/>
        <v>0.44679999999999997</v>
      </c>
      <c r="H116" s="7"/>
      <c r="I116" s="7">
        <v>0.2</v>
      </c>
      <c r="J116" s="6">
        <f t="shared" si="44"/>
        <v>20</v>
      </c>
      <c r="K116" s="6">
        <f t="shared" si="41"/>
        <v>6.17</v>
      </c>
      <c r="L116" s="7">
        <f t="shared" si="45"/>
        <v>0.3085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305</v>
      </c>
      <c r="B117" s="149" t="s">
        <v>322</v>
      </c>
      <c r="C117" s="4" t="s">
        <v>323</v>
      </c>
      <c r="D117" s="5" t="s">
        <v>13</v>
      </c>
      <c r="E117" s="17">
        <v>39</v>
      </c>
      <c r="F117" s="6">
        <v>20.21</v>
      </c>
      <c r="G117" s="7">
        <f t="shared" si="43"/>
        <v>0.48179487179487179</v>
      </c>
      <c r="H117" s="7"/>
      <c r="I117" s="7">
        <v>0.2</v>
      </c>
      <c r="J117" s="6">
        <f t="shared" si="44"/>
        <v>31.200000000000003</v>
      </c>
      <c r="K117" s="6">
        <f t="shared" si="41"/>
        <v>10.990000000000002</v>
      </c>
      <c r="L117" s="7">
        <f t="shared" si="45"/>
        <v>0.35224358974358982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305</v>
      </c>
      <c r="B118" s="149" t="s">
        <v>190</v>
      </c>
      <c r="C118" s="4" t="s">
        <v>324</v>
      </c>
      <c r="D118" s="5" t="s">
        <v>13</v>
      </c>
      <c r="E118" s="17">
        <v>75</v>
      </c>
      <c r="F118" s="6">
        <v>46.28</v>
      </c>
      <c r="G118" s="7">
        <f t="shared" si="43"/>
        <v>0.38293333333333335</v>
      </c>
      <c r="H118" s="7"/>
      <c r="I118" s="7">
        <v>0.2</v>
      </c>
      <c r="J118" s="6">
        <f t="shared" si="44"/>
        <v>60</v>
      </c>
      <c r="K118" s="6">
        <f t="shared" si="41"/>
        <v>13.719999999999999</v>
      </c>
      <c r="L118" s="7">
        <f t="shared" si="45"/>
        <v>0.22866666666666668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8" t="s">
        <v>305</v>
      </c>
      <c r="B119" s="152" t="s">
        <v>192</v>
      </c>
      <c r="C119" s="8" t="s">
        <v>325</v>
      </c>
      <c r="D119" s="9" t="s">
        <v>13</v>
      </c>
      <c r="E119" s="18">
        <v>75</v>
      </c>
      <c r="F119" s="10">
        <v>46.28</v>
      </c>
      <c r="G119" s="11">
        <f t="shared" si="43"/>
        <v>0.38293333333333335</v>
      </c>
      <c r="H119" s="11"/>
      <c r="I119" s="11">
        <v>0.25</v>
      </c>
      <c r="J119" s="10">
        <f t="shared" si="44"/>
        <v>56.25</v>
      </c>
      <c r="K119" s="6">
        <f t="shared" si="41"/>
        <v>9.9699999999999989</v>
      </c>
      <c r="L119" s="11">
        <f t="shared" si="45"/>
        <v>0.17724444444444443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tr">
        <f t="shared" ref="A120:A121" si="46">"Jabra"</f>
        <v>Jabra</v>
      </c>
      <c r="B120" s="149" t="str">
        <f>"GN-5578-230-109"</f>
        <v>GN-5578-230-109</v>
      </c>
      <c r="C120" s="4" t="str">
        <f>"JABRA STEALTH UC BT HEADSET"</f>
        <v>JABRA STEALTH UC BT HEADSET</v>
      </c>
      <c r="D120" s="5" t="s">
        <v>13</v>
      </c>
      <c r="E120" s="17">
        <v>150</v>
      </c>
      <c r="F120" s="6">
        <v>92.55</v>
      </c>
      <c r="G120" s="7">
        <f t="shared" ref="G120:G121" si="47">1-(F120/E120)</f>
        <v>0.38300000000000001</v>
      </c>
      <c r="H120" s="7"/>
      <c r="I120" s="7">
        <v>0.2</v>
      </c>
      <c r="J120" s="6">
        <f t="shared" ref="J120:J121" si="48">E120*(1-I120)</f>
        <v>120</v>
      </c>
      <c r="K120" s="6">
        <f t="shared" si="41"/>
        <v>27.450000000000003</v>
      </c>
      <c r="L120" s="7">
        <f t="shared" ref="L120:L121" si="49">1-(F120/J120)</f>
        <v>0.22875000000000001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8" t="str">
        <f t="shared" si="46"/>
        <v>Jabra</v>
      </c>
      <c r="B121" s="152" t="str">
        <f>"GN-5578-230-309"</f>
        <v>GN-5578-230-309</v>
      </c>
      <c r="C121" s="8" t="str">
        <f>"JABRA STEALTH UC MS BT HEADSET"</f>
        <v>JABRA STEALTH UC MS BT HEADSET</v>
      </c>
      <c r="D121" s="9" t="s">
        <v>13</v>
      </c>
      <c r="E121" s="18">
        <v>150</v>
      </c>
      <c r="F121" s="10">
        <v>92.55</v>
      </c>
      <c r="G121" s="11">
        <f t="shared" si="47"/>
        <v>0.38300000000000001</v>
      </c>
      <c r="H121" s="11"/>
      <c r="I121" s="11">
        <v>0.25</v>
      </c>
      <c r="J121" s="10">
        <f t="shared" si="48"/>
        <v>112.5</v>
      </c>
      <c r="K121" s="6">
        <f t="shared" si="41"/>
        <v>19.950000000000003</v>
      </c>
      <c r="L121" s="11">
        <f t="shared" si="49"/>
        <v>0.17733333333333334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tr">
        <f t="shared" ref="A122:A142" si="50">"Jabra"</f>
        <v>Jabra</v>
      </c>
      <c r="B122" s="149" t="str">
        <f>"GN-4993-823-109"</f>
        <v>GN-4993-823-109</v>
      </c>
      <c r="C122" s="4" t="str">
        <f>"JABRA EVOLVE 20 MS MONO"</f>
        <v>JABRA EVOLVE 20 MS MONO</v>
      </c>
      <c r="D122" s="5" t="s">
        <v>13</v>
      </c>
      <c r="E122" s="17">
        <v>50</v>
      </c>
      <c r="F122" s="6">
        <v>29.92</v>
      </c>
      <c r="G122" s="7">
        <f t="shared" ref="G122:G142" si="51">1-(F122/E122)</f>
        <v>0.40159999999999996</v>
      </c>
      <c r="H122" s="7"/>
      <c r="I122" s="7">
        <v>0.2</v>
      </c>
      <c r="J122" s="6">
        <f t="shared" ref="J122:J142" si="52">E122*(1-I122)</f>
        <v>40</v>
      </c>
      <c r="K122" s="6">
        <f t="shared" si="41"/>
        <v>10.079999999999998</v>
      </c>
      <c r="L122" s="7">
        <f t="shared" ref="L122:L142" si="53">1-(F122/J122)</f>
        <v>0.252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tr">
        <f t="shared" si="50"/>
        <v>Jabra</v>
      </c>
      <c r="B123" s="149" t="str">
        <f>"GN-4999-823-109"</f>
        <v>GN-4999-823-109</v>
      </c>
      <c r="C123" s="4" t="str">
        <f>"JABRA EVOLVE 20 MS STEREO"</f>
        <v>JABRA EVOLVE 20 MS STEREO</v>
      </c>
      <c r="D123" s="5" t="s">
        <v>13</v>
      </c>
      <c r="E123" s="17">
        <v>55</v>
      </c>
      <c r="F123" s="6">
        <v>33.049999999999997</v>
      </c>
      <c r="G123" s="7">
        <f t="shared" si="51"/>
        <v>0.39909090909090916</v>
      </c>
      <c r="H123" s="7"/>
      <c r="I123" s="7">
        <v>0.2</v>
      </c>
      <c r="J123" s="6">
        <f t="shared" si="52"/>
        <v>44</v>
      </c>
      <c r="K123" s="6">
        <f t="shared" si="41"/>
        <v>10.950000000000003</v>
      </c>
      <c r="L123" s="7">
        <f t="shared" si="53"/>
        <v>0.2488636363636364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tr">
        <f t="shared" si="50"/>
        <v>Jabra</v>
      </c>
      <c r="B124" s="149" t="s">
        <v>326</v>
      </c>
      <c r="C124" s="4" t="s">
        <v>327</v>
      </c>
      <c r="D124" s="5" t="s">
        <v>13</v>
      </c>
      <c r="E124" s="17">
        <v>50</v>
      </c>
      <c r="F124" s="6">
        <v>29.92</v>
      </c>
      <c r="G124" s="7">
        <f t="shared" si="51"/>
        <v>0.40159999999999996</v>
      </c>
      <c r="H124" s="7"/>
      <c r="I124" s="7">
        <v>0.2</v>
      </c>
      <c r="J124" s="6">
        <f t="shared" si="52"/>
        <v>40</v>
      </c>
      <c r="K124" s="6">
        <f t="shared" si="41"/>
        <v>10.079999999999998</v>
      </c>
      <c r="L124" s="7">
        <f t="shared" si="53"/>
        <v>0.252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tr">
        <f t="shared" si="50"/>
        <v>Jabra</v>
      </c>
      <c r="B125" s="149" t="str">
        <f>"GN-4999-829-209"</f>
        <v>GN-4999-829-209</v>
      </c>
      <c r="C125" s="4" t="str">
        <f>"JABRA EVOLVE 20 UC STEREO"</f>
        <v>JABRA EVOLVE 20 UC STEREO</v>
      </c>
      <c r="D125" s="5" t="s">
        <v>13</v>
      </c>
      <c r="E125" s="17">
        <v>55</v>
      </c>
      <c r="F125" s="6">
        <v>33.049999999999997</v>
      </c>
      <c r="G125" s="7">
        <f t="shared" si="51"/>
        <v>0.39909090909090916</v>
      </c>
      <c r="H125" s="7"/>
      <c r="I125" s="7">
        <v>0.2</v>
      </c>
      <c r="J125" s="6">
        <f t="shared" si="52"/>
        <v>44</v>
      </c>
      <c r="K125" s="6">
        <f t="shared" si="41"/>
        <v>10.950000000000003</v>
      </c>
      <c r="L125" s="7">
        <f t="shared" si="53"/>
        <v>0.2488636363636364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tr">
        <f t="shared" si="50"/>
        <v>Jabra</v>
      </c>
      <c r="B126" s="149" t="s">
        <v>328</v>
      </c>
      <c r="C126" s="4" t="s">
        <v>329</v>
      </c>
      <c r="D126" s="5" t="s">
        <v>13</v>
      </c>
      <c r="E126" s="17">
        <v>56</v>
      </c>
      <c r="F126" s="6">
        <v>34.04</v>
      </c>
      <c r="G126" s="7">
        <f t="shared" si="51"/>
        <v>0.39214285714285713</v>
      </c>
      <c r="H126" s="7"/>
      <c r="I126" s="7">
        <v>0.2</v>
      </c>
      <c r="J126" s="6">
        <f t="shared" si="52"/>
        <v>44.800000000000004</v>
      </c>
      <c r="K126" s="6">
        <f t="shared" si="41"/>
        <v>10.760000000000005</v>
      </c>
      <c r="L126" s="7">
        <f t="shared" si="53"/>
        <v>0.24017857142857157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tr">
        <f t="shared" si="50"/>
        <v>Jabra</v>
      </c>
      <c r="B127" s="149" t="s">
        <v>330</v>
      </c>
      <c r="C127" s="4" t="s">
        <v>331</v>
      </c>
      <c r="D127" s="5" t="s">
        <v>13</v>
      </c>
      <c r="E127" s="17">
        <v>61</v>
      </c>
      <c r="F127" s="6">
        <v>37.229999999999997</v>
      </c>
      <c r="G127" s="7">
        <f t="shared" si="51"/>
        <v>0.38967213114754107</v>
      </c>
      <c r="H127" s="7"/>
      <c r="I127" s="7">
        <v>0.2</v>
      </c>
      <c r="J127" s="6">
        <f t="shared" si="52"/>
        <v>48.800000000000004</v>
      </c>
      <c r="K127" s="6">
        <f t="shared" si="41"/>
        <v>11.570000000000007</v>
      </c>
      <c r="L127" s="7">
        <f t="shared" si="53"/>
        <v>0.23709016393442639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tr">
        <f t="shared" si="50"/>
        <v>Jabra</v>
      </c>
      <c r="B128" s="149" t="s">
        <v>332</v>
      </c>
      <c r="C128" s="4" t="s">
        <v>333</v>
      </c>
      <c r="D128" s="5" t="s">
        <v>13</v>
      </c>
      <c r="E128" s="17">
        <v>56</v>
      </c>
      <c r="F128" s="6">
        <v>34.04</v>
      </c>
      <c r="G128" s="7">
        <f t="shared" si="51"/>
        <v>0.39214285714285713</v>
      </c>
      <c r="H128" s="7"/>
      <c r="I128" s="7">
        <v>0.2</v>
      </c>
      <c r="J128" s="6">
        <f t="shared" si="52"/>
        <v>44.800000000000004</v>
      </c>
      <c r="K128" s="6">
        <f t="shared" si="41"/>
        <v>10.760000000000005</v>
      </c>
      <c r="L128" s="7">
        <f t="shared" si="53"/>
        <v>0.24017857142857157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tr">
        <f t="shared" si="50"/>
        <v>Jabra</v>
      </c>
      <c r="B129" s="149" t="s">
        <v>334</v>
      </c>
      <c r="C129" s="4" t="s">
        <v>335</v>
      </c>
      <c r="D129" s="5" t="s">
        <v>13</v>
      </c>
      <c r="E129" s="17">
        <v>61</v>
      </c>
      <c r="F129" s="6">
        <v>37.229999999999997</v>
      </c>
      <c r="G129" s="7">
        <f t="shared" si="51"/>
        <v>0.38967213114754107</v>
      </c>
      <c r="H129" s="7"/>
      <c r="I129" s="7">
        <v>0.2</v>
      </c>
      <c r="J129" s="6">
        <f t="shared" si="52"/>
        <v>48.800000000000004</v>
      </c>
      <c r="K129" s="6">
        <f t="shared" si="41"/>
        <v>11.570000000000007</v>
      </c>
      <c r="L129" s="7">
        <f t="shared" si="53"/>
        <v>0.23709016393442639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tr">
        <f t="shared" si="50"/>
        <v>Jabra</v>
      </c>
      <c r="B130" s="149" t="str">
        <f>"GN-5393-823-309"</f>
        <v>GN-5393-823-309</v>
      </c>
      <c r="C130" s="4" t="str">
        <f>"EVOLVE 30 II MS MONO"</f>
        <v>EVOLVE 30 II MS MONO</v>
      </c>
      <c r="D130" s="5" t="s">
        <v>13</v>
      </c>
      <c r="E130" s="17">
        <v>77</v>
      </c>
      <c r="F130" s="6">
        <v>46.16</v>
      </c>
      <c r="G130" s="7">
        <f t="shared" si="51"/>
        <v>0.40051948051948061</v>
      </c>
      <c r="H130" s="7"/>
      <c r="I130" s="7">
        <v>0.2</v>
      </c>
      <c r="J130" s="6">
        <f t="shared" si="52"/>
        <v>61.6</v>
      </c>
      <c r="K130" s="6">
        <f t="shared" si="41"/>
        <v>15.440000000000005</v>
      </c>
      <c r="L130" s="7">
        <f t="shared" si="53"/>
        <v>0.25064935064935068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tr">
        <f t="shared" si="50"/>
        <v>Jabra</v>
      </c>
      <c r="B131" s="149" t="str">
        <f>"GN-5399-823-309"</f>
        <v>GN-5399-823-309</v>
      </c>
      <c r="C131" s="4" t="str">
        <f>"EVOLVE 30 II MS DUO"</f>
        <v>EVOLVE 30 II MS DUO</v>
      </c>
      <c r="D131" s="5" t="s">
        <v>13</v>
      </c>
      <c r="E131" s="17">
        <v>83</v>
      </c>
      <c r="F131" s="6">
        <v>50.04</v>
      </c>
      <c r="G131" s="7">
        <f t="shared" si="51"/>
        <v>0.39710843373493976</v>
      </c>
      <c r="H131" s="7"/>
      <c r="I131" s="7">
        <v>0.2</v>
      </c>
      <c r="J131" s="6">
        <f t="shared" si="52"/>
        <v>66.400000000000006</v>
      </c>
      <c r="K131" s="6">
        <f t="shared" si="41"/>
        <v>16.360000000000007</v>
      </c>
      <c r="L131" s="7">
        <f t="shared" si="53"/>
        <v>0.24638554216867481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tr">
        <f t="shared" si="50"/>
        <v>Jabra</v>
      </c>
      <c r="B132" s="149" t="s">
        <v>336</v>
      </c>
      <c r="C132" s="4" t="s">
        <v>337</v>
      </c>
      <c r="D132" s="5" t="s">
        <v>13</v>
      </c>
      <c r="E132" s="17">
        <v>77</v>
      </c>
      <c r="F132" s="6">
        <v>46.16</v>
      </c>
      <c r="G132" s="7">
        <f t="shared" si="51"/>
        <v>0.40051948051948061</v>
      </c>
      <c r="H132" s="7"/>
      <c r="I132" s="7">
        <v>0.2</v>
      </c>
      <c r="J132" s="6">
        <f t="shared" si="52"/>
        <v>61.6</v>
      </c>
      <c r="K132" s="6">
        <f t="shared" si="41"/>
        <v>15.440000000000005</v>
      </c>
      <c r="L132" s="7">
        <f t="shared" si="53"/>
        <v>0.25064935064935068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tr">
        <f t="shared" si="50"/>
        <v>Jabra</v>
      </c>
      <c r="B133" s="149" t="str">
        <f>"GN-5399-829-309"</f>
        <v>GN-5399-829-309</v>
      </c>
      <c r="C133" s="4" t="str">
        <f>"EVOLVE 30 II UC DUO"</f>
        <v>EVOLVE 30 II UC DUO</v>
      </c>
      <c r="D133" s="5" t="s">
        <v>13</v>
      </c>
      <c r="E133" s="17">
        <v>83</v>
      </c>
      <c r="F133" s="6">
        <v>50.04</v>
      </c>
      <c r="G133" s="7">
        <f t="shared" si="51"/>
        <v>0.39710843373493976</v>
      </c>
      <c r="H133" s="7"/>
      <c r="I133" s="7">
        <v>0.2</v>
      </c>
      <c r="J133" s="6">
        <f t="shared" si="52"/>
        <v>66.400000000000006</v>
      </c>
      <c r="K133" s="6">
        <f t="shared" si="41"/>
        <v>16.360000000000007</v>
      </c>
      <c r="L133" s="7">
        <f t="shared" si="53"/>
        <v>0.24638554216867481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tr">
        <f t="shared" si="50"/>
        <v>Jabra</v>
      </c>
      <c r="B134" s="149" t="s">
        <v>338</v>
      </c>
      <c r="C134" s="4" t="s">
        <v>339</v>
      </c>
      <c r="D134" s="5" t="s">
        <v>13</v>
      </c>
      <c r="E134" s="17">
        <v>105</v>
      </c>
      <c r="F134" s="6">
        <v>63.44</v>
      </c>
      <c r="G134" s="7">
        <f t="shared" si="51"/>
        <v>0.39580952380952383</v>
      </c>
      <c r="H134" s="7"/>
      <c r="I134" s="7">
        <v>0.2</v>
      </c>
      <c r="J134" s="6">
        <f t="shared" si="52"/>
        <v>84</v>
      </c>
      <c r="K134" s="6">
        <f t="shared" si="41"/>
        <v>20.560000000000002</v>
      </c>
      <c r="L134" s="7">
        <f t="shared" si="53"/>
        <v>0.24476190476190474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tr">
        <f t="shared" si="50"/>
        <v>Jabra</v>
      </c>
      <c r="B135" s="149" t="s">
        <v>340</v>
      </c>
      <c r="C135" s="4" t="s">
        <v>341</v>
      </c>
      <c r="D135" s="5" t="s">
        <v>13</v>
      </c>
      <c r="E135" s="17">
        <v>120</v>
      </c>
      <c r="F135" s="6">
        <v>72.5</v>
      </c>
      <c r="G135" s="7">
        <f t="shared" si="51"/>
        <v>0.39583333333333337</v>
      </c>
      <c r="H135" s="7"/>
      <c r="I135" s="7">
        <v>0.2</v>
      </c>
      <c r="J135" s="6">
        <f t="shared" si="52"/>
        <v>96</v>
      </c>
      <c r="K135" s="6">
        <f t="shared" si="41"/>
        <v>23.5</v>
      </c>
      <c r="L135" s="7">
        <f t="shared" si="53"/>
        <v>0.24479166666666663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tr">
        <f t="shared" si="50"/>
        <v>Jabra</v>
      </c>
      <c r="B136" s="149" t="s">
        <v>342</v>
      </c>
      <c r="C136" s="4" t="s">
        <v>343</v>
      </c>
      <c r="D136" s="5" t="s">
        <v>13</v>
      </c>
      <c r="E136" s="17">
        <v>120</v>
      </c>
      <c r="F136" s="6">
        <v>72.5</v>
      </c>
      <c r="G136" s="7">
        <f t="shared" si="51"/>
        <v>0.39583333333333337</v>
      </c>
      <c r="H136" s="7"/>
      <c r="I136" s="7">
        <v>0.2</v>
      </c>
      <c r="J136" s="6">
        <f t="shared" si="52"/>
        <v>96</v>
      </c>
      <c r="K136" s="6">
        <f t="shared" si="41"/>
        <v>23.5</v>
      </c>
      <c r="L136" s="7">
        <f t="shared" si="53"/>
        <v>0.24479166666666663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tr">
        <f t="shared" si="50"/>
        <v>Jabra</v>
      </c>
      <c r="B137" s="149" t="str">
        <f>"GN-6393-823-109"</f>
        <v>GN-6393-823-109</v>
      </c>
      <c r="C137" s="4" t="str">
        <f>"JABRA EVOLVE 40 MS MONO"</f>
        <v>JABRA EVOLVE 40 MS MONO</v>
      </c>
      <c r="D137" s="5" t="s">
        <v>13</v>
      </c>
      <c r="E137" s="17">
        <v>105</v>
      </c>
      <c r="F137" s="6">
        <v>63.44</v>
      </c>
      <c r="G137" s="7">
        <f t="shared" si="51"/>
        <v>0.39580952380952383</v>
      </c>
      <c r="H137" s="7"/>
      <c r="I137" s="7">
        <v>0.2</v>
      </c>
      <c r="J137" s="6">
        <f t="shared" si="52"/>
        <v>84</v>
      </c>
      <c r="K137" s="6">
        <f t="shared" si="41"/>
        <v>20.560000000000002</v>
      </c>
      <c r="L137" s="7">
        <f t="shared" si="53"/>
        <v>0.24476190476190474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tr">
        <f t="shared" si="50"/>
        <v>Jabra</v>
      </c>
      <c r="B138" s="149" t="str">
        <f>"GN-6399-823-109"</f>
        <v>GN-6399-823-109</v>
      </c>
      <c r="C138" s="4" t="str">
        <f>"JABRA EVOLVE 40 MS STEREO"</f>
        <v>JABRA EVOLVE 40 MS STEREO</v>
      </c>
      <c r="D138" s="5" t="s">
        <v>13</v>
      </c>
      <c r="E138" s="17">
        <v>109</v>
      </c>
      <c r="F138" s="6">
        <v>67.02</v>
      </c>
      <c r="G138" s="7">
        <f t="shared" si="51"/>
        <v>0.38513761467889907</v>
      </c>
      <c r="H138" s="7"/>
      <c r="I138" s="7">
        <v>0.2</v>
      </c>
      <c r="J138" s="6">
        <f t="shared" si="52"/>
        <v>87.2</v>
      </c>
      <c r="K138" s="6">
        <f t="shared" si="41"/>
        <v>20.180000000000007</v>
      </c>
      <c r="L138" s="7">
        <f t="shared" si="53"/>
        <v>0.23142201834862397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tr">
        <f t="shared" si="50"/>
        <v>Jabra</v>
      </c>
      <c r="B139" s="149" t="str">
        <f>"GN-6393-829-209"</f>
        <v>GN-6393-829-209</v>
      </c>
      <c r="C139" s="4" t="str">
        <f>"JABRA EVOLVE 40 UC MONO"</f>
        <v>JABRA EVOLVE 40 UC MONO</v>
      </c>
      <c r="D139" s="5" t="s">
        <v>13</v>
      </c>
      <c r="E139" s="17">
        <v>95</v>
      </c>
      <c r="F139" s="6">
        <v>58.51</v>
      </c>
      <c r="G139" s="7">
        <f t="shared" si="51"/>
        <v>0.38410526315789473</v>
      </c>
      <c r="H139" s="7"/>
      <c r="I139" s="7">
        <v>0.2</v>
      </c>
      <c r="J139" s="6">
        <f t="shared" si="52"/>
        <v>76</v>
      </c>
      <c r="K139" s="6">
        <f t="shared" si="41"/>
        <v>17.490000000000002</v>
      </c>
      <c r="L139" s="7">
        <f t="shared" si="53"/>
        <v>0.23013157894736846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tr">
        <f t="shared" si="50"/>
        <v>Jabra</v>
      </c>
      <c r="B140" s="149" t="str">
        <f>"GN-6399-829-209"</f>
        <v>GN-6399-829-209</v>
      </c>
      <c r="C140" s="4" t="str">
        <f>"JABRA EVOLVE 40 UC STEREO"</f>
        <v>JABRA EVOLVE 40 UC STEREO</v>
      </c>
      <c r="D140" s="5" t="s">
        <v>13</v>
      </c>
      <c r="E140" s="17">
        <v>109</v>
      </c>
      <c r="F140" s="6">
        <v>67.02</v>
      </c>
      <c r="G140" s="7">
        <f t="shared" si="51"/>
        <v>0.38513761467889907</v>
      </c>
      <c r="H140" s="7"/>
      <c r="I140" s="7">
        <v>0.2</v>
      </c>
      <c r="J140" s="6">
        <f t="shared" si="52"/>
        <v>87.2</v>
      </c>
      <c r="K140" s="6">
        <f t="shared" si="41"/>
        <v>20.180000000000007</v>
      </c>
      <c r="L140" s="7">
        <f t="shared" si="53"/>
        <v>0.23142201834862397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tr">
        <f t="shared" si="50"/>
        <v>Jabra</v>
      </c>
      <c r="B141" s="149" t="str">
        <f>"GN-7899-823-109"</f>
        <v>GN-7899-823-109</v>
      </c>
      <c r="C141" s="4" t="str">
        <f>"JABRA EVOLVE 80 MS STEREO"</f>
        <v>JABRA EVOLVE 80 MS STEREO</v>
      </c>
      <c r="D141" s="5" t="s">
        <v>13</v>
      </c>
      <c r="E141" s="17">
        <v>346</v>
      </c>
      <c r="F141" s="6">
        <v>209.24</v>
      </c>
      <c r="G141" s="7">
        <f t="shared" si="51"/>
        <v>0.39526011560693641</v>
      </c>
      <c r="H141" s="7"/>
      <c r="I141" s="7">
        <v>0.2</v>
      </c>
      <c r="J141" s="6">
        <f t="shared" si="52"/>
        <v>276.8</v>
      </c>
      <c r="K141" s="6">
        <f t="shared" si="41"/>
        <v>67.56</v>
      </c>
      <c r="L141" s="7">
        <f t="shared" si="53"/>
        <v>0.24407514450867052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19" t="str">
        <f t="shared" si="50"/>
        <v>Jabra</v>
      </c>
      <c r="B142" s="153" t="str">
        <f>"GN-7899-829-209"</f>
        <v>GN-7899-829-209</v>
      </c>
      <c r="C142" s="19" t="str">
        <f>"JABRA EVOLVE 80 UC STEREO"</f>
        <v>JABRA EVOLVE 80 UC STEREO</v>
      </c>
      <c r="D142" s="20" t="s">
        <v>13</v>
      </c>
      <c r="E142" s="21">
        <v>346</v>
      </c>
      <c r="F142" s="22">
        <v>209.24</v>
      </c>
      <c r="G142" s="23">
        <f t="shared" si="51"/>
        <v>0.39526011560693641</v>
      </c>
      <c r="H142" s="23"/>
      <c r="I142" s="23">
        <v>0.25</v>
      </c>
      <c r="J142" s="22">
        <f t="shared" si="52"/>
        <v>259.5</v>
      </c>
      <c r="K142" s="6">
        <f t="shared" si="41"/>
        <v>50.259999999999991</v>
      </c>
      <c r="L142" s="23">
        <f t="shared" si="53"/>
        <v>0.19368015414258188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305</v>
      </c>
      <c r="B143" s="149" t="s">
        <v>344</v>
      </c>
      <c r="C143" s="4" t="s">
        <v>345</v>
      </c>
      <c r="D143" s="5" t="s">
        <v>13</v>
      </c>
      <c r="E143" s="17">
        <v>20</v>
      </c>
      <c r="F143" s="6">
        <v>10.64</v>
      </c>
      <c r="G143" s="7">
        <f t="shared" ref="G143:G161" si="54">1-(F143/E143)</f>
        <v>0.46799999999999997</v>
      </c>
      <c r="H143" s="7"/>
      <c r="I143" s="7">
        <v>0.2</v>
      </c>
      <c r="J143" s="6">
        <f t="shared" ref="J143:J161" si="55">E143*(1-I143)</f>
        <v>16</v>
      </c>
      <c r="K143" s="6">
        <f t="shared" si="41"/>
        <v>5.3599999999999994</v>
      </c>
      <c r="L143" s="7">
        <f t="shared" ref="L143:L161" si="56">1-(F143/J143)</f>
        <v>0.33499999999999996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305</v>
      </c>
      <c r="B144" s="149" t="s">
        <v>346</v>
      </c>
      <c r="C144" s="4" t="s">
        <v>347</v>
      </c>
      <c r="D144" s="5" t="s">
        <v>13</v>
      </c>
      <c r="E144" s="17">
        <v>30</v>
      </c>
      <c r="F144" s="6">
        <v>16.600000000000001</v>
      </c>
      <c r="G144" s="7">
        <f t="shared" si="54"/>
        <v>0.44666666666666666</v>
      </c>
      <c r="H144" s="7"/>
      <c r="I144" s="7">
        <v>0.2</v>
      </c>
      <c r="J144" s="6">
        <f t="shared" si="55"/>
        <v>24</v>
      </c>
      <c r="K144" s="6">
        <f t="shared" si="41"/>
        <v>7.3999999999999986</v>
      </c>
      <c r="L144" s="7">
        <f t="shared" si="56"/>
        <v>0.30833333333333324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305</v>
      </c>
      <c r="B145" s="149" t="s">
        <v>348</v>
      </c>
      <c r="C145" s="4" t="s">
        <v>349</v>
      </c>
      <c r="D145" s="5" t="s">
        <v>13</v>
      </c>
      <c r="E145" s="17">
        <v>100</v>
      </c>
      <c r="F145" s="6">
        <v>51.06</v>
      </c>
      <c r="G145" s="7">
        <f t="shared" si="54"/>
        <v>0.48939999999999995</v>
      </c>
      <c r="H145" s="7"/>
      <c r="I145" s="7">
        <v>0.2</v>
      </c>
      <c r="J145" s="6">
        <f t="shared" si="55"/>
        <v>80</v>
      </c>
      <c r="K145" s="6">
        <f t="shared" si="41"/>
        <v>28.939999999999998</v>
      </c>
      <c r="L145" s="7">
        <f t="shared" si="56"/>
        <v>0.36175000000000002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305</v>
      </c>
      <c r="B146" s="149" t="s">
        <v>350</v>
      </c>
      <c r="C146" s="4" t="s">
        <v>351</v>
      </c>
      <c r="D146" s="5" t="s">
        <v>13</v>
      </c>
      <c r="E146" s="17">
        <v>21</v>
      </c>
      <c r="F146" s="6">
        <v>10.64</v>
      </c>
      <c r="G146" s="7">
        <f t="shared" si="54"/>
        <v>0.49333333333333329</v>
      </c>
      <c r="H146" s="7"/>
      <c r="I146" s="7">
        <v>0.2</v>
      </c>
      <c r="J146" s="6">
        <f t="shared" si="55"/>
        <v>16.8</v>
      </c>
      <c r="K146" s="6">
        <f t="shared" si="41"/>
        <v>6.16</v>
      </c>
      <c r="L146" s="7">
        <f t="shared" si="56"/>
        <v>0.3666666666666667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305</v>
      </c>
      <c r="B147" s="149" t="s">
        <v>352</v>
      </c>
      <c r="C147" s="4" t="s">
        <v>353</v>
      </c>
      <c r="D147" s="5" t="s">
        <v>13</v>
      </c>
      <c r="E147" s="17">
        <v>50</v>
      </c>
      <c r="F147" s="6">
        <v>25.53</v>
      </c>
      <c r="G147" s="7">
        <f t="shared" si="54"/>
        <v>0.48939999999999995</v>
      </c>
      <c r="H147" s="7"/>
      <c r="I147" s="7">
        <v>0.2</v>
      </c>
      <c r="J147" s="6">
        <f t="shared" si="55"/>
        <v>40</v>
      </c>
      <c r="K147" s="6">
        <f t="shared" si="41"/>
        <v>14.469999999999999</v>
      </c>
      <c r="L147" s="7">
        <f t="shared" si="56"/>
        <v>0.36175000000000002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305</v>
      </c>
      <c r="B148" s="149" t="s">
        <v>354</v>
      </c>
      <c r="C148" s="4" t="s">
        <v>355</v>
      </c>
      <c r="D148" s="5" t="s">
        <v>13</v>
      </c>
      <c r="E148" s="17">
        <v>89</v>
      </c>
      <c r="F148" s="6">
        <v>45.74</v>
      </c>
      <c r="G148" s="7">
        <f t="shared" si="54"/>
        <v>0.48606741573033707</v>
      </c>
      <c r="H148" s="7"/>
      <c r="I148" s="7">
        <v>0.2</v>
      </c>
      <c r="J148" s="6">
        <f t="shared" si="55"/>
        <v>71.2</v>
      </c>
      <c r="K148" s="6">
        <f t="shared" si="41"/>
        <v>25.46</v>
      </c>
      <c r="L148" s="7">
        <f t="shared" si="56"/>
        <v>0.35758426966292134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305</v>
      </c>
      <c r="B149" s="149" t="s">
        <v>356</v>
      </c>
      <c r="C149" s="4" t="s">
        <v>357</v>
      </c>
      <c r="D149" s="5" t="s">
        <v>13</v>
      </c>
      <c r="E149" s="17">
        <v>60</v>
      </c>
      <c r="F149" s="6">
        <v>33.19</v>
      </c>
      <c r="G149" s="7">
        <f t="shared" si="54"/>
        <v>0.44683333333333342</v>
      </c>
      <c r="H149" s="7"/>
      <c r="I149" s="7">
        <v>0.2</v>
      </c>
      <c r="J149" s="6">
        <f t="shared" si="55"/>
        <v>48</v>
      </c>
      <c r="K149" s="6">
        <f t="shared" si="41"/>
        <v>14.810000000000002</v>
      </c>
      <c r="L149" s="7">
        <f t="shared" si="56"/>
        <v>0.30854166666666671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 t="s">
        <v>305</v>
      </c>
      <c r="B150" s="149" t="s">
        <v>358</v>
      </c>
      <c r="C150" s="4" t="s">
        <v>359</v>
      </c>
      <c r="D150" s="5" t="s">
        <v>13</v>
      </c>
      <c r="E150" s="17">
        <v>100</v>
      </c>
      <c r="F150" s="6">
        <v>55.32</v>
      </c>
      <c r="G150" s="7">
        <f t="shared" si="54"/>
        <v>0.44679999999999997</v>
      </c>
      <c r="H150" s="7"/>
      <c r="I150" s="7">
        <v>0.2</v>
      </c>
      <c r="J150" s="6">
        <f t="shared" si="55"/>
        <v>80</v>
      </c>
      <c r="K150" s="6">
        <f t="shared" si="41"/>
        <v>24.68</v>
      </c>
      <c r="L150" s="7">
        <f t="shared" si="56"/>
        <v>0.3085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305</v>
      </c>
      <c r="B151" s="149" t="s">
        <v>360</v>
      </c>
      <c r="C151" s="4" t="s">
        <v>361</v>
      </c>
      <c r="D151" s="5" t="s">
        <v>13</v>
      </c>
      <c r="E151" s="17">
        <v>50</v>
      </c>
      <c r="F151" s="6">
        <v>25.53</v>
      </c>
      <c r="G151" s="7">
        <f t="shared" si="54"/>
        <v>0.48939999999999995</v>
      </c>
      <c r="H151" s="7"/>
      <c r="I151" s="7">
        <v>0.2</v>
      </c>
      <c r="J151" s="6">
        <f t="shared" si="55"/>
        <v>40</v>
      </c>
      <c r="K151" s="6">
        <f t="shared" si="41"/>
        <v>14.469999999999999</v>
      </c>
      <c r="L151" s="7">
        <f t="shared" si="56"/>
        <v>0.36175000000000002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305</v>
      </c>
      <c r="B152" s="149" t="s">
        <v>362</v>
      </c>
      <c r="C152" s="4" t="s">
        <v>363</v>
      </c>
      <c r="D152" s="5" t="s">
        <v>13</v>
      </c>
      <c r="E152" s="17">
        <v>50</v>
      </c>
      <c r="F152" s="6">
        <v>25.53</v>
      </c>
      <c r="G152" s="7">
        <f t="shared" si="54"/>
        <v>0.48939999999999995</v>
      </c>
      <c r="H152" s="7"/>
      <c r="I152" s="7">
        <v>0.2</v>
      </c>
      <c r="J152" s="6">
        <f t="shared" si="55"/>
        <v>40</v>
      </c>
      <c r="K152" s="6">
        <f t="shared" si="41"/>
        <v>14.469999999999999</v>
      </c>
      <c r="L152" s="7">
        <f t="shared" si="56"/>
        <v>0.36175000000000002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305</v>
      </c>
      <c r="B153" s="149" t="s">
        <v>264</v>
      </c>
      <c r="C153" s="4" t="s">
        <v>364</v>
      </c>
      <c r="D153" s="5" t="s">
        <v>13</v>
      </c>
      <c r="E153" s="17">
        <v>50</v>
      </c>
      <c r="F153" s="6">
        <v>25.53</v>
      </c>
      <c r="G153" s="7">
        <f t="shared" si="54"/>
        <v>0.48939999999999995</v>
      </c>
      <c r="H153" s="7"/>
      <c r="I153" s="7">
        <v>0.2</v>
      </c>
      <c r="J153" s="6">
        <f t="shared" si="55"/>
        <v>40</v>
      </c>
      <c r="K153" s="6">
        <f t="shared" si="41"/>
        <v>14.469999999999999</v>
      </c>
      <c r="L153" s="7">
        <f t="shared" si="56"/>
        <v>0.36175000000000002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305</v>
      </c>
      <c r="B154" s="149" t="s">
        <v>365</v>
      </c>
      <c r="C154" s="4" t="s">
        <v>366</v>
      </c>
      <c r="D154" s="5" t="s">
        <v>13</v>
      </c>
      <c r="E154" s="17">
        <v>50</v>
      </c>
      <c r="F154" s="6">
        <v>25.53</v>
      </c>
      <c r="G154" s="7">
        <f t="shared" si="54"/>
        <v>0.48939999999999995</v>
      </c>
      <c r="H154" s="7"/>
      <c r="I154" s="7">
        <v>0.2</v>
      </c>
      <c r="J154" s="6">
        <f t="shared" si="55"/>
        <v>40</v>
      </c>
      <c r="K154" s="6">
        <f t="shared" si="41"/>
        <v>14.469999999999999</v>
      </c>
      <c r="L154" s="7">
        <f t="shared" si="56"/>
        <v>0.36175000000000002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305</v>
      </c>
      <c r="B155" s="149" t="s">
        <v>367</v>
      </c>
      <c r="C155" s="4" t="s">
        <v>368</v>
      </c>
      <c r="D155" s="5" t="s">
        <v>13</v>
      </c>
      <c r="E155" s="17">
        <v>55</v>
      </c>
      <c r="F155" s="6">
        <v>33.94</v>
      </c>
      <c r="G155" s="7">
        <f t="shared" si="54"/>
        <v>0.38290909090909098</v>
      </c>
      <c r="H155" s="7"/>
      <c r="I155" s="7">
        <v>0.2</v>
      </c>
      <c r="J155" s="6">
        <f t="shared" si="55"/>
        <v>44</v>
      </c>
      <c r="K155" s="6">
        <f t="shared" si="41"/>
        <v>10.060000000000002</v>
      </c>
      <c r="L155" s="7">
        <f t="shared" si="56"/>
        <v>0.22863636363636364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305</v>
      </c>
      <c r="B156" s="149" t="s">
        <v>369</v>
      </c>
      <c r="C156" s="4" t="s">
        <v>370</v>
      </c>
      <c r="D156" s="5" t="s">
        <v>13</v>
      </c>
      <c r="E156" s="17">
        <v>55</v>
      </c>
      <c r="F156" s="6">
        <v>33.94</v>
      </c>
      <c r="G156" s="7">
        <f t="shared" si="54"/>
        <v>0.38290909090909098</v>
      </c>
      <c r="H156" s="7"/>
      <c r="I156" s="7">
        <v>0.2</v>
      </c>
      <c r="J156" s="6">
        <f t="shared" si="55"/>
        <v>44</v>
      </c>
      <c r="K156" s="6">
        <f t="shared" si="41"/>
        <v>10.060000000000002</v>
      </c>
      <c r="L156" s="7">
        <f t="shared" si="56"/>
        <v>0.22863636363636364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305</v>
      </c>
      <c r="B157" s="149" t="s">
        <v>371</v>
      </c>
      <c r="C157" s="4" t="s">
        <v>372</v>
      </c>
      <c r="D157" s="5" t="s">
        <v>13</v>
      </c>
      <c r="E157" s="17">
        <v>75</v>
      </c>
      <c r="F157" s="6">
        <v>41.49</v>
      </c>
      <c r="G157" s="7">
        <f t="shared" si="54"/>
        <v>0.44679999999999997</v>
      </c>
      <c r="H157" s="7"/>
      <c r="I157" s="7">
        <v>0.2</v>
      </c>
      <c r="J157" s="6">
        <f t="shared" si="55"/>
        <v>60</v>
      </c>
      <c r="K157" s="6">
        <f t="shared" si="41"/>
        <v>18.509999999999998</v>
      </c>
      <c r="L157" s="7">
        <f t="shared" si="56"/>
        <v>0.3085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tr">
        <f t="shared" ref="A158:A161" si="57">"Jabra"</f>
        <v>Jabra</v>
      </c>
      <c r="B158" s="149" t="str">
        <f>"GN-14401-10"</f>
        <v>GN-14401-10</v>
      </c>
      <c r="C158" s="4" t="s">
        <v>373</v>
      </c>
      <c r="D158" s="5" t="s">
        <v>13</v>
      </c>
      <c r="E158" s="17">
        <v>75</v>
      </c>
      <c r="F158" s="6">
        <v>41.49</v>
      </c>
      <c r="G158" s="7">
        <f t="shared" si="54"/>
        <v>0.44679999999999997</v>
      </c>
      <c r="H158" s="7"/>
      <c r="I158" s="7">
        <v>0.2</v>
      </c>
      <c r="J158" s="6">
        <f t="shared" si="55"/>
        <v>60</v>
      </c>
      <c r="K158" s="6">
        <f t="shared" si="41"/>
        <v>18.509999999999998</v>
      </c>
      <c r="L158" s="7">
        <f t="shared" si="56"/>
        <v>0.3085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tr">
        <f t="shared" si="57"/>
        <v>Jabra</v>
      </c>
      <c r="B159" s="149" t="str">
        <f>"GN-14401-11"</f>
        <v>GN-14401-11</v>
      </c>
      <c r="C159" s="4" t="str">
        <f>"Jabra EVOLVE 80 Stereo HS"</f>
        <v>Jabra EVOLVE 80 Stereo HS</v>
      </c>
      <c r="D159" s="5" t="s">
        <v>13</v>
      </c>
      <c r="E159" s="17">
        <v>300</v>
      </c>
      <c r="F159" s="6">
        <v>165.96</v>
      </c>
      <c r="G159" s="7">
        <f t="shared" si="54"/>
        <v>0.44679999999999997</v>
      </c>
      <c r="H159" s="7"/>
      <c r="I159" s="7">
        <v>0.2</v>
      </c>
      <c r="J159" s="6">
        <f t="shared" si="55"/>
        <v>240</v>
      </c>
      <c r="K159" s="6">
        <f t="shared" si="41"/>
        <v>74.039999999999992</v>
      </c>
      <c r="L159" s="7">
        <f t="shared" si="56"/>
        <v>0.3085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tr">
        <f t="shared" si="57"/>
        <v>Jabra</v>
      </c>
      <c r="B160" s="149" t="s">
        <v>374</v>
      </c>
      <c r="C160" s="4" t="s">
        <v>375</v>
      </c>
      <c r="D160" s="5" t="s">
        <v>13</v>
      </c>
      <c r="E160" s="17">
        <v>35</v>
      </c>
      <c r="F160" s="6">
        <v>18.09</v>
      </c>
      <c r="G160" s="7">
        <f t="shared" si="54"/>
        <v>0.4831428571428571</v>
      </c>
      <c r="H160" s="7"/>
      <c r="I160" s="7">
        <v>0.2</v>
      </c>
      <c r="J160" s="6">
        <f t="shared" si="55"/>
        <v>28</v>
      </c>
      <c r="K160" s="6">
        <f t="shared" si="41"/>
        <v>9.91</v>
      </c>
      <c r="L160" s="7">
        <f t="shared" si="56"/>
        <v>0.35392857142857148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19" t="str">
        <f t="shared" si="57"/>
        <v>Jabra</v>
      </c>
      <c r="B161" s="153" t="s">
        <v>376</v>
      </c>
      <c r="C161" s="19" t="s">
        <v>377</v>
      </c>
      <c r="D161" s="20" t="s">
        <v>13</v>
      </c>
      <c r="E161" s="21">
        <v>40</v>
      </c>
      <c r="F161" s="22">
        <v>20.21</v>
      </c>
      <c r="G161" s="23">
        <f t="shared" si="54"/>
        <v>0.49475000000000002</v>
      </c>
      <c r="H161" s="23"/>
      <c r="I161" s="23">
        <v>0.35</v>
      </c>
      <c r="J161" s="22">
        <f t="shared" si="55"/>
        <v>26</v>
      </c>
      <c r="K161" s="6">
        <f t="shared" si="41"/>
        <v>5.7899999999999991</v>
      </c>
      <c r="L161" s="23">
        <f t="shared" si="56"/>
        <v>0.22269230769230763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305</v>
      </c>
      <c r="B162" s="149" t="s">
        <v>378</v>
      </c>
      <c r="C162" s="4" t="s">
        <v>379</v>
      </c>
      <c r="D162" s="5" t="s">
        <v>13</v>
      </c>
      <c r="E162" s="17">
        <v>190</v>
      </c>
      <c r="F162" s="6">
        <v>105.11</v>
      </c>
      <c r="G162" s="7">
        <f t="shared" ref="G162:G163" si="58">1-(F162/E162)</f>
        <v>0.44678947368421051</v>
      </c>
      <c r="H162" s="7"/>
      <c r="I162" s="7">
        <v>0.2</v>
      </c>
      <c r="J162" s="6">
        <f t="shared" ref="J162:J163" si="59">E162*(1-I162)</f>
        <v>152</v>
      </c>
      <c r="K162" s="6">
        <f t="shared" si="41"/>
        <v>46.89</v>
      </c>
      <c r="L162" s="7">
        <f t="shared" ref="L162:L163" si="60">1-(F162/J162)</f>
        <v>0.30848684210526311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19" t="s">
        <v>305</v>
      </c>
      <c r="B163" s="153" t="s">
        <v>380</v>
      </c>
      <c r="C163" s="19" t="s">
        <v>381</v>
      </c>
      <c r="D163" s="20" t="s">
        <v>13</v>
      </c>
      <c r="E163" s="21">
        <v>210</v>
      </c>
      <c r="F163" s="22">
        <v>117.17</v>
      </c>
      <c r="G163" s="23">
        <f t="shared" si="58"/>
        <v>0.44204761904761902</v>
      </c>
      <c r="H163" s="23"/>
      <c r="I163" s="23">
        <v>0.3</v>
      </c>
      <c r="J163" s="22">
        <f t="shared" si="59"/>
        <v>147</v>
      </c>
      <c r="K163" s="6">
        <f t="shared" si="41"/>
        <v>29.83</v>
      </c>
      <c r="L163" s="23">
        <f t="shared" si="60"/>
        <v>0.20292517006802724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305</v>
      </c>
      <c r="B164" s="149" t="s">
        <v>382</v>
      </c>
      <c r="C164" s="4" t="s">
        <v>383</v>
      </c>
      <c r="D164" s="5" t="s">
        <v>13</v>
      </c>
      <c r="E164" s="17">
        <v>95</v>
      </c>
      <c r="F164" s="6">
        <v>52.55</v>
      </c>
      <c r="G164" s="7">
        <f t="shared" ref="G164:G172" si="61">1-(F164/E164)</f>
        <v>0.44684210526315793</v>
      </c>
      <c r="H164" s="7"/>
      <c r="I164" s="7">
        <v>0.2</v>
      </c>
      <c r="J164" s="6">
        <f t="shared" ref="J164:J172" si="62">E164*(1-I164)</f>
        <v>76</v>
      </c>
      <c r="K164" s="6">
        <f t="shared" si="41"/>
        <v>23.450000000000003</v>
      </c>
      <c r="L164" s="7">
        <f t="shared" ref="L164:L172" si="63">1-(F164/J164)</f>
        <v>0.30855263157894741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305</v>
      </c>
      <c r="B165" s="149" t="s">
        <v>384</v>
      </c>
      <c r="C165" s="4" t="s">
        <v>385</v>
      </c>
      <c r="D165" s="5" t="s">
        <v>13</v>
      </c>
      <c r="E165" s="17">
        <v>95</v>
      </c>
      <c r="F165" s="6">
        <v>52.55</v>
      </c>
      <c r="G165" s="7">
        <f t="shared" si="61"/>
        <v>0.44684210526315793</v>
      </c>
      <c r="H165" s="7"/>
      <c r="I165" s="7">
        <v>0.2</v>
      </c>
      <c r="J165" s="6">
        <f t="shared" si="62"/>
        <v>76</v>
      </c>
      <c r="K165" s="6">
        <f t="shared" si="41"/>
        <v>23.450000000000003</v>
      </c>
      <c r="L165" s="7">
        <f t="shared" si="63"/>
        <v>0.30855263157894741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305</v>
      </c>
      <c r="B166" s="149" t="s">
        <v>386</v>
      </c>
      <c r="C166" s="4" t="s">
        <v>387</v>
      </c>
      <c r="D166" s="5" t="s">
        <v>13</v>
      </c>
      <c r="E166" s="17">
        <v>95</v>
      </c>
      <c r="F166" s="6">
        <v>52.55</v>
      </c>
      <c r="G166" s="7">
        <f t="shared" si="61"/>
        <v>0.44684210526315793</v>
      </c>
      <c r="H166" s="7"/>
      <c r="I166" s="7">
        <v>0.2</v>
      </c>
      <c r="J166" s="6">
        <f t="shared" si="62"/>
        <v>76</v>
      </c>
      <c r="K166" s="6">
        <f t="shared" si="41"/>
        <v>23.450000000000003</v>
      </c>
      <c r="L166" s="7">
        <f t="shared" si="63"/>
        <v>0.30855263157894741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305</v>
      </c>
      <c r="B167" s="149" t="s">
        <v>388</v>
      </c>
      <c r="C167" s="4" t="s">
        <v>389</v>
      </c>
      <c r="D167" s="5" t="s">
        <v>13</v>
      </c>
      <c r="E167" s="17">
        <v>95</v>
      </c>
      <c r="F167" s="6">
        <v>52.55</v>
      </c>
      <c r="G167" s="7">
        <f t="shared" si="61"/>
        <v>0.44684210526315793</v>
      </c>
      <c r="H167" s="7"/>
      <c r="I167" s="7">
        <v>0.2</v>
      </c>
      <c r="J167" s="6">
        <f t="shared" si="62"/>
        <v>76</v>
      </c>
      <c r="K167" s="6">
        <f t="shared" si="41"/>
        <v>23.450000000000003</v>
      </c>
      <c r="L167" s="7">
        <f t="shared" si="63"/>
        <v>0.30855263157894741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305</v>
      </c>
      <c r="B168" s="149" t="s">
        <v>390</v>
      </c>
      <c r="C168" s="4" t="s">
        <v>391</v>
      </c>
      <c r="D168" s="5" t="s">
        <v>13</v>
      </c>
      <c r="E168" s="17">
        <v>60</v>
      </c>
      <c r="F168" s="6">
        <v>33.19</v>
      </c>
      <c r="G168" s="7">
        <f t="shared" si="61"/>
        <v>0.44683333333333342</v>
      </c>
      <c r="H168" s="7"/>
      <c r="I168" s="7">
        <v>0.2</v>
      </c>
      <c r="J168" s="6">
        <f t="shared" si="62"/>
        <v>48</v>
      </c>
      <c r="K168" s="6">
        <f t="shared" si="41"/>
        <v>14.810000000000002</v>
      </c>
      <c r="L168" s="7">
        <f t="shared" si="63"/>
        <v>0.30854166666666671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305</v>
      </c>
      <c r="B169" s="149" t="s">
        <v>392</v>
      </c>
      <c r="C169" s="4" t="s">
        <v>393</v>
      </c>
      <c r="D169" s="5" t="s">
        <v>13</v>
      </c>
      <c r="E169" s="17">
        <v>12</v>
      </c>
      <c r="F169" s="6">
        <v>6.64</v>
      </c>
      <c r="G169" s="7">
        <f t="shared" si="61"/>
        <v>0.44666666666666666</v>
      </c>
      <c r="H169" s="7"/>
      <c r="I169" s="7">
        <v>0.2</v>
      </c>
      <c r="J169" s="6">
        <f t="shared" si="62"/>
        <v>9.6000000000000014</v>
      </c>
      <c r="K169" s="6">
        <f t="shared" si="41"/>
        <v>2.9600000000000017</v>
      </c>
      <c r="L169" s="7">
        <f t="shared" si="63"/>
        <v>0.30833333333333346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305</v>
      </c>
      <c r="B170" s="149" t="s">
        <v>394</v>
      </c>
      <c r="C170" s="4" t="s">
        <v>395</v>
      </c>
      <c r="D170" s="5" t="s">
        <v>13</v>
      </c>
      <c r="E170" s="17">
        <v>30</v>
      </c>
      <c r="F170" s="6">
        <v>16.600000000000001</v>
      </c>
      <c r="G170" s="7">
        <f t="shared" si="61"/>
        <v>0.44666666666666666</v>
      </c>
      <c r="H170" s="7"/>
      <c r="I170" s="7">
        <v>0.2</v>
      </c>
      <c r="J170" s="6">
        <f t="shared" si="62"/>
        <v>24</v>
      </c>
      <c r="K170" s="6">
        <f t="shared" si="41"/>
        <v>7.3999999999999986</v>
      </c>
      <c r="L170" s="7">
        <f t="shared" si="63"/>
        <v>0.30833333333333324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305</v>
      </c>
      <c r="B171" s="149" t="s">
        <v>396</v>
      </c>
      <c r="C171" s="4" t="s">
        <v>395</v>
      </c>
      <c r="D171" s="5" t="s">
        <v>13</v>
      </c>
      <c r="E171" s="17">
        <v>30</v>
      </c>
      <c r="F171" s="6">
        <v>16.600000000000001</v>
      </c>
      <c r="G171" s="7">
        <f t="shared" si="61"/>
        <v>0.44666666666666666</v>
      </c>
      <c r="H171" s="7"/>
      <c r="I171" s="7">
        <v>0.2</v>
      </c>
      <c r="J171" s="6">
        <f t="shared" si="62"/>
        <v>24</v>
      </c>
      <c r="K171" s="6">
        <f t="shared" si="41"/>
        <v>7.3999999999999986</v>
      </c>
      <c r="L171" s="7">
        <f t="shared" si="63"/>
        <v>0.30833333333333324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8" t="s">
        <v>305</v>
      </c>
      <c r="B172" s="152" t="s">
        <v>397</v>
      </c>
      <c r="C172" s="8" t="s">
        <v>398</v>
      </c>
      <c r="D172" s="9" t="s">
        <v>13</v>
      </c>
      <c r="E172" s="18">
        <v>25</v>
      </c>
      <c r="F172" s="10">
        <v>13.83</v>
      </c>
      <c r="G172" s="11">
        <f t="shared" si="61"/>
        <v>0.44679999999999997</v>
      </c>
      <c r="H172" s="11"/>
      <c r="I172" s="11">
        <v>0.3</v>
      </c>
      <c r="J172" s="10">
        <f t="shared" si="62"/>
        <v>17.5</v>
      </c>
      <c r="K172" s="6">
        <f t="shared" si="41"/>
        <v>3.67</v>
      </c>
      <c r="L172" s="11">
        <f t="shared" si="63"/>
        <v>0.20971428571428574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305</v>
      </c>
      <c r="B173" s="149" t="s">
        <v>399</v>
      </c>
      <c r="C173" s="4" t="s">
        <v>400</v>
      </c>
      <c r="D173" s="5" t="s">
        <v>13</v>
      </c>
      <c r="E173" s="17">
        <v>90</v>
      </c>
      <c r="F173" s="6">
        <v>55.32</v>
      </c>
      <c r="G173" s="7">
        <f t="shared" ref="G173:G178" si="64">1-(F173/E173)</f>
        <v>0.38533333333333331</v>
      </c>
      <c r="H173" s="7"/>
      <c r="I173" s="7">
        <v>0.2</v>
      </c>
      <c r="J173" s="6">
        <f t="shared" ref="J173:J178" si="65">E173*(1-I173)</f>
        <v>72</v>
      </c>
      <c r="K173" s="6">
        <f t="shared" si="41"/>
        <v>16.68</v>
      </c>
      <c r="L173" s="7">
        <f t="shared" ref="L173:L178" si="66">1-(F173/J173)</f>
        <v>0.23166666666666669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305</v>
      </c>
      <c r="B174" s="149" t="s">
        <v>401</v>
      </c>
      <c r="C174" s="4" t="s">
        <v>402</v>
      </c>
      <c r="D174" s="5" t="s">
        <v>13</v>
      </c>
      <c r="E174" s="17">
        <v>100</v>
      </c>
      <c r="F174" s="6">
        <v>63.83</v>
      </c>
      <c r="G174" s="7">
        <f t="shared" si="64"/>
        <v>0.36170000000000002</v>
      </c>
      <c r="H174" s="7"/>
      <c r="I174" s="7">
        <v>0.2</v>
      </c>
      <c r="J174" s="6">
        <f t="shared" si="65"/>
        <v>80</v>
      </c>
      <c r="K174" s="6">
        <f t="shared" si="41"/>
        <v>16.170000000000002</v>
      </c>
      <c r="L174" s="7">
        <f t="shared" si="66"/>
        <v>0.202125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305</v>
      </c>
      <c r="B175" s="149" t="s">
        <v>403</v>
      </c>
      <c r="C175" s="4" t="s">
        <v>404</v>
      </c>
      <c r="D175" s="5" t="s">
        <v>13</v>
      </c>
      <c r="E175" s="17">
        <v>65</v>
      </c>
      <c r="F175" s="6">
        <v>39.36</v>
      </c>
      <c r="G175" s="7">
        <f t="shared" si="64"/>
        <v>0.39446153846153842</v>
      </c>
      <c r="H175" s="7"/>
      <c r="I175" s="7">
        <v>0.2</v>
      </c>
      <c r="J175" s="6">
        <f t="shared" si="65"/>
        <v>52</v>
      </c>
      <c r="K175" s="6">
        <f t="shared" si="41"/>
        <v>12.64</v>
      </c>
      <c r="L175" s="7">
        <f t="shared" si="66"/>
        <v>0.24307692307692308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305</v>
      </c>
      <c r="B176" s="149" t="s">
        <v>405</v>
      </c>
      <c r="C176" s="4" t="s">
        <v>406</v>
      </c>
      <c r="D176" s="5" t="s">
        <v>13</v>
      </c>
      <c r="E176" s="17">
        <v>70</v>
      </c>
      <c r="F176" s="6">
        <v>43.62</v>
      </c>
      <c r="G176" s="7">
        <f t="shared" si="64"/>
        <v>0.37685714285714289</v>
      </c>
      <c r="H176" s="7"/>
      <c r="I176" s="7">
        <v>0.2</v>
      </c>
      <c r="J176" s="6">
        <f t="shared" si="65"/>
        <v>56</v>
      </c>
      <c r="K176" s="6">
        <f t="shared" si="41"/>
        <v>12.380000000000003</v>
      </c>
      <c r="L176" s="7">
        <f t="shared" si="66"/>
        <v>0.22107142857142859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305</v>
      </c>
      <c r="B177" s="149" t="s">
        <v>407</v>
      </c>
      <c r="C177" s="4" t="s">
        <v>408</v>
      </c>
      <c r="D177" s="5" t="s">
        <v>13</v>
      </c>
      <c r="E177" s="17">
        <v>35</v>
      </c>
      <c r="F177" s="6">
        <v>24.47</v>
      </c>
      <c r="G177" s="7">
        <f t="shared" si="64"/>
        <v>0.30085714285714293</v>
      </c>
      <c r="H177" s="7"/>
      <c r="I177" s="7">
        <v>0.15</v>
      </c>
      <c r="J177" s="6">
        <f t="shared" si="65"/>
        <v>29.75</v>
      </c>
      <c r="K177" s="6">
        <f t="shared" si="41"/>
        <v>5.2800000000000011</v>
      </c>
      <c r="L177" s="7">
        <f t="shared" si="66"/>
        <v>0.17747899159663871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8" t="s">
        <v>305</v>
      </c>
      <c r="B178" s="152" t="s">
        <v>409</v>
      </c>
      <c r="C178" s="8" t="s">
        <v>410</v>
      </c>
      <c r="D178" s="9" t="s">
        <v>13</v>
      </c>
      <c r="E178" s="18">
        <v>40</v>
      </c>
      <c r="F178" s="10">
        <v>27.66</v>
      </c>
      <c r="G178" s="11">
        <f t="shared" si="64"/>
        <v>0.3085</v>
      </c>
      <c r="H178" s="11"/>
      <c r="I178" s="11">
        <v>0.15</v>
      </c>
      <c r="J178" s="10">
        <f t="shared" si="65"/>
        <v>34</v>
      </c>
      <c r="K178" s="6">
        <f t="shared" si="41"/>
        <v>6.34</v>
      </c>
      <c r="L178" s="11">
        <f t="shared" si="66"/>
        <v>0.18647058823529417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tr">
        <f t="shared" ref="A179:A184" si="67">"Jabra"</f>
        <v>Jabra</v>
      </c>
      <c r="B179" s="149" t="s">
        <v>411</v>
      </c>
      <c r="C179" s="4" t="s">
        <v>412</v>
      </c>
      <c r="D179" s="5" t="s">
        <v>13</v>
      </c>
      <c r="E179" s="17">
        <v>112</v>
      </c>
      <c r="F179" s="6">
        <v>39.36</v>
      </c>
      <c r="G179" s="7">
        <f t="shared" ref="G179:G184" si="68">1-(F179/E179)</f>
        <v>0.64857142857142858</v>
      </c>
      <c r="H179" s="7"/>
      <c r="I179" s="7">
        <v>0.2</v>
      </c>
      <c r="J179" s="6">
        <f t="shared" ref="J179:J184" si="69">E179*(1-I179)</f>
        <v>89.600000000000009</v>
      </c>
      <c r="K179" s="6">
        <f t="shared" si="41"/>
        <v>50.240000000000009</v>
      </c>
      <c r="L179" s="7">
        <f t="shared" ref="L179:L184" si="70">1-(F179/J179)</f>
        <v>0.56071428571428572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tr">
        <f t="shared" si="67"/>
        <v>Jabra</v>
      </c>
      <c r="B180" s="149" t="s">
        <v>413</v>
      </c>
      <c r="C180" s="4" t="s">
        <v>414</v>
      </c>
      <c r="D180" s="5" t="s">
        <v>13</v>
      </c>
      <c r="E180" s="17">
        <v>112</v>
      </c>
      <c r="F180" s="6">
        <v>39.36</v>
      </c>
      <c r="G180" s="7">
        <f t="shared" si="68"/>
        <v>0.64857142857142858</v>
      </c>
      <c r="H180" s="7"/>
      <c r="I180" s="7">
        <v>0.2</v>
      </c>
      <c r="J180" s="6">
        <f t="shared" si="69"/>
        <v>89.600000000000009</v>
      </c>
      <c r="K180" s="6">
        <f t="shared" si="41"/>
        <v>50.240000000000009</v>
      </c>
      <c r="L180" s="7">
        <f t="shared" si="70"/>
        <v>0.56071428571428572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tr">
        <f t="shared" si="67"/>
        <v>Jabra</v>
      </c>
      <c r="B181" s="149" t="s">
        <v>415</v>
      </c>
      <c r="C181" s="4" t="s">
        <v>416</v>
      </c>
      <c r="D181" s="5" t="s">
        <v>13</v>
      </c>
      <c r="E181" s="17">
        <v>122</v>
      </c>
      <c r="F181" s="6">
        <v>48.94</v>
      </c>
      <c r="G181" s="7">
        <f t="shared" si="68"/>
        <v>0.5988524590163935</v>
      </c>
      <c r="H181" s="7"/>
      <c r="I181" s="7">
        <v>0.2</v>
      </c>
      <c r="J181" s="6">
        <f t="shared" si="69"/>
        <v>97.600000000000009</v>
      </c>
      <c r="K181" s="6">
        <f t="shared" si="41"/>
        <v>48.660000000000011</v>
      </c>
      <c r="L181" s="7">
        <f t="shared" si="70"/>
        <v>0.49856557377049182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tr">
        <f t="shared" si="67"/>
        <v>Jabra</v>
      </c>
      <c r="B182" s="149" t="s">
        <v>417</v>
      </c>
      <c r="C182" s="4" t="s">
        <v>418</v>
      </c>
      <c r="D182" s="5" t="s">
        <v>13</v>
      </c>
      <c r="E182" s="17">
        <v>112</v>
      </c>
      <c r="F182" s="6">
        <v>39.36</v>
      </c>
      <c r="G182" s="7">
        <f t="shared" si="68"/>
        <v>0.64857142857142858</v>
      </c>
      <c r="H182" s="7"/>
      <c r="I182" s="7">
        <v>0.2</v>
      </c>
      <c r="J182" s="6">
        <f t="shared" si="69"/>
        <v>89.600000000000009</v>
      </c>
      <c r="K182" s="6">
        <f t="shared" si="41"/>
        <v>50.240000000000009</v>
      </c>
      <c r="L182" s="7">
        <f t="shared" si="70"/>
        <v>0.56071428571428572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tr">
        <f t="shared" si="67"/>
        <v>Jabra</v>
      </c>
      <c r="B183" s="149" t="s">
        <v>419</v>
      </c>
      <c r="C183" s="4" t="s">
        <v>420</v>
      </c>
      <c r="D183" s="5" t="s">
        <v>13</v>
      </c>
      <c r="E183" s="17">
        <v>122</v>
      </c>
      <c r="F183" s="6">
        <v>48.94</v>
      </c>
      <c r="G183" s="7">
        <f t="shared" si="68"/>
        <v>0.5988524590163935</v>
      </c>
      <c r="H183" s="7"/>
      <c r="I183" s="7">
        <v>0.2</v>
      </c>
      <c r="J183" s="6">
        <f t="shared" si="69"/>
        <v>97.600000000000009</v>
      </c>
      <c r="K183" s="6">
        <f t="shared" si="41"/>
        <v>48.660000000000011</v>
      </c>
      <c r="L183" s="7">
        <f t="shared" si="70"/>
        <v>0.49856557377049182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8" t="str">
        <f t="shared" si="67"/>
        <v>Jabra</v>
      </c>
      <c r="B184" s="152" t="s">
        <v>411</v>
      </c>
      <c r="C184" s="8" t="s">
        <v>412</v>
      </c>
      <c r="D184" s="9" t="s">
        <v>13</v>
      </c>
      <c r="E184" s="18">
        <v>112</v>
      </c>
      <c r="F184" s="10">
        <v>39.36</v>
      </c>
      <c r="G184" s="11">
        <f t="shared" si="68"/>
        <v>0.64857142857142858</v>
      </c>
      <c r="H184" s="11"/>
      <c r="I184" s="11">
        <v>0.55000000000000004</v>
      </c>
      <c r="J184" s="10">
        <f t="shared" si="69"/>
        <v>50.399999999999991</v>
      </c>
      <c r="K184" s="6">
        <f t="shared" si="41"/>
        <v>11.039999999999992</v>
      </c>
      <c r="L184" s="11">
        <f t="shared" si="70"/>
        <v>0.21904761904761894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305</v>
      </c>
      <c r="B185" s="149" t="s">
        <v>421</v>
      </c>
      <c r="C185" s="4" t="s">
        <v>422</v>
      </c>
      <c r="D185" s="5" t="s">
        <v>13</v>
      </c>
      <c r="E185" s="17">
        <v>108</v>
      </c>
      <c r="F185" s="6">
        <v>37.229999999999997</v>
      </c>
      <c r="G185" s="7">
        <f t="shared" ref="G185:G190" si="71">1-(F185/E185)</f>
        <v>0.65527777777777785</v>
      </c>
      <c r="H185" s="7"/>
      <c r="I185" s="7">
        <v>0.2</v>
      </c>
      <c r="J185" s="6">
        <f t="shared" ref="J185:J190" si="72">E185*(1-I185)</f>
        <v>86.4</v>
      </c>
      <c r="K185" s="6">
        <f t="shared" si="41"/>
        <v>49.170000000000009</v>
      </c>
      <c r="L185" s="7">
        <f t="shared" ref="L185:L190" si="73">1-(F185/J185)</f>
        <v>0.56909722222222237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305</v>
      </c>
      <c r="B186" s="149" t="s">
        <v>423</v>
      </c>
      <c r="C186" s="4" t="s">
        <v>424</v>
      </c>
      <c r="D186" s="5" t="s">
        <v>13</v>
      </c>
      <c r="E186" s="17">
        <v>114</v>
      </c>
      <c r="F186" s="6">
        <v>46.81</v>
      </c>
      <c r="G186" s="7">
        <f t="shared" si="71"/>
        <v>0.58938596491228068</v>
      </c>
      <c r="H186" s="7"/>
      <c r="I186" s="7">
        <v>0.2</v>
      </c>
      <c r="J186" s="6">
        <f t="shared" si="72"/>
        <v>91.2</v>
      </c>
      <c r="K186" s="6">
        <f t="shared" si="41"/>
        <v>44.39</v>
      </c>
      <c r="L186" s="7">
        <f t="shared" si="73"/>
        <v>0.48673245614035088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305</v>
      </c>
      <c r="B187" s="149" t="s">
        <v>425</v>
      </c>
      <c r="C187" s="4" t="s">
        <v>426</v>
      </c>
      <c r="D187" s="5" t="s">
        <v>13</v>
      </c>
      <c r="E187" s="17">
        <v>114</v>
      </c>
      <c r="F187" s="6">
        <v>46.81</v>
      </c>
      <c r="G187" s="7">
        <f t="shared" si="71"/>
        <v>0.58938596491228068</v>
      </c>
      <c r="H187" s="7"/>
      <c r="I187" s="7">
        <v>0.2</v>
      </c>
      <c r="J187" s="6">
        <f t="shared" si="72"/>
        <v>91.2</v>
      </c>
      <c r="K187" s="6">
        <f t="shared" si="41"/>
        <v>44.39</v>
      </c>
      <c r="L187" s="7">
        <f t="shared" si="73"/>
        <v>0.48673245614035088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305</v>
      </c>
      <c r="B188" s="149" t="s">
        <v>427</v>
      </c>
      <c r="C188" s="4" t="s">
        <v>428</v>
      </c>
      <c r="D188" s="5" t="s">
        <v>13</v>
      </c>
      <c r="E188" s="17">
        <v>126</v>
      </c>
      <c r="F188" s="6">
        <v>56.38</v>
      </c>
      <c r="G188" s="7">
        <f t="shared" si="71"/>
        <v>0.55253968253968244</v>
      </c>
      <c r="H188" s="7"/>
      <c r="I188" s="7">
        <v>0.2</v>
      </c>
      <c r="J188" s="6">
        <f t="shared" si="72"/>
        <v>100.80000000000001</v>
      </c>
      <c r="K188" s="6">
        <f t="shared" si="41"/>
        <v>44.420000000000009</v>
      </c>
      <c r="L188" s="7">
        <f t="shared" si="73"/>
        <v>0.44067460317460316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305</v>
      </c>
      <c r="B189" s="149" t="s">
        <v>429</v>
      </c>
      <c r="C189" s="4" t="s">
        <v>430</v>
      </c>
      <c r="D189" s="5" t="s">
        <v>13</v>
      </c>
      <c r="E189" s="17">
        <v>114</v>
      </c>
      <c r="F189" s="6">
        <v>46.81</v>
      </c>
      <c r="G189" s="7">
        <f t="shared" si="71"/>
        <v>0.58938596491228068</v>
      </c>
      <c r="H189" s="7"/>
      <c r="I189" s="7">
        <v>0.2</v>
      </c>
      <c r="J189" s="6">
        <f t="shared" si="72"/>
        <v>91.2</v>
      </c>
      <c r="K189" s="6">
        <f t="shared" si="41"/>
        <v>44.39</v>
      </c>
      <c r="L189" s="7">
        <f t="shared" si="73"/>
        <v>0.48673245614035088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19" t="s">
        <v>305</v>
      </c>
      <c r="B190" s="153" t="s">
        <v>431</v>
      </c>
      <c r="C190" s="19" t="s">
        <v>432</v>
      </c>
      <c r="D190" s="20" t="s">
        <v>13</v>
      </c>
      <c r="E190" s="21">
        <v>126</v>
      </c>
      <c r="F190" s="22">
        <v>56.38</v>
      </c>
      <c r="G190" s="23">
        <f t="shared" si="71"/>
        <v>0.55253968253968244</v>
      </c>
      <c r="H190" s="23"/>
      <c r="I190" s="23">
        <v>0.45</v>
      </c>
      <c r="J190" s="22">
        <f t="shared" si="72"/>
        <v>69.300000000000011</v>
      </c>
      <c r="K190" s="6">
        <f t="shared" si="41"/>
        <v>12.920000000000009</v>
      </c>
      <c r="L190" s="23">
        <f t="shared" si="73"/>
        <v>0.18643578643578651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305</v>
      </c>
      <c r="B191" s="149" t="s">
        <v>433</v>
      </c>
      <c r="C191" s="4" t="s">
        <v>434</v>
      </c>
      <c r="D191" s="5" t="s">
        <v>13</v>
      </c>
      <c r="E191" s="17">
        <v>9.9499999999999993</v>
      </c>
      <c r="F191" s="6">
        <v>5.32</v>
      </c>
      <c r="G191" s="7">
        <f t="shared" ref="G191:G192" si="74">1-(F191/E191)</f>
        <v>0.46532663316582912</v>
      </c>
      <c r="H191" s="7"/>
      <c r="I191" s="7">
        <v>0.2</v>
      </c>
      <c r="J191" s="6">
        <f t="shared" ref="J191:J192" si="75">E191*(1-I191)</f>
        <v>7.96</v>
      </c>
      <c r="K191" s="6">
        <f t="shared" si="41"/>
        <v>2.6399999999999997</v>
      </c>
      <c r="L191" s="7">
        <f t="shared" ref="L191:L192" si="76">1-(F191/J191)</f>
        <v>0.33165829145728642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8" t="s">
        <v>305</v>
      </c>
      <c r="B192" s="152" t="s">
        <v>435</v>
      </c>
      <c r="C192" s="8" t="s">
        <v>436</v>
      </c>
      <c r="D192" s="9" t="s">
        <v>13</v>
      </c>
      <c r="E192" s="18">
        <v>8</v>
      </c>
      <c r="F192" s="10">
        <v>4.43</v>
      </c>
      <c r="G192" s="11">
        <f t="shared" si="74"/>
        <v>0.44625000000000004</v>
      </c>
      <c r="H192" s="11"/>
      <c r="I192" s="11">
        <v>0.35</v>
      </c>
      <c r="J192" s="10">
        <f t="shared" si="75"/>
        <v>5.2</v>
      </c>
      <c r="K192" s="6">
        <f t="shared" si="41"/>
        <v>0.77000000000000046</v>
      </c>
      <c r="L192" s="11">
        <f t="shared" si="76"/>
        <v>0.14807692307692311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tr">
        <f t="shared" ref="A193:A195" si="77">"Jabra"</f>
        <v>Jabra</v>
      </c>
      <c r="B193" s="149" t="str">
        <f>"GN-2403-820-205"</f>
        <v>GN-2403-820-205</v>
      </c>
      <c r="C193" s="4" t="str">
        <f>"JABRA BIZ 2400 II MONO NC"</f>
        <v>JABRA BIZ 2400 II MONO NC</v>
      </c>
      <c r="D193" s="5" t="s">
        <v>13</v>
      </c>
      <c r="E193" s="17">
        <v>179</v>
      </c>
      <c r="F193" s="6">
        <v>99.02</v>
      </c>
      <c r="G193" s="7">
        <f t="shared" ref="G193:G207" si="78">1-(F193/E193)</f>
        <v>0.44681564245810057</v>
      </c>
      <c r="H193" s="7"/>
      <c r="I193" s="7">
        <v>0.2</v>
      </c>
      <c r="J193" s="6">
        <f t="shared" ref="J193:J207" si="79">E193*(1-I193)</f>
        <v>143.20000000000002</v>
      </c>
      <c r="K193" s="6">
        <f t="shared" si="41"/>
        <v>44.180000000000021</v>
      </c>
      <c r="L193" s="7">
        <f t="shared" ref="L193:L207" si="80">1-(F193/J193)</f>
        <v>0.3085195530726258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tr">
        <f t="shared" si="77"/>
        <v>Jabra</v>
      </c>
      <c r="B194" s="149" t="str">
        <f>"GN-2406-720-209"</f>
        <v>GN-2406-720-209</v>
      </c>
      <c r="C194" s="4" t="str">
        <f>"JABRA BIZ 2400 II MONO 3-1 UNC"</f>
        <v>JABRA BIZ 2400 II MONO 3-1 UNC</v>
      </c>
      <c r="D194" s="5" t="s">
        <v>13</v>
      </c>
      <c r="E194" s="17">
        <v>199</v>
      </c>
      <c r="F194" s="6">
        <v>110.09</v>
      </c>
      <c r="G194" s="7">
        <f t="shared" si="78"/>
        <v>0.44678391959798991</v>
      </c>
      <c r="H194" s="7"/>
      <c r="I194" s="7">
        <v>0.2</v>
      </c>
      <c r="J194" s="6">
        <f t="shared" si="79"/>
        <v>159.20000000000002</v>
      </c>
      <c r="K194" s="6">
        <f t="shared" si="41"/>
        <v>49.110000000000014</v>
      </c>
      <c r="L194" s="7">
        <f t="shared" si="80"/>
        <v>0.30847989949748744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tr">
        <f t="shared" si="77"/>
        <v>Jabra</v>
      </c>
      <c r="B195" s="149" t="str">
        <f>"GN-2406-820-205"</f>
        <v>GN-2406-820-205</v>
      </c>
      <c r="C195" s="4" t="str">
        <f>"JABRA BIZ 2400 II MONO 3-1 NC"</f>
        <v>JABRA BIZ 2400 II MONO 3-1 NC</v>
      </c>
      <c r="D195" s="5" t="s">
        <v>13</v>
      </c>
      <c r="E195" s="17">
        <v>189</v>
      </c>
      <c r="F195" s="6">
        <v>104.55</v>
      </c>
      <c r="G195" s="7">
        <f t="shared" si="78"/>
        <v>0.44682539682539679</v>
      </c>
      <c r="H195" s="7"/>
      <c r="I195" s="7">
        <v>0.2</v>
      </c>
      <c r="J195" s="6">
        <f t="shared" si="79"/>
        <v>151.20000000000002</v>
      </c>
      <c r="K195" s="6">
        <f t="shared" si="41"/>
        <v>46.65000000000002</v>
      </c>
      <c r="L195" s="7">
        <f t="shared" si="80"/>
        <v>0.30853174603174616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305</v>
      </c>
      <c r="B196" s="149" t="s">
        <v>437</v>
      </c>
      <c r="C196" s="4" t="s">
        <v>438</v>
      </c>
      <c r="D196" s="5" t="s">
        <v>13</v>
      </c>
      <c r="E196" s="17">
        <v>189</v>
      </c>
      <c r="F196" s="6">
        <v>104.55</v>
      </c>
      <c r="G196" s="7">
        <f t="shared" si="78"/>
        <v>0.44682539682539679</v>
      </c>
      <c r="H196" s="7"/>
      <c r="I196" s="7">
        <v>0.2</v>
      </c>
      <c r="J196" s="6">
        <f t="shared" si="79"/>
        <v>151.20000000000002</v>
      </c>
      <c r="K196" s="6">
        <f t="shared" si="41"/>
        <v>46.65000000000002</v>
      </c>
      <c r="L196" s="7">
        <f t="shared" si="80"/>
        <v>0.30853174603174616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305</v>
      </c>
      <c r="B197" s="149" t="s">
        <v>439</v>
      </c>
      <c r="C197" s="4" t="s">
        <v>440</v>
      </c>
      <c r="D197" s="5" t="s">
        <v>13</v>
      </c>
      <c r="E197" s="17">
        <v>199</v>
      </c>
      <c r="F197" s="6">
        <v>110.09</v>
      </c>
      <c r="G197" s="7">
        <f t="shared" si="78"/>
        <v>0.44678391959798991</v>
      </c>
      <c r="H197" s="7"/>
      <c r="I197" s="7">
        <v>0.2</v>
      </c>
      <c r="J197" s="6">
        <f t="shared" si="79"/>
        <v>159.20000000000002</v>
      </c>
      <c r="K197" s="6">
        <f t="shared" si="41"/>
        <v>49.110000000000014</v>
      </c>
      <c r="L197" s="7">
        <f t="shared" si="80"/>
        <v>0.30847989949748744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305</v>
      </c>
      <c r="B198" s="149" t="s">
        <v>441</v>
      </c>
      <c r="C198" s="4" t="s">
        <v>442</v>
      </c>
      <c r="D198" s="5" t="s">
        <v>13</v>
      </c>
      <c r="E198" s="17">
        <v>189</v>
      </c>
      <c r="F198" s="6">
        <v>104.55</v>
      </c>
      <c r="G198" s="7">
        <f t="shared" si="78"/>
        <v>0.44682539682539679</v>
      </c>
      <c r="H198" s="7"/>
      <c r="I198" s="7">
        <v>0.2</v>
      </c>
      <c r="J198" s="6">
        <f t="shared" si="79"/>
        <v>151.20000000000002</v>
      </c>
      <c r="K198" s="6">
        <f t="shared" si="41"/>
        <v>46.65000000000002</v>
      </c>
      <c r="L198" s="7">
        <f t="shared" si="80"/>
        <v>0.30853174603174616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305</v>
      </c>
      <c r="B199" s="149" t="s">
        <v>443</v>
      </c>
      <c r="C199" s="4" t="s">
        <v>444</v>
      </c>
      <c r="D199" s="5" t="s">
        <v>13</v>
      </c>
      <c r="E199" s="17">
        <v>199</v>
      </c>
      <c r="F199" s="6">
        <v>110.09</v>
      </c>
      <c r="G199" s="7">
        <f t="shared" si="78"/>
        <v>0.44678391959798991</v>
      </c>
      <c r="H199" s="7"/>
      <c r="I199" s="7">
        <v>0.2</v>
      </c>
      <c r="J199" s="6">
        <f t="shared" si="79"/>
        <v>159.20000000000002</v>
      </c>
      <c r="K199" s="6">
        <f t="shared" si="41"/>
        <v>49.110000000000014</v>
      </c>
      <c r="L199" s="7">
        <f t="shared" si="80"/>
        <v>0.30847989949748744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305</v>
      </c>
      <c r="B200" s="149" t="str">
        <f>"GN-2496-829-309"</f>
        <v>GN-2496-829-309</v>
      </c>
      <c r="C200" s="4" t="str">
        <f>"JABRA BIZ 2400 II MONO USB 3-1"</f>
        <v>JABRA BIZ 2400 II MONO USB 3-1</v>
      </c>
      <c r="D200" s="5" t="s">
        <v>13</v>
      </c>
      <c r="E200" s="17">
        <v>189</v>
      </c>
      <c r="F200" s="6">
        <v>104.55</v>
      </c>
      <c r="G200" s="7">
        <f t="shared" si="78"/>
        <v>0.44682539682539679</v>
      </c>
      <c r="H200" s="7"/>
      <c r="I200" s="7">
        <v>0.2</v>
      </c>
      <c r="J200" s="6">
        <f t="shared" si="79"/>
        <v>151.20000000000002</v>
      </c>
      <c r="K200" s="6">
        <f t="shared" si="41"/>
        <v>46.65000000000002</v>
      </c>
      <c r="L200" s="7">
        <f t="shared" si="80"/>
        <v>0.30853174603174616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305</v>
      </c>
      <c r="B201" s="149" t="str">
        <f>"GN-2409-720-209"</f>
        <v>GN-2409-720-209</v>
      </c>
      <c r="C201" s="4" t="str">
        <f>"JABRA BIZ 2400 II DUO UNC"</f>
        <v>JABRA BIZ 2400 II DUO UNC</v>
      </c>
      <c r="D201" s="5" t="s">
        <v>13</v>
      </c>
      <c r="E201" s="17">
        <v>209</v>
      </c>
      <c r="F201" s="6">
        <v>115.62</v>
      </c>
      <c r="G201" s="7">
        <f t="shared" si="78"/>
        <v>0.44679425837320574</v>
      </c>
      <c r="H201" s="7"/>
      <c r="I201" s="7">
        <v>0.2</v>
      </c>
      <c r="J201" s="6">
        <f t="shared" si="79"/>
        <v>167.20000000000002</v>
      </c>
      <c r="K201" s="6">
        <f t="shared" si="41"/>
        <v>51.580000000000013</v>
      </c>
      <c r="L201" s="7">
        <f t="shared" si="80"/>
        <v>0.30849282296650726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305</v>
      </c>
      <c r="B202" s="149" t="s">
        <v>445</v>
      </c>
      <c r="C202" s="4" t="str">
        <f>"JABRA BIZ 2400 II DUO NC"</f>
        <v>JABRA BIZ 2400 II DUO NC</v>
      </c>
      <c r="D202" s="5" t="s">
        <v>13</v>
      </c>
      <c r="E202" s="17">
        <v>199</v>
      </c>
      <c r="F202" s="6">
        <v>110.09</v>
      </c>
      <c r="G202" s="7">
        <f t="shared" si="78"/>
        <v>0.44678391959798991</v>
      </c>
      <c r="H202" s="7"/>
      <c r="I202" s="7">
        <v>0.2</v>
      </c>
      <c r="J202" s="6">
        <f t="shared" si="79"/>
        <v>159.20000000000002</v>
      </c>
      <c r="K202" s="6">
        <f t="shared" si="41"/>
        <v>49.110000000000014</v>
      </c>
      <c r="L202" s="7">
        <f t="shared" si="80"/>
        <v>0.30847989949748744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305</v>
      </c>
      <c r="B203" s="149" t="str">
        <f>"GN-2489-820-209"</f>
        <v>GN-2489-820-209</v>
      </c>
      <c r="C203" s="4" t="str">
        <f>"JABRA BIZ 2400 II DUO NC IP"</f>
        <v>JABRA BIZ 2400 II DUO NC IP</v>
      </c>
      <c r="D203" s="5" t="s">
        <v>13</v>
      </c>
      <c r="E203" s="17">
        <v>199</v>
      </c>
      <c r="F203" s="6">
        <v>110.09</v>
      </c>
      <c r="G203" s="7">
        <f t="shared" si="78"/>
        <v>0.44678391959798991</v>
      </c>
      <c r="H203" s="7"/>
      <c r="I203" s="7">
        <v>0.2</v>
      </c>
      <c r="J203" s="6">
        <f t="shared" si="79"/>
        <v>159.20000000000002</v>
      </c>
      <c r="K203" s="6">
        <f t="shared" si="41"/>
        <v>49.110000000000014</v>
      </c>
      <c r="L203" s="7">
        <f t="shared" si="80"/>
        <v>0.30847989949748744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305</v>
      </c>
      <c r="B204" s="149" t="str">
        <f>"GN-2499-823-209"</f>
        <v>GN-2499-823-209</v>
      </c>
      <c r="C204" s="4" t="str">
        <f>"JABRA BIZ 2400 II DUO USB NC MS"</f>
        <v>JABRA BIZ 2400 II DUO USB NC MS</v>
      </c>
      <c r="D204" s="5" t="s">
        <v>13</v>
      </c>
      <c r="E204" s="17">
        <v>209</v>
      </c>
      <c r="F204" s="6">
        <v>115.62</v>
      </c>
      <c r="G204" s="7">
        <f t="shared" si="78"/>
        <v>0.44679425837320574</v>
      </c>
      <c r="H204" s="7"/>
      <c r="I204" s="7">
        <v>0.2</v>
      </c>
      <c r="J204" s="6">
        <f t="shared" si="79"/>
        <v>167.20000000000002</v>
      </c>
      <c r="K204" s="6">
        <f t="shared" si="41"/>
        <v>51.580000000000013</v>
      </c>
      <c r="L204" s="7">
        <f t="shared" si="80"/>
        <v>0.30849282296650726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305</v>
      </c>
      <c r="B205" s="149" t="s">
        <v>446</v>
      </c>
      <c r="C205" s="4" t="str">
        <f>"JABRA BIZ 2400 II DUO USB CC MS"</f>
        <v>JABRA BIZ 2400 II DUO USB CC MS</v>
      </c>
      <c r="D205" s="5" t="s">
        <v>13</v>
      </c>
      <c r="E205" s="17">
        <v>199</v>
      </c>
      <c r="F205" s="6">
        <v>110.09</v>
      </c>
      <c r="G205" s="7">
        <f t="shared" si="78"/>
        <v>0.44678391959798991</v>
      </c>
      <c r="H205" s="7"/>
      <c r="I205" s="7">
        <v>0.2</v>
      </c>
      <c r="J205" s="6">
        <f t="shared" si="79"/>
        <v>159.20000000000002</v>
      </c>
      <c r="K205" s="6">
        <f t="shared" si="41"/>
        <v>49.110000000000014</v>
      </c>
      <c r="L205" s="7">
        <f t="shared" si="80"/>
        <v>0.30847989949748744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149" t="str">
        <f>"GN-2499-829-209"</f>
        <v>GN-2499-829-209</v>
      </c>
      <c r="C206" s="4" t="str">
        <f>"JABRA BIZ 2400 II DUO USB NC BT UC"</f>
        <v>JABRA BIZ 2400 II DUO USB NC BT UC</v>
      </c>
      <c r="D206" s="5" t="s">
        <v>13</v>
      </c>
      <c r="E206" s="17">
        <v>209</v>
      </c>
      <c r="F206" s="6">
        <v>115.62</v>
      </c>
      <c r="G206" s="7">
        <f t="shared" si="78"/>
        <v>0.44679425837320574</v>
      </c>
      <c r="H206" s="7"/>
      <c r="I206" s="7">
        <v>0.2</v>
      </c>
      <c r="J206" s="6">
        <f t="shared" si="79"/>
        <v>167.20000000000002</v>
      </c>
      <c r="K206" s="6">
        <f t="shared" si="41"/>
        <v>51.580000000000013</v>
      </c>
      <c r="L206" s="7">
        <f t="shared" si="80"/>
        <v>0.30849282296650726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19" t="s">
        <v>305</v>
      </c>
      <c r="B207" s="153" t="s">
        <v>447</v>
      </c>
      <c r="C207" s="19" t="str">
        <f>"JABRA BIZ 2400 II DUO USB NC CC UC"</f>
        <v>JABRA BIZ 2400 II DUO USB NC CC UC</v>
      </c>
      <c r="D207" s="20" t="s">
        <v>13</v>
      </c>
      <c r="E207" s="21">
        <v>199</v>
      </c>
      <c r="F207" s="22">
        <v>110.09</v>
      </c>
      <c r="G207" s="23">
        <f t="shared" si="78"/>
        <v>0.44678391959798991</v>
      </c>
      <c r="H207" s="23"/>
      <c r="I207" s="23">
        <v>0.3</v>
      </c>
      <c r="J207" s="22">
        <f t="shared" si="79"/>
        <v>139.29999999999998</v>
      </c>
      <c r="K207" s="6">
        <f t="shared" si="41"/>
        <v>29.20999999999998</v>
      </c>
      <c r="L207" s="23">
        <f t="shared" si="80"/>
        <v>0.20969131371141414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305</v>
      </c>
      <c r="B208" s="149" t="s">
        <v>448</v>
      </c>
      <c r="C208" s="4" t="s">
        <v>449</v>
      </c>
      <c r="D208" s="5" t="s">
        <v>13</v>
      </c>
      <c r="E208" s="17">
        <v>99</v>
      </c>
      <c r="F208" s="6">
        <v>54.77</v>
      </c>
      <c r="G208" s="7">
        <f t="shared" ref="G208:G219" si="81">1-(F208/E208)</f>
        <v>0.4467676767676767</v>
      </c>
      <c r="H208" s="7"/>
      <c r="I208" s="7">
        <v>0.2</v>
      </c>
      <c r="J208" s="6">
        <f t="shared" ref="J208:J219" si="82">E208*(1-I208)</f>
        <v>79.2</v>
      </c>
      <c r="K208" s="6">
        <f t="shared" si="41"/>
        <v>24.43</v>
      </c>
      <c r="L208" s="7">
        <f t="shared" ref="L208:L219" si="83">1-(F208/J208)</f>
        <v>0.30845959595959593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305</v>
      </c>
      <c r="B209" s="149" t="s">
        <v>450</v>
      </c>
      <c r="C209" s="4" t="s">
        <v>451</v>
      </c>
      <c r="D209" s="5" t="s">
        <v>13</v>
      </c>
      <c r="E209" s="17">
        <v>20</v>
      </c>
      <c r="F209" s="6">
        <v>11.06</v>
      </c>
      <c r="G209" s="7">
        <f t="shared" si="81"/>
        <v>0.44699999999999995</v>
      </c>
      <c r="H209" s="7"/>
      <c r="I209" s="7">
        <v>0.2</v>
      </c>
      <c r="J209" s="6">
        <f t="shared" si="82"/>
        <v>16</v>
      </c>
      <c r="K209" s="6">
        <f t="shared" si="41"/>
        <v>4.9399999999999995</v>
      </c>
      <c r="L209" s="7">
        <f t="shared" si="83"/>
        <v>0.30874999999999997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305</v>
      </c>
      <c r="B210" s="149" t="s">
        <v>452</v>
      </c>
      <c r="C210" s="4" t="s">
        <v>453</v>
      </c>
      <c r="D210" s="5" t="s">
        <v>13</v>
      </c>
      <c r="E210" s="17">
        <v>20</v>
      </c>
      <c r="F210" s="6">
        <v>11.06</v>
      </c>
      <c r="G210" s="7">
        <f t="shared" si="81"/>
        <v>0.44699999999999995</v>
      </c>
      <c r="H210" s="7"/>
      <c r="I210" s="7">
        <v>0.2</v>
      </c>
      <c r="J210" s="6">
        <f t="shared" si="82"/>
        <v>16</v>
      </c>
      <c r="K210" s="6">
        <f t="shared" si="41"/>
        <v>4.9399999999999995</v>
      </c>
      <c r="L210" s="7">
        <f t="shared" si="83"/>
        <v>0.30874999999999997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305</v>
      </c>
      <c r="B211" s="149" t="s">
        <v>454</v>
      </c>
      <c r="C211" s="4" t="s">
        <v>455</v>
      </c>
      <c r="D211" s="5" t="s">
        <v>13</v>
      </c>
      <c r="E211" s="17">
        <v>20</v>
      </c>
      <c r="F211" s="6">
        <v>11.06</v>
      </c>
      <c r="G211" s="7">
        <f t="shared" si="81"/>
        <v>0.44699999999999995</v>
      </c>
      <c r="H211" s="7"/>
      <c r="I211" s="7">
        <v>0.2</v>
      </c>
      <c r="J211" s="6">
        <f t="shared" si="82"/>
        <v>16</v>
      </c>
      <c r="K211" s="6">
        <f t="shared" si="41"/>
        <v>4.9399999999999995</v>
      </c>
      <c r="L211" s="7">
        <f t="shared" si="83"/>
        <v>0.30874999999999997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305</v>
      </c>
      <c r="B212" s="149" t="s">
        <v>456</v>
      </c>
      <c r="C212" s="4" t="s">
        <v>457</v>
      </c>
      <c r="D212" s="5" t="s">
        <v>13</v>
      </c>
      <c r="E212" s="17">
        <v>10</v>
      </c>
      <c r="F212" s="6">
        <v>5.53</v>
      </c>
      <c r="G212" s="7">
        <f t="shared" si="81"/>
        <v>0.44699999999999995</v>
      </c>
      <c r="H212" s="7"/>
      <c r="I212" s="7">
        <v>0.2</v>
      </c>
      <c r="J212" s="6">
        <f t="shared" si="82"/>
        <v>8</v>
      </c>
      <c r="K212" s="6">
        <f t="shared" si="41"/>
        <v>2.4699999999999998</v>
      </c>
      <c r="L212" s="7">
        <f t="shared" si="83"/>
        <v>0.30874999999999997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305</v>
      </c>
      <c r="B213" s="149" t="s">
        <v>458</v>
      </c>
      <c r="C213" s="4" t="s">
        <v>459</v>
      </c>
      <c r="D213" s="5" t="s">
        <v>13</v>
      </c>
      <c r="E213" s="17">
        <v>30</v>
      </c>
      <c r="F213" s="6">
        <v>16.600000000000001</v>
      </c>
      <c r="G213" s="7">
        <f t="shared" si="81"/>
        <v>0.44666666666666666</v>
      </c>
      <c r="H213" s="7"/>
      <c r="I213" s="7">
        <v>0.2</v>
      </c>
      <c r="J213" s="6">
        <f t="shared" si="82"/>
        <v>24</v>
      </c>
      <c r="K213" s="6">
        <f t="shared" si="41"/>
        <v>7.3999999999999986</v>
      </c>
      <c r="L213" s="7">
        <f t="shared" si="83"/>
        <v>0.30833333333333324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305</v>
      </c>
      <c r="B214" s="149" t="s">
        <v>460</v>
      </c>
      <c r="C214" s="4" t="s">
        <v>461</v>
      </c>
      <c r="D214" s="5" t="s">
        <v>13</v>
      </c>
      <c r="E214" s="17">
        <v>40</v>
      </c>
      <c r="F214" s="6">
        <v>22.13</v>
      </c>
      <c r="G214" s="7">
        <f t="shared" si="81"/>
        <v>0.44674999999999998</v>
      </c>
      <c r="H214" s="7"/>
      <c r="I214" s="7">
        <v>0.2</v>
      </c>
      <c r="J214" s="6">
        <f t="shared" si="82"/>
        <v>32</v>
      </c>
      <c r="K214" s="6">
        <f t="shared" si="41"/>
        <v>9.870000000000001</v>
      </c>
      <c r="L214" s="7">
        <f t="shared" si="83"/>
        <v>0.30843750000000003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305</v>
      </c>
      <c r="B215" s="149" t="s">
        <v>462</v>
      </c>
      <c r="C215" s="4" t="s">
        <v>463</v>
      </c>
      <c r="D215" s="5" t="s">
        <v>13</v>
      </c>
      <c r="E215" s="17">
        <v>35</v>
      </c>
      <c r="F215" s="6">
        <v>19.36</v>
      </c>
      <c r="G215" s="7">
        <f t="shared" si="81"/>
        <v>0.44685714285714284</v>
      </c>
      <c r="H215" s="7"/>
      <c r="I215" s="7">
        <v>0.2</v>
      </c>
      <c r="J215" s="6">
        <f t="shared" si="82"/>
        <v>28</v>
      </c>
      <c r="K215" s="6">
        <f t="shared" si="41"/>
        <v>8.64</v>
      </c>
      <c r="L215" s="7">
        <f t="shared" si="83"/>
        <v>0.30857142857142861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305</v>
      </c>
      <c r="B216" s="149" t="s">
        <v>464</v>
      </c>
      <c r="C216" s="4" t="s">
        <v>465</v>
      </c>
      <c r="D216" s="5" t="s">
        <v>13</v>
      </c>
      <c r="E216" s="17">
        <v>80</v>
      </c>
      <c r="F216" s="6">
        <v>44.26</v>
      </c>
      <c r="G216" s="7">
        <f t="shared" si="81"/>
        <v>0.44674999999999998</v>
      </c>
      <c r="H216" s="7"/>
      <c r="I216" s="7">
        <v>0.2</v>
      </c>
      <c r="J216" s="6">
        <f t="shared" si="82"/>
        <v>64</v>
      </c>
      <c r="K216" s="6">
        <f t="shared" si="41"/>
        <v>19.740000000000002</v>
      </c>
      <c r="L216" s="7">
        <f t="shared" si="83"/>
        <v>0.30843750000000003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305</v>
      </c>
      <c r="B217" s="149" t="s">
        <v>466</v>
      </c>
      <c r="C217" s="4" t="s">
        <v>467</v>
      </c>
      <c r="D217" s="5" t="s">
        <v>13</v>
      </c>
      <c r="E217" s="17">
        <v>15</v>
      </c>
      <c r="F217" s="6">
        <v>8.3000000000000007</v>
      </c>
      <c r="G217" s="7">
        <f t="shared" si="81"/>
        <v>0.44666666666666666</v>
      </c>
      <c r="H217" s="7"/>
      <c r="I217" s="7">
        <v>0.2</v>
      </c>
      <c r="J217" s="6">
        <f t="shared" si="82"/>
        <v>12</v>
      </c>
      <c r="K217" s="6">
        <f t="shared" si="41"/>
        <v>3.6999999999999993</v>
      </c>
      <c r="L217" s="7">
        <f t="shared" si="83"/>
        <v>0.30833333333333324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305</v>
      </c>
      <c r="B218" s="149" t="s">
        <v>468</v>
      </c>
      <c r="C218" s="4" t="s">
        <v>469</v>
      </c>
      <c r="D218" s="5" t="s">
        <v>13</v>
      </c>
      <c r="E218" s="17">
        <v>25</v>
      </c>
      <c r="F218" s="6">
        <v>13.83</v>
      </c>
      <c r="G218" s="7">
        <f t="shared" si="81"/>
        <v>0.44679999999999997</v>
      </c>
      <c r="H218" s="7"/>
      <c r="I218" s="7">
        <v>0.2</v>
      </c>
      <c r="J218" s="6">
        <f t="shared" si="82"/>
        <v>20</v>
      </c>
      <c r="K218" s="6">
        <f t="shared" si="41"/>
        <v>6.17</v>
      </c>
      <c r="L218" s="7">
        <f t="shared" si="83"/>
        <v>0.3085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8" t="s">
        <v>305</v>
      </c>
      <c r="B219" s="152" t="s">
        <v>470</v>
      </c>
      <c r="C219" s="8" t="s">
        <v>471</v>
      </c>
      <c r="D219" s="9" t="s">
        <v>13</v>
      </c>
      <c r="E219" s="18">
        <v>10</v>
      </c>
      <c r="F219" s="10">
        <v>5.53</v>
      </c>
      <c r="G219" s="11">
        <f t="shared" si="81"/>
        <v>0.44699999999999995</v>
      </c>
      <c r="H219" s="11"/>
      <c r="I219" s="11">
        <v>0.3</v>
      </c>
      <c r="J219" s="10">
        <f t="shared" si="82"/>
        <v>7</v>
      </c>
      <c r="K219" s="6">
        <f t="shared" si="41"/>
        <v>1.4699999999999998</v>
      </c>
      <c r="L219" s="11">
        <f t="shared" si="83"/>
        <v>0.20999999999999996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tr">
        <f t="shared" ref="A220:A226" si="84">"Jabra"</f>
        <v>Jabra</v>
      </c>
      <c r="B220" s="149" t="str">
        <f>"GN-2303-820-105"</f>
        <v>GN-2303-820-105</v>
      </c>
      <c r="C220" s="4" t="str">
        <f>"JABRA BIZ 2300 MONO NC"</f>
        <v>JABRA BIZ 2300 MONO NC</v>
      </c>
      <c r="D220" s="5" t="s">
        <v>13</v>
      </c>
      <c r="E220" s="17">
        <v>108</v>
      </c>
      <c r="F220" s="6">
        <v>59.74</v>
      </c>
      <c r="G220" s="7">
        <f t="shared" ref="G220:G226" si="85">1-(F220/E220)</f>
        <v>0.44685185185185183</v>
      </c>
      <c r="H220" s="7"/>
      <c r="I220" s="7">
        <v>0.2</v>
      </c>
      <c r="J220" s="6">
        <f t="shared" ref="J220:J226" si="86">E220*(1-I220)</f>
        <v>86.4</v>
      </c>
      <c r="K220" s="6">
        <f t="shared" si="41"/>
        <v>26.660000000000004</v>
      </c>
      <c r="L220" s="7">
        <f t="shared" ref="L220:L226" si="87">1-(F220/J220)</f>
        <v>0.30856481481481479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tr">
        <f t="shared" si="84"/>
        <v>Jabra</v>
      </c>
      <c r="B221" s="149" t="str">
        <f>"GN-2309-820-105"</f>
        <v>GN-2309-820-105</v>
      </c>
      <c r="C221" s="4" t="str">
        <f>"JABRA BIZ 2300 DUO NC"</f>
        <v>JABRA BIZ 2300 DUO NC</v>
      </c>
      <c r="D221" s="5" t="s">
        <v>13</v>
      </c>
      <c r="E221" s="17">
        <v>135</v>
      </c>
      <c r="F221" s="6">
        <v>74.680000000000007</v>
      </c>
      <c r="G221" s="7">
        <f t="shared" si="85"/>
        <v>0.44681481481481478</v>
      </c>
      <c r="H221" s="7"/>
      <c r="I221" s="7">
        <v>0.2</v>
      </c>
      <c r="J221" s="6">
        <f t="shared" si="86"/>
        <v>108</v>
      </c>
      <c r="K221" s="6">
        <f t="shared" si="41"/>
        <v>33.319999999999993</v>
      </c>
      <c r="L221" s="7">
        <f t="shared" si="87"/>
        <v>0.30851851851851841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tr">
        <f t="shared" si="84"/>
        <v>Jabra</v>
      </c>
      <c r="B222" s="149" t="str">
        <f>"GN-2393-823-109"</f>
        <v>GN-2393-823-109</v>
      </c>
      <c r="C222" s="4" t="str">
        <f>"JABRA BIZ 2300 MONO USB MS"</f>
        <v>JABRA BIZ 2300 MONO USB MS</v>
      </c>
      <c r="D222" s="5" t="s">
        <v>13</v>
      </c>
      <c r="E222" s="17">
        <v>140</v>
      </c>
      <c r="F222" s="6">
        <v>77.45</v>
      </c>
      <c r="G222" s="7">
        <f t="shared" si="85"/>
        <v>0.44678571428571423</v>
      </c>
      <c r="H222" s="7"/>
      <c r="I222" s="7">
        <v>0.2</v>
      </c>
      <c r="J222" s="6">
        <f t="shared" si="86"/>
        <v>112</v>
      </c>
      <c r="K222" s="6">
        <f t="shared" si="41"/>
        <v>34.549999999999997</v>
      </c>
      <c r="L222" s="7">
        <f t="shared" si="87"/>
        <v>0.30848214285714282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tr">
        <f t="shared" si="84"/>
        <v>Jabra</v>
      </c>
      <c r="B223" s="149" t="str">
        <f>"GN-2399-823-109"</f>
        <v>GN-2399-823-109</v>
      </c>
      <c r="C223" s="4" t="str">
        <f>"JABRA BIZ 2300 DUO USB MS"</f>
        <v>JABRA BIZ 2300 DUO USB MS</v>
      </c>
      <c r="D223" s="5" t="s">
        <v>13</v>
      </c>
      <c r="E223" s="17">
        <v>160</v>
      </c>
      <c r="F223" s="6">
        <v>88.51</v>
      </c>
      <c r="G223" s="7">
        <f t="shared" si="85"/>
        <v>0.44681249999999995</v>
      </c>
      <c r="H223" s="7"/>
      <c r="I223" s="7">
        <v>0.2</v>
      </c>
      <c r="J223" s="6">
        <f t="shared" si="86"/>
        <v>128</v>
      </c>
      <c r="K223" s="6">
        <f t="shared" si="41"/>
        <v>39.489999999999995</v>
      </c>
      <c r="L223" s="7">
        <f t="shared" si="87"/>
        <v>0.30851562499999996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tr">
        <f t="shared" si="84"/>
        <v>Jabra</v>
      </c>
      <c r="B224" s="149" t="str">
        <f>"GN-2393-829-109"</f>
        <v>GN-2393-829-109</v>
      </c>
      <c r="C224" s="4" t="str">
        <f>"JABRA BIZ 2300 MONO USB UC"</f>
        <v>JABRA BIZ 2300 MONO USB UC</v>
      </c>
      <c r="D224" s="5" t="s">
        <v>13</v>
      </c>
      <c r="E224" s="17">
        <v>140</v>
      </c>
      <c r="F224" s="6">
        <v>77.45</v>
      </c>
      <c r="G224" s="7">
        <f t="shared" si="85"/>
        <v>0.44678571428571423</v>
      </c>
      <c r="H224" s="7"/>
      <c r="I224" s="7">
        <v>0.2</v>
      </c>
      <c r="J224" s="6">
        <f t="shared" si="86"/>
        <v>112</v>
      </c>
      <c r="K224" s="6">
        <f t="shared" si="41"/>
        <v>34.549999999999997</v>
      </c>
      <c r="L224" s="7">
        <f t="shared" si="87"/>
        <v>0.30848214285714282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tr">
        <f t="shared" si="84"/>
        <v>Jabra</v>
      </c>
      <c r="B225" s="149" t="str">
        <f>"GN-GSA2393-829-109"</f>
        <v>GN-GSA2393-829-109</v>
      </c>
      <c r="C225" s="4" t="str">
        <f>"JABRA BIZ 2300 MONO USB UC GSA"</f>
        <v>JABRA BIZ 2300 MONO USB UC GSA</v>
      </c>
      <c r="D225" s="5" t="s">
        <v>13</v>
      </c>
      <c r="E225" s="17">
        <v>140</v>
      </c>
      <c r="F225" s="6">
        <v>77.45</v>
      </c>
      <c r="G225" s="7">
        <f t="shared" si="85"/>
        <v>0.44678571428571423</v>
      </c>
      <c r="H225" s="7"/>
      <c r="I225" s="7">
        <v>0.2</v>
      </c>
      <c r="J225" s="6">
        <f t="shared" si="86"/>
        <v>112</v>
      </c>
      <c r="K225" s="6">
        <f t="shared" si="41"/>
        <v>34.549999999999997</v>
      </c>
      <c r="L225" s="7">
        <f t="shared" si="87"/>
        <v>0.30848214285714282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19" t="str">
        <f t="shared" si="84"/>
        <v>Jabra</v>
      </c>
      <c r="B226" s="153" t="str">
        <f>"GN-2399-829-109"</f>
        <v>GN-2399-829-109</v>
      </c>
      <c r="C226" s="19" t="str">
        <f>"JABRA BIZ 2300 DUO USB UC"</f>
        <v>JABRA BIZ 2300 DUO USB UC</v>
      </c>
      <c r="D226" s="20" t="s">
        <v>13</v>
      </c>
      <c r="E226" s="21">
        <v>160</v>
      </c>
      <c r="F226" s="22">
        <v>88.51</v>
      </c>
      <c r="G226" s="23">
        <f t="shared" si="85"/>
        <v>0.44681249999999995</v>
      </c>
      <c r="H226" s="23"/>
      <c r="I226" s="23">
        <v>0.3</v>
      </c>
      <c r="J226" s="22">
        <f t="shared" si="86"/>
        <v>112</v>
      </c>
      <c r="K226" s="6">
        <f t="shared" si="41"/>
        <v>23.489999999999995</v>
      </c>
      <c r="L226" s="23">
        <f t="shared" si="87"/>
        <v>0.20973214285714281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305</v>
      </c>
      <c r="B227" s="149" t="s">
        <v>448</v>
      </c>
      <c r="C227" s="4" t="s">
        <v>449</v>
      </c>
      <c r="D227" s="5" t="s">
        <v>13</v>
      </c>
      <c r="E227" s="17">
        <v>99</v>
      </c>
      <c r="F227" s="6">
        <v>54.77</v>
      </c>
      <c r="G227" s="7">
        <f t="shared" ref="G227:G232" si="88">1-(F227/E227)</f>
        <v>0.4467676767676767</v>
      </c>
      <c r="H227" s="7"/>
      <c r="I227" s="7">
        <v>0.2</v>
      </c>
      <c r="J227" s="6">
        <f t="shared" ref="J227:J232" si="89">E227*(1-I227)</f>
        <v>79.2</v>
      </c>
      <c r="K227" s="6">
        <f t="shared" si="41"/>
        <v>24.43</v>
      </c>
      <c r="L227" s="7">
        <f t="shared" ref="L227:L232" si="90">1-(F227/J227)</f>
        <v>0.30845959595959593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305</v>
      </c>
      <c r="B228" s="149" t="s">
        <v>472</v>
      </c>
      <c r="C228" s="4" t="s">
        <v>473</v>
      </c>
      <c r="D228" s="5" t="s">
        <v>13</v>
      </c>
      <c r="E228" s="17">
        <v>20</v>
      </c>
      <c r="F228" s="6">
        <v>11.06</v>
      </c>
      <c r="G228" s="7">
        <f t="shared" si="88"/>
        <v>0.44699999999999995</v>
      </c>
      <c r="H228" s="7"/>
      <c r="I228" s="7">
        <v>0.2</v>
      </c>
      <c r="J228" s="6">
        <f t="shared" si="89"/>
        <v>16</v>
      </c>
      <c r="K228" s="6">
        <f t="shared" si="41"/>
        <v>4.9399999999999995</v>
      </c>
      <c r="L228" s="7">
        <f t="shared" si="90"/>
        <v>0.30874999999999997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305</v>
      </c>
      <c r="B229" s="149" t="s">
        <v>462</v>
      </c>
      <c r="C229" s="4" t="s">
        <v>474</v>
      </c>
      <c r="D229" s="5" t="s">
        <v>13</v>
      </c>
      <c r="E229" s="17">
        <v>35</v>
      </c>
      <c r="F229" s="6">
        <v>19.36</v>
      </c>
      <c r="G229" s="7">
        <f t="shared" si="88"/>
        <v>0.44685714285714284</v>
      </c>
      <c r="H229" s="7"/>
      <c r="I229" s="7">
        <v>0.2</v>
      </c>
      <c r="J229" s="6">
        <f t="shared" si="89"/>
        <v>28</v>
      </c>
      <c r="K229" s="6">
        <f t="shared" si="41"/>
        <v>8.64</v>
      </c>
      <c r="L229" s="7">
        <f t="shared" si="90"/>
        <v>0.30857142857142861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305</v>
      </c>
      <c r="B230" s="149" t="s">
        <v>468</v>
      </c>
      <c r="C230" s="4" t="s">
        <v>475</v>
      </c>
      <c r="D230" s="5" t="s">
        <v>13</v>
      </c>
      <c r="E230" s="17">
        <v>25</v>
      </c>
      <c r="F230" s="6">
        <v>13.83</v>
      </c>
      <c r="G230" s="7">
        <f t="shared" si="88"/>
        <v>0.44679999999999997</v>
      </c>
      <c r="H230" s="7"/>
      <c r="I230" s="7">
        <v>0.2</v>
      </c>
      <c r="J230" s="6">
        <f t="shared" si="89"/>
        <v>20</v>
      </c>
      <c r="K230" s="6">
        <f t="shared" si="41"/>
        <v>6.17</v>
      </c>
      <c r="L230" s="7">
        <f t="shared" si="90"/>
        <v>0.3085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305</v>
      </c>
      <c r="B231" s="149" t="s">
        <v>464</v>
      </c>
      <c r="C231" s="4" t="s">
        <v>476</v>
      </c>
      <c r="D231" s="5" t="s">
        <v>13</v>
      </c>
      <c r="E231" s="17">
        <v>80</v>
      </c>
      <c r="F231" s="6">
        <v>44.26</v>
      </c>
      <c r="G231" s="7">
        <f t="shared" si="88"/>
        <v>0.44674999999999998</v>
      </c>
      <c r="H231" s="7"/>
      <c r="I231" s="7">
        <v>0.2</v>
      </c>
      <c r="J231" s="6">
        <f t="shared" si="89"/>
        <v>64</v>
      </c>
      <c r="K231" s="6">
        <f t="shared" si="41"/>
        <v>19.740000000000002</v>
      </c>
      <c r="L231" s="7">
        <f t="shared" si="90"/>
        <v>0.30843750000000003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8" t="s">
        <v>305</v>
      </c>
      <c r="B232" s="152" t="s">
        <v>470</v>
      </c>
      <c r="C232" s="8" t="s">
        <v>471</v>
      </c>
      <c r="D232" s="9" t="s">
        <v>13</v>
      </c>
      <c r="E232" s="18">
        <v>10</v>
      </c>
      <c r="F232" s="10">
        <v>5.53</v>
      </c>
      <c r="G232" s="11">
        <f t="shared" si="88"/>
        <v>0.44699999999999995</v>
      </c>
      <c r="H232" s="11"/>
      <c r="I232" s="11">
        <v>0.3</v>
      </c>
      <c r="J232" s="10">
        <f t="shared" si="89"/>
        <v>7</v>
      </c>
      <c r="K232" s="6">
        <f t="shared" si="41"/>
        <v>1.4699999999999998</v>
      </c>
      <c r="L232" s="11">
        <f t="shared" si="90"/>
        <v>0.20999999999999996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tr">
        <f t="shared" ref="A233:A238" si="91">"Jabra"</f>
        <v>Jabra</v>
      </c>
      <c r="B233" s="149" t="str">
        <f>"GN-1513-0157"</f>
        <v>GN-1513-0157</v>
      </c>
      <c r="C233" s="4" t="str">
        <f>"Jabra BIZ 1500 Mono QD NA;APAC"</f>
        <v>Jabra BIZ 1500 Mono QD NA;APAC</v>
      </c>
      <c r="D233" s="5" t="s">
        <v>13</v>
      </c>
      <c r="E233" s="17">
        <v>78</v>
      </c>
      <c r="F233" s="6">
        <v>33.19</v>
      </c>
      <c r="G233" s="7">
        <f t="shared" ref="G233:G238" si="92">1-(F233/E233)</f>
        <v>0.57448717948717953</v>
      </c>
      <c r="H233" s="7"/>
      <c r="I233" s="7">
        <v>0.2</v>
      </c>
      <c r="J233" s="6">
        <f t="shared" ref="J233:J238" si="93">E233*(1-I233)</f>
        <v>62.400000000000006</v>
      </c>
      <c r="K233" s="6">
        <f t="shared" si="41"/>
        <v>29.210000000000008</v>
      </c>
      <c r="L233" s="7">
        <f t="shared" ref="L233:L238" si="94">1-(F233/J233)</f>
        <v>0.46810897435897447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tr">
        <f t="shared" si="91"/>
        <v>Jabra</v>
      </c>
      <c r="B234" s="149" t="str">
        <f>"GN-1519-0157"</f>
        <v>GN-1519-0157</v>
      </c>
      <c r="C234" s="4" t="str">
        <f>"Jabra BIZ 1500 Duo QD NA/APAC"</f>
        <v>Jabra BIZ 1500 Duo QD NA/APAC</v>
      </c>
      <c r="D234" s="5" t="s">
        <v>13</v>
      </c>
      <c r="E234" s="17">
        <v>65</v>
      </c>
      <c r="F234" s="6">
        <v>35.96</v>
      </c>
      <c r="G234" s="7">
        <f t="shared" si="92"/>
        <v>0.44676923076923081</v>
      </c>
      <c r="H234" s="7"/>
      <c r="I234" s="7">
        <v>0.2</v>
      </c>
      <c r="J234" s="6">
        <f t="shared" si="93"/>
        <v>52</v>
      </c>
      <c r="K234" s="6">
        <f t="shared" si="41"/>
        <v>16.04</v>
      </c>
      <c r="L234" s="7">
        <f t="shared" si="94"/>
        <v>0.30846153846153845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tr">
        <f t="shared" si="91"/>
        <v>Jabra</v>
      </c>
      <c r="B235" s="149" t="str">
        <f>"GN-1553-0159"</f>
        <v>GN-1553-0159</v>
      </c>
      <c r="C235" s="4" t="str">
        <f>"JABRA BIZ 1500 MONO USB"</f>
        <v>JABRA BIZ 1500 MONO USB</v>
      </c>
      <c r="D235" s="5" t="s">
        <v>13</v>
      </c>
      <c r="E235" s="17">
        <v>79</v>
      </c>
      <c r="F235" s="6">
        <v>43.7</v>
      </c>
      <c r="G235" s="7">
        <f t="shared" si="92"/>
        <v>0.44683544303797462</v>
      </c>
      <c r="H235" s="7"/>
      <c r="I235" s="7">
        <v>0.2</v>
      </c>
      <c r="J235" s="6">
        <f t="shared" si="93"/>
        <v>63.2</v>
      </c>
      <c r="K235" s="6">
        <f t="shared" si="41"/>
        <v>19.5</v>
      </c>
      <c r="L235" s="7">
        <f t="shared" si="94"/>
        <v>0.30854430379746833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tr">
        <f t="shared" si="91"/>
        <v>Jabra</v>
      </c>
      <c r="B236" s="149" t="str">
        <f>"GN-GSA1553-0159"</f>
        <v>GN-GSA1553-0159</v>
      </c>
      <c r="C236" s="4" t="str">
        <f>"JABRA BIZ 1500 MONO USB GSA"</f>
        <v>JABRA BIZ 1500 MONO USB GSA</v>
      </c>
      <c r="D236" s="5" t="s">
        <v>13</v>
      </c>
      <c r="E236" s="17">
        <v>79</v>
      </c>
      <c r="F236" s="6">
        <v>43.7</v>
      </c>
      <c r="G236" s="7">
        <f t="shared" si="92"/>
        <v>0.44683544303797462</v>
      </c>
      <c r="H236" s="7"/>
      <c r="I236" s="7">
        <v>0.2</v>
      </c>
      <c r="J236" s="6">
        <f t="shared" si="93"/>
        <v>63.2</v>
      </c>
      <c r="K236" s="6">
        <f t="shared" si="41"/>
        <v>19.5</v>
      </c>
      <c r="L236" s="7">
        <f t="shared" si="94"/>
        <v>0.30854430379746833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tr">
        <f t="shared" si="91"/>
        <v>Jabra</v>
      </c>
      <c r="B237" s="149" t="str">
        <f>"GN-1559-0159"</f>
        <v>GN-1559-0159</v>
      </c>
      <c r="C237" s="4" t="s">
        <v>477</v>
      </c>
      <c r="D237" s="5" t="s">
        <v>13</v>
      </c>
      <c r="E237" s="17">
        <v>99</v>
      </c>
      <c r="F237" s="6">
        <v>54.77</v>
      </c>
      <c r="G237" s="7">
        <f t="shared" si="92"/>
        <v>0.4467676767676767</v>
      </c>
      <c r="H237" s="7"/>
      <c r="I237" s="7">
        <v>0.2</v>
      </c>
      <c r="J237" s="6">
        <f t="shared" si="93"/>
        <v>79.2</v>
      </c>
      <c r="K237" s="6">
        <f t="shared" si="41"/>
        <v>24.43</v>
      </c>
      <c r="L237" s="7">
        <f t="shared" si="94"/>
        <v>0.30845959595959593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19" t="str">
        <f t="shared" si="91"/>
        <v>Jabra</v>
      </c>
      <c r="B238" s="153" t="str">
        <f>"GN-GSA1559-0159"</f>
        <v>GN-GSA1559-0159</v>
      </c>
      <c r="C238" s="19" t="s">
        <v>478</v>
      </c>
      <c r="D238" s="20" t="s">
        <v>13</v>
      </c>
      <c r="E238" s="21">
        <v>99</v>
      </c>
      <c r="F238" s="22">
        <v>54.77</v>
      </c>
      <c r="G238" s="23">
        <f t="shared" si="92"/>
        <v>0.4467676767676767</v>
      </c>
      <c r="H238" s="23"/>
      <c r="I238" s="23">
        <v>0.3</v>
      </c>
      <c r="J238" s="22">
        <f t="shared" si="93"/>
        <v>69.3</v>
      </c>
      <c r="K238" s="6">
        <f t="shared" si="41"/>
        <v>14.529999999999994</v>
      </c>
      <c r="L238" s="23">
        <f t="shared" si="94"/>
        <v>0.20966810966810956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305</v>
      </c>
      <c r="B239" s="149" t="s">
        <v>479</v>
      </c>
      <c r="C239" s="4" t="s">
        <v>480</v>
      </c>
      <c r="D239" s="5" t="s">
        <v>13</v>
      </c>
      <c r="E239" s="17">
        <v>20</v>
      </c>
      <c r="F239" s="6">
        <v>11.06</v>
      </c>
      <c r="G239" s="7">
        <f t="shared" ref="G239:G241" si="95">1-(F239/E239)</f>
        <v>0.44699999999999995</v>
      </c>
      <c r="H239" s="7"/>
      <c r="I239" s="7">
        <v>0.2</v>
      </c>
      <c r="J239" s="6">
        <f t="shared" ref="J239:J241" si="96">E239*(1-I239)</f>
        <v>16</v>
      </c>
      <c r="K239" s="6">
        <f t="shared" si="41"/>
        <v>4.9399999999999995</v>
      </c>
      <c r="L239" s="7">
        <f t="shared" ref="L239:L241" si="97">1-(F239/J239)</f>
        <v>0.30874999999999997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305</v>
      </c>
      <c r="B240" s="149" t="s">
        <v>481</v>
      </c>
      <c r="C240" s="4" t="s">
        <v>482</v>
      </c>
      <c r="D240" s="5" t="s">
        <v>13</v>
      </c>
      <c r="E240" s="17">
        <v>25</v>
      </c>
      <c r="F240" s="6">
        <v>13.83</v>
      </c>
      <c r="G240" s="7">
        <f t="shared" si="95"/>
        <v>0.44679999999999997</v>
      </c>
      <c r="H240" s="7"/>
      <c r="I240" s="7">
        <v>0.2</v>
      </c>
      <c r="J240" s="6">
        <f t="shared" si="96"/>
        <v>20</v>
      </c>
      <c r="K240" s="6">
        <f t="shared" si="41"/>
        <v>6.17</v>
      </c>
      <c r="L240" s="7">
        <f t="shared" si="97"/>
        <v>0.3085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8" t="s">
        <v>305</v>
      </c>
      <c r="B241" s="152" t="s">
        <v>483</v>
      </c>
      <c r="C241" s="8" t="s">
        <v>484</v>
      </c>
      <c r="D241" s="9" t="s">
        <v>13</v>
      </c>
      <c r="E241" s="18">
        <v>15</v>
      </c>
      <c r="F241" s="10">
        <v>8.3000000000000007</v>
      </c>
      <c r="G241" s="11">
        <f t="shared" si="95"/>
        <v>0.44666666666666666</v>
      </c>
      <c r="H241" s="11"/>
      <c r="I241" s="11">
        <v>0.3</v>
      </c>
      <c r="J241" s="10">
        <f t="shared" si="96"/>
        <v>10.5</v>
      </c>
      <c r="K241" s="6">
        <f t="shared" si="41"/>
        <v>2.1999999999999993</v>
      </c>
      <c r="L241" s="11">
        <f t="shared" si="97"/>
        <v>0.20952380952380945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tr">
        <f t="shared" ref="A242:A244" si="98">"Jabra"</f>
        <v>Jabra</v>
      </c>
      <c r="B242" s="149" t="s">
        <v>485</v>
      </c>
      <c r="C242" s="4" t="s">
        <v>486</v>
      </c>
      <c r="D242" s="5" t="s">
        <v>13</v>
      </c>
      <c r="E242" s="17">
        <v>96</v>
      </c>
      <c r="F242" s="6">
        <v>37.229999999999997</v>
      </c>
      <c r="G242" s="7">
        <f t="shared" ref="G242:G244" si="99">1-(F242/E242)</f>
        <v>0.61218750000000011</v>
      </c>
      <c r="H242" s="7"/>
      <c r="I242" s="7">
        <v>0.2</v>
      </c>
      <c r="J242" s="6">
        <f t="shared" ref="J242:J244" si="100">E242*(1-I242)</f>
        <v>76.800000000000011</v>
      </c>
      <c r="K242" s="6">
        <f t="shared" si="41"/>
        <v>39.570000000000014</v>
      </c>
      <c r="L242" s="7">
        <f t="shared" ref="L242:L244" si="101">1-(F242/J242)</f>
        <v>0.51523437500000013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tr">
        <f t="shared" si="98"/>
        <v>Jabra</v>
      </c>
      <c r="B243" s="149" t="s">
        <v>487</v>
      </c>
      <c r="C243" s="4" t="s">
        <v>488</v>
      </c>
      <c r="D243" s="5" t="s">
        <v>13</v>
      </c>
      <c r="E243" s="17">
        <v>96</v>
      </c>
      <c r="F243" s="6">
        <v>37.229999999999997</v>
      </c>
      <c r="G243" s="7">
        <f t="shared" si="99"/>
        <v>0.61218750000000011</v>
      </c>
      <c r="H243" s="7"/>
      <c r="I243" s="7">
        <v>0.2</v>
      </c>
      <c r="J243" s="6">
        <f t="shared" si="100"/>
        <v>76.800000000000011</v>
      </c>
      <c r="K243" s="6">
        <f t="shared" si="41"/>
        <v>39.570000000000014</v>
      </c>
      <c r="L243" s="7">
        <f t="shared" si="101"/>
        <v>0.51523437500000013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19" t="str">
        <f t="shared" si="98"/>
        <v>Jabra</v>
      </c>
      <c r="B244" s="153" t="s">
        <v>489</v>
      </c>
      <c r="C244" s="19" t="s">
        <v>490</v>
      </c>
      <c r="D244" s="20" t="s">
        <v>13</v>
      </c>
      <c r="E244" s="21">
        <v>96</v>
      </c>
      <c r="F244" s="22">
        <v>37.229999999999997</v>
      </c>
      <c r="G244" s="23">
        <f t="shared" si="99"/>
        <v>0.61218750000000011</v>
      </c>
      <c r="H244" s="23"/>
      <c r="I244" s="23">
        <v>0.5</v>
      </c>
      <c r="J244" s="22">
        <f t="shared" si="100"/>
        <v>48</v>
      </c>
      <c r="K244" s="6">
        <f t="shared" si="41"/>
        <v>10.770000000000003</v>
      </c>
      <c r="L244" s="23">
        <f t="shared" si="101"/>
        <v>0.2243750000000001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tr">
        <f t="shared" ref="A245:A247" si="102">"Jabra"</f>
        <v>Jabra</v>
      </c>
      <c r="B245" s="149" t="s">
        <v>491</v>
      </c>
      <c r="C245" s="4" t="s">
        <v>492</v>
      </c>
      <c r="D245" s="5" t="s">
        <v>13</v>
      </c>
      <c r="E245" s="17">
        <v>15</v>
      </c>
      <c r="F245" s="6">
        <v>7.98</v>
      </c>
      <c r="G245" s="7">
        <f t="shared" ref="G245:G247" si="103">1-(F245/E245)</f>
        <v>0.46799999999999997</v>
      </c>
      <c r="H245" s="7"/>
      <c r="I245" s="7">
        <v>0.2</v>
      </c>
      <c r="J245" s="6">
        <f t="shared" ref="J245:J247" si="104">E245*(1-I245)</f>
        <v>12</v>
      </c>
      <c r="K245" s="6">
        <f t="shared" si="41"/>
        <v>4.0199999999999996</v>
      </c>
      <c r="L245" s="7">
        <f t="shared" ref="L245:L247" si="105">1-(F245/J245)</f>
        <v>0.33499999999999996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tr">
        <f t="shared" si="102"/>
        <v>Jabra</v>
      </c>
      <c r="B246" s="149" t="s">
        <v>493</v>
      </c>
      <c r="C246" s="4" t="s">
        <v>494</v>
      </c>
      <c r="D246" s="5" t="s">
        <v>13</v>
      </c>
      <c r="E246" s="17">
        <v>30</v>
      </c>
      <c r="F246" s="6">
        <v>15.96</v>
      </c>
      <c r="G246" s="7">
        <f t="shared" si="103"/>
        <v>0.46799999999999997</v>
      </c>
      <c r="H246" s="7"/>
      <c r="I246" s="7">
        <v>0.2</v>
      </c>
      <c r="J246" s="6">
        <f t="shared" si="104"/>
        <v>24</v>
      </c>
      <c r="K246" s="6">
        <f t="shared" si="41"/>
        <v>8.0399999999999991</v>
      </c>
      <c r="L246" s="7">
        <f t="shared" si="105"/>
        <v>0.33499999999999996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8" t="str">
        <f t="shared" si="102"/>
        <v>Jabra</v>
      </c>
      <c r="B247" s="152" t="s">
        <v>435</v>
      </c>
      <c r="C247" s="8" t="s">
        <v>436</v>
      </c>
      <c r="D247" s="9" t="s">
        <v>13</v>
      </c>
      <c r="E247" s="18">
        <v>8</v>
      </c>
      <c r="F247" s="10">
        <v>4.43</v>
      </c>
      <c r="G247" s="11">
        <f t="shared" si="103"/>
        <v>0.44625000000000004</v>
      </c>
      <c r="H247" s="11"/>
      <c r="I247" s="11">
        <v>0.35</v>
      </c>
      <c r="J247" s="10">
        <f t="shared" si="104"/>
        <v>5.2</v>
      </c>
      <c r="K247" s="6">
        <f t="shared" si="41"/>
        <v>0.77000000000000046</v>
      </c>
      <c r="L247" s="11">
        <f t="shared" si="105"/>
        <v>0.14807692307692311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tr">
        <f t="shared" ref="A248:A253" si="106">"Jabra"</f>
        <v>Jabra</v>
      </c>
      <c r="B248" s="149" t="s">
        <v>495</v>
      </c>
      <c r="C248" s="4" t="s">
        <v>412</v>
      </c>
      <c r="D248" s="5" t="s">
        <v>13</v>
      </c>
      <c r="E248" s="17">
        <v>96</v>
      </c>
      <c r="F248" s="6">
        <v>37.229999999999997</v>
      </c>
      <c r="G248" s="7">
        <f t="shared" ref="G248:G253" si="107">1-(F248/E248)</f>
        <v>0.61218750000000011</v>
      </c>
      <c r="H248" s="7"/>
      <c r="I248" s="7">
        <v>0.2</v>
      </c>
      <c r="J248" s="6">
        <f t="shared" ref="J248:J253" si="108">E248*(1-I248)</f>
        <v>76.800000000000011</v>
      </c>
      <c r="K248" s="6">
        <f t="shared" si="41"/>
        <v>39.570000000000014</v>
      </c>
      <c r="L248" s="7">
        <f t="shared" ref="L248:L253" si="109">1-(F248/J248)</f>
        <v>0.51523437500000013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tr">
        <f t="shared" si="106"/>
        <v>Jabra</v>
      </c>
      <c r="B249" s="149" t="s">
        <v>496</v>
      </c>
      <c r="C249" s="4" t="s">
        <v>497</v>
      </c>
      <c r="D249" s="5" t="s">
        <v>13</v>
      </c>
      <c r="E249" s="17">
        <v>110</v>
      </c>
      <c r="F249" s="6">
        <v>43.62</v>
      </c>
      <c r="G249" s="7">
        <f t="shared" si="107"/>
        <v>0.60345454545454547</v>
      </c>
      <c r="H249" s="7"/>
      <c r="I249" s="7">
        <v>0.2</v>
      </c>
      <c r="J249" s="6">
        <f t="shared" si="108"/>
        <v>88</v>
      </c>
      <c r="K249" s="6">
        <f t="shared" si="41"/>
        <v>44.38</v>
      </c>
      <c r="L249" s="7">
        <f t="shared" si="109"/>
        <v>0.50431818181818189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tr">
        <f t="shared" si="106"/>
        <v>Jabra</v>
      </c>
      <c r="B250" s="149" t="s">
        <v>498</v>
      </c>
      <c r="C250" s="4" t="s">
        <v>414</v>
      </c>
      <c r="D250" s="5" t="s">
        <v>13</v>
      </c>
      <c r="E250" s="17">
        <v>96</v>
      </c>
      <c r="F250" s="6">
        <v>37.229999999999997</v>
      </c>
      <c r="G250" s="7">
        <f t="shared" si="107"/>
        <v>0.61218750000000011</v>
      </c>
      <c r="H250" s="7"/>
      <c r="I250" s="7">
        <v>0.2</v>
      </c>
      <c r="J250" s="6">
        <f t="shared" si="108"/>
        <v>76.800000000000011</v>
      </c>
      <c r="K250" s="6">
        <f t="shared" si="41"/>
        <v>39.570000000000014</v>
      </c>
      <c r="L250" s="7">
        <f t="shared" si="109"/>
        <v>0.51523437500000013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tr">
        <f t="shared" si="106"/>
        <v>Jabra</v>
      </c>
      <c r="B251" s="149" t="s">
        <v>499</v>
      </c>
      <c r="C251" s="4" t="s">
        <v>416</v>
      </c>
      <c r="D251" s="5" t="s">
        <v>13</v>
      </c>
      <c r="E251" s="17">
        <v>110</v>
      </c>
      <c r="F251" s="6">
        <v>43.62</v>
      </c>
      <c r="G251" s="7">
        <f t="shared" si="107"/>
        <v>0.60345454545454547</v>
      </c>
      <c r="H251" s="7"/>
      <c r="I251" s="7">
        <v>0.2</v>
      </c>
      <c r="J251" s="6">
        <f t="shared" si="108"/>
        <v>88</v>
      </c>
      <c r="K251" s="6">
        <f t="shared" si="41"/>
        <v>44.38</v>
      </c>
      <c r="L251" s="7">
        <f t="shared" si="109"/>
        <v>0.50431818181818189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tr">
        <f t="shared" si="106"/>
        <v>Jabra</v>
      </c>
      <c r="B252" s="149" t="s">
        <v>500</v>
      </c>
      <c r="C252" s="4" t="s">
        <v>418</v>
      </c>
      <c r="D252" s="5" t="s">
        <v>13</v>
      </c>
      <c r="E252" s="17">
        <v>96</v>
      </c>
      <c r="F252" s="6">
        <v>37.229999999999997</v>
      </c>
      <c r="G252" s="7">
        <f t="shared" si="107"/>
        <v>0.61218750000000011</v>
      </c>
      <c r="H252" s="7"/>
      <c r="I252" s="7">
        <v>0.2</v>
      </c>
      <c r="J252" s="6">
        <f t="shared" si="108"/>
        <v>76.800000000000011</v>
      </c>
      <c r="K252" s="6">
        <f t="shared" si="41"/>
        <v>39.570000000000014</v>
      </c>
      <c r="L252" s="7">
        <f t="shared" si="109"/>
        <v>0.51523437500000013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19" t="str">
        <f t="shared" si="106"/>
        <v>Jabra</v>
      </c>
      <c r="B253" s="153" t="s">
        <v>501</v>
      </c>
      <c r="C253" s="19" t="s">
        <v>420</v>
      </c>
      <c r="D253" s="20" t="s">
        <v>13</v>
      </c>
      <c r="E253" s="21">
        <v>110</v>
      </c>
      <c r="F253" s="22">
        <v>43.62</v>
      </c>
      <c r="G253" s="23">
        <f t="shared" si="107"/>
        <v>0.60345454545454547</v>
      </c>
      <c r="H253" s="23"/>
      <c r="I253" s="23">
        <v>0.5</v>
      </c>
      <c r="J253" s="22">
        <f t="shared" si="108"/>
        <v>55</v>
      </c>
      <c r="K253" s="6">
        <f t="shared" si="41"/>
        <v>11.380000000000003</v>
      </c>
      <c r="L253" s="23">
        <f t="shared" si="109"/>
        <v>0.20690909090909093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tr">
        <f t="shared" ref="A254:A256" si="110">"Jabra"</f>
        <v>Jabra</v>
      </c>
      <c r="B254" s="149" t="s">
        <v>502</v>
      </c>
      <c r="C254" s="4" t="s">
        <v>503</v>
      </c>
      <c r="D254" s="5" t="s">
        <v>13</v>
      </c>
      <c r="E254" s="17">
        <v>15</v>
      </c>
      <c r="F254" s="6">
        <v>7.98</v>
      </c>
      <c r="G254" s="7">
        <f t="shared" ref="G254:G256" si="111">1-(F254/E254)</f>
        <v>0.46799999999999997</v>
      </c>
      <c r="H254" s="7"/>
      <c r="I254" s="7">
        <v>0.2</v>
      </c>
      <c r="J254" s="6">
        <f t="shared" ref="J254:J256" si="112">E254*(1-I254)</f>
        <v>12</v>
      </c>
      <c r="K254" s="6">
        <f t="shared" si="41"/>
        <v>4.0199999999999996</v>
      </c>
      <c r="L254" s="7">
        <f t="shared" ref="L254:L256" si="113">1-(F254/J254)</f>
        <v>0.33499999999999996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tr">
        <f t="shared" si="110"/>
        <v>Jabra</v>
      </c>
      <c r="B255" s="149" t="s">
        <v>433</v>
      </c>
      <c r="C255" s="4" t="s">
        <v>504</v>
      </c>
      <c r="D255" s="5" t="s">
        <v>13</v>
      </c>
      <c r="E255" s="17">
        <v>9.9499999999999993</v>
      </c>
      <c r="F255" s="6">
        <v>5.32</v>
      </c>
      <c r="G255" s="7">
        <f t="shared" si="111"/>
        <v>0.46532663316582912</v>
      </c>
      <c r="H255" s="7"/>
      <c r="I255" s="7">
        <v>0.2</v>
      </c>
      <c r="J255" s="6">
        <f t="shared" si="112"/>
        <v>7.96</v>
      </c>
      <c r="K255" s="6">
        <f t="shared" si="41"/>
        <v>2.6399999999999997</v>
      </c>
      <c r="L255" s="7">
        <f t="shared" si="113"/>
        <v>0.33165829145728642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tr">
        <f t="shared" si="110"/>
        <v>Jabra</v>
      </c>
      <c r="B256" s="152" t="s">
        <v>435</v>
      </c>
      <c r="C256" s="8" t="s">
        <v>436</v>
      </c>
      <c r="D256" s="9" t="s">
        <v>13</v>
      </c>
      <c r="E256" s="18">
        <v>8</v>
      </c>
      <c r="F256" s="10">
        <v>4.43</v>
      </c>
      <c r="G256" s="11">
        <f t="shared" si="111"/>
        <v>0.44625000000000004</v>
      </c>
      <c r="H256" s="11"/>
      <c r="I256" s="11">
        <v>0.35</v>
      </c>
      <c r="J256" s="10">
        <f t="shared" si="112"/>
        <v>5.2</v>
      </c>
      <c r="K256" s="6">
        <f t="shared" si="41"/>
        <v>0.77000000000000046</v>
      </c>
      <c r="L256" s="11">
        <f t="shared" si="113"/>
        <v>0.14807692307692311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tr">
        <f t="shared" ref="A257:A259" si="114">"Jabra"</f>
        <v>Jabra</v>
      </c>
      <c r="B257" s="149" t="str">
        <f>"GN-2507-823-109"</f>
        <v>GN-2507-823-109</v>
      </c>
      <c r="C257" s="4" t="str">
        <f>"JABRA UC VOICE 250 USB MONO MS"</f>
        <v>JABRA UC VOICE 250 USB MONO MS</v>
      </c>
      <c r="D257" s="5" t="s">
        <v>13</v>
      </c>
      <c r="E257" s="17">
        <v>49</v>
      </c>
      <c r="F257" s="6">
        <v>30.32</v>
      </c>
      <c r="G257" s="7">
        <f t="shared" ref="G257:G259" si="115">1-(F257/E257)</f>
        <v>0.38122448979591839</v>
      </c>
      <c r="H257" s="7"/>
      <c r="I257" s="7">
        <v>0.2</v>
      </c>
      <c r="J257" s="6">
        <f t="shared" ref="J257:J259" si="116">E257*(1-I257)</f>
        <v>39.200000000000003</v>
      </c>
      <c r="K257" s="6">
        <f t="shared" si="41"/>
        <v>8.8800000000000026</v>
      </c>
      <c r="L257" s="7">
        <f t="shared" ref="L257:L259" si="117">1-(F257/J257)</f>
        <v>0.22653061224489801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tr">
        <f t="shared" si="114"/>
        <v>Jabra</v>
      </c>
      <c r="B258" s="149" t="str">
        <f>"GN-2507-829-209"</f>
        <v>GN-2507-829-209</v>
      </c>
      <c r="C258" s="4" t="str">
        <f>"JABRA UC VOICE 250 USB MONO"</f>
        <v>JABRA UC VOICE 250 USB MONO</v>
      </c>
      <c r="D258" s="5" t="s">
        <v>13</v>
      </c>
      <c r="E258" s="17">
        <v>49</v>
      </c>
      <c r="F258" s="6">
        <v>30.32</v>
      </c>
      <c r="G258" s="7">
        <f t="shared" si="115"/>
        <v>0.38122448979591839</v>
      </c>
      <c r="H258" s="7"/>
      <c r="I258" s="7">
        <v>0.2</v>
      </c>
      <c r="J258" s="6">
        <f t="shared" si="116"/>
        <v>39.200000000000003</v>
      </c>
      <c r="K258" s="6">
        <f t="shared" si="41"/>
        <v>8.8800000000000026</v>
      </c>
      <c r="L258" s="7">
        <f t="shared" si="117"/>
        <v>0.22653061224489801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19" t="str">
        <f t="shared" si="114"/>
        <v>Jabra</v>
      </c>
      <c r="B259" s="153" t="str">
        <f>"GN-7599-829-409"</f>
        <v>GN-7599-829-409</v>
      </c>
      <c r="C259" s="19" t="str">
        <f>"JABRA UC VOICE 750 DUO HEADBAND"</f>
        <v>JABRA UC VOICE 750 DUO HEADBAND</v>
      </c>
      <c r="D259" s="20" t="s">
        <v>13</v>
      </c>
      <c r="E259" s="21">
        <v>79</v>
      </c>
      <c r="F259" s="22">
        <v>43.7</v>
      </c>
      <c r="G259" s="23">
        <f t="shared" si="115"/>
        <v>0.44683544303797462</v>
      </c>
      <c r="H259" s="23"/>
      <c r="I259" s="23">
        <v>0.25</v>
      </c>
      <c r="J259" s="22">
        <f t="shared" si="116"/>
        <v>59.25</v>
      </c>
      <c r="K259" s="6">
        <f t="shared" si="41"/>
        <v>15.549999999999997</v>
      </c>
      <c r="L259" s="23">
        <f t="shared" si="117"/>
        <v>0.26244725738396624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tr">
        <f t="shared" ref="A260:A267" si="118">"Jabra"</f>
        <v>Jabra</v>
      </c>
      <c r="B260" s="149" t="s">
        <v>505</v>
      </c>
      <c r="C260" s="4" t="s">
        <v>506</v>
      </c>
      <c r="D260" s="5" t="s">
        <v>13</v>
      </c>
      <c r="E260" s="17">
        <v>18</v>
      </c>
      <c r="F260" s="6">
        <v>9.31</v>
      </c>
      <c r="G260" s="7">
        <f t="shared" ref="G260:G267" si="119">1-(F260/E260)</f>
        <v>0.48277777777777775</v>
      </c>
      <c r="H260" s="7"/>
      <c r="I260" s="7">
        <v>0.2</v>
      </c>
      <c r="J260" s="6">
        <f t="shared" ref="J260:J267" si="120">E260*(1-I260)</f>
        <v>14.4</v>
      </c>
      <c r="K260" s="6">
        <f t="shared" si="41"/>
        <v>5.09</v>
      </c>
      <c r="L260" s="7">
        <f t="shared" ref="L260:L267" si="121">1-(F260/J260)</f>
        <v>0.35347222222222219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tr">
        <f t="shared" si="118"/>
        <v>Jabra</v>
      </c>
      <c r="B261" s="149" t="s">
        <v>507</v>
      </c>
      <c r="C261" s="4" t="s">
        <v>508</v>
      </c>
      <c r="D261" s="5" t="s">
        <v>13</v>
      </c>
      <c r="E261" s="17">
        <v>10</v>
      </c>
      <c r="F261" s="6">
        <v>5.32</v>
      </c>
      <c r="G261" s="7">
        <f t="shared" si="119"/>
        <v>0.46799999999999997</v>
      </c>
      <c r="H261" s="7"/>
      <c r="I261" s="7">
        <v>0.2</v>
      </c>
      <c r="J261" s="6">
        <f t="shared" si="120"/>
        <v>8</v>
      </c>
      <c r="K261" s="6">
        <f t="shared" si="41"/>
        <v>2.6799999999999997</v>
      </c>
      <c r="L261" s="7">
        <f t="shared" si="121"/>
        <v>0.33499999999999996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tr">
        <f t="shared" si="118"/>
        <v>Jabra</v>
      </c>
      <c r="B262" s="149" t="s">
        <v>509</v>
      </c>
      <c r="C262" s="4" t="s">
        <v>510</v>
      </c>
      <c r="D262" s="5" t="s">
        <v>13</v>
      </c>
      <c r="E262" s="17">
        <v>18</v>
      </c>
      <c r="F262" s="6">
        <v>9.31</v>
      </c>
      <c r="G262" s="7">
        <f t="shared" si="119"/>
        <v>0.48277777777777775</v>
      </c>
      <c r="H262" s="7"/>
      <c r="I262" s="7">
        <v>0.2</v>
      </c>
      <c r="J262" s="6">
        <f t="shared" si="120"/>
        <v>14.4</v>
      </c>
      <c r="K262" s="6">
        <f t="shared" si="41"/>
        <v>5.09</v>
      </c>
      <c r="L262" s="7">
        <f t="shared" si="121"/>
        <v>0.35347222222222219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tr">
        <f t="shared" si="118"/>
        <v>Jabra</v>
      </c>
      <c r="B263" s="149" t="s">
        <v>511</v>
      </c>
      <c r="C263" s="4" t="s">
        <v>512</v>
      </c>
      <c r="D263" s="5" t="s">
        <v>13</v>
      </c>
      <c r="E263" s="17">
        <v>50</v>
      </c>
      <c r="F263" s="6">
        <v>25.53</v>
      </c>
      <c r="G263" s="7">
        <f t="shared" si="119"/>
        <v>0.48939999999999995</v>
      </c>
      <c r="H263" s="7"/>
      <c r="I263" s="7">
        <v>0.2</v>
      </c>
      <c r="J263" s="6">
        <f t="shared" si="120"/>
        <v>40</v>
      </c>
      <c r="K263" s="6">
        <f t="shared" si="41"/>
        <v>14.469999999999999</v>
      </c>
      <c r="L263" s="7">
        <f t="shared" si="121"/>
        <v>0.36175000000000002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tr">
        <f t="shared" si="118"/>
        <v>Jabra</v>
      </c>
      <c r="B264" s="149" t="s">
        <v>513</v>
      </c>
      <c r="C264" s="4" t="s">
        <v>514</v>
      </c>
      <c r="D264" s="5" t="s">
        <v>13</v>
      </c>
      <c r="E264" s="17">
        <v>10</v>
      </c>
      <c r="F264" s="6">
        <v>5.32</v>
      </c>
      <c r="G264" s="7">
        <f t="shared" si="119"/>
        <v>0.46799999999999997</v>
      </c>
      <c r="H264" s="7"/>
      <c r="I264" s="7">
        <v>0.2</v>
      </c>
      <c r="J264" s="6">
        <f t="shared" si="120"/>
        <v>8</v>
      </c>
      <c r="K264" s="6">
        <f t="shared" si="41"/>
        <v>2.6799999999999997</v>
      </c>
      <c r="L264" s="7">
        <f t="shared" si="121"/>
        <v>0.33499999999999996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tr">
        <f t="shared" si="118"/>
        <v>Jabra</v>
      </c>
      <c r="B265" s="149" t="s">
        <v>464</v>
      </c>
      <c r="C265" s="4" t="s">
        <v>515</v>
      </c>
      <c r="D265" s="5" t="s">
        <v>13</v>
      </c>
      <c r="E265" s="17">
        <v>80</v>
      </c>
      <c r="F265" s="6">
        <v>44.26</v>
      </c>
      <c r="G265" s="7">
        <f t="shared" si="119"/>
        <v>0.44674999999999998</v>
      </c>
      <c r="H265" s="7"/>
      <c r="I265" s="7">
        <v>0.2</v>
      </c>
      <c r="J265" s="6">
        <f t="shared" si="120"/>
        <v>64</v>
      </c>
      <c r="K265" s="6">
        <f t="shared" si="41"/>
        <v>19.740000000000002</v>
      </c>
      <c r="L265" s="7">
        <f t="shared" si="121"/>
        <v>0.30843750000000003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tr">
        <f t="shared" si="118"/>
        <v>Jabra</v>
      </c>
      <c r="B266" s="149" t="s">
        <v>516</v>
      </c>
      <c r="C266" s="4" t="s">
        <v>517</v>
      </c>
      <c r="D266" s="5" t="s">
        <v>13</v>
      </c>
      <c r="E266" s="17">
        <v>50</v>
      </c>
      <c r="F266" s="6">
        <v>25.53</v>
      </c>
      <c r="G266" s="7">
        <f t="shared" si="119"/>
        <v>0.48939999999999995</v>
      </c>
      <c r="H266" s="7"/>
      <c r="I266" s="7">
        <v>0.2</v>
      </c>
      <c r="J266" s="6">
        <f t="shared" si="120"/>
        <v>40</v>
      </c>
      <c r="K266" s="6">
        <f t="shared" si="41"/>
        <v>14.469999999999999</v>
      </c>
      <c r="L266" s="7">
        <f t="shared" si="121"/>
        <v>0.36175000000000002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8" t="str">
        <f t="shared" si="118"/>
        <v>Jabra</v>
      </c>
      <c r="B267" s="152" t="s">
        <v>518</v>
      </c>
      <c r="C267" s="8" t="s">
        <v>519</v>
      </c>
      <c r="D267" s="9" t="s">
        <v>13</v>
      </c>
      <c r="E267" s="18">
        <v>10</v>
      </c>
      <c r="F267" s="10">
        <v>5.32</v>
      </c>
      <c r="G267" s="11">
        <f t="shared" si="119"/>
        <v>0.46799999999999997</v>
      </c>
      <c r="H267" s="11"/>
      <c r="I267" s="7">
        <v>0.2</v>
      </c>
      <c r="J267" s="10">
        <f t="shared" si="120"/>
        <v>8</v>
      </c>
      <c r="K267" s="6">
        <f t="shared" si="41"/>
        <v>2.6799999999999997</v>
      </c>
      <c r="L267" s="11">
        <f t="shared" si="121"/>
        <v>0.33499999999999996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tr">
        <f t="shared" ref="A268:A271" si="122">"Jabra"</f>
        <v>Jabra</v>
      </c>
      <c r="B268" s="149" t="s">
        <v>520</v>
      </c>
      <c r="C268" s="4" t="s">
        <v>521</v>
      </c>
      <c r="D268" s="5" t="s">
        <v>13</v>
      </c>
      <c r="E268" s="17">
        <v>163</v>
      </c>
      <c r="F268" s="6">
        <v>90.17</v>
      </c>
      <c r="G268" s="7">
        <f t="shared" ref="G268:G271" si="123">1-(F268/E268)</f>
        <v>0.44680981595092029</v>
      </c>
      <c r="H268" s="7"/>
      <c r="I268" s="7">
        <v>0.2</v>
      </c>
      <c r="J268" s="6">
        <f t="shared" ref="J268:J271" si="124">E268*(1-I268)</f>
        <v>130.4</v>
      </c>
      <c r="K268" s="6">
        <f t="shared" si="41"/>
        <v>40.230000000000004</v>
      </c>
      <c r="L268" s="7">
        <f t="shared" ref="L268:L271" si="125">1-(F268/J268)</f>
        <v>0.30851226993865033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tr">
        <f t="shared" si="122"/>
        <v>Jabra</v>
      </c>
      <c r="B269" s="149" t="s">
        <v>522</v>
      </c>
      <c r="C269" s="4" t="s">
        <v>523</v>
      </c>
      <c r="D269" s="5" t="s">
        <v>13</v>
      </c>
      <c r="E269" s="17">
        <v>225</v>
      </c>
      <c r="F269" s="6">
        <v>124.47</v>
      </c>
      <c r="G269" s="7">
        <f t="shared" si="123"/>
        <v>0.44679999999999997</v>
      </c>
      <c r="H269" s="7"/>
      <c r="I269" s="7">
        <v>0.2</v>
      </c>
      <c r="J269" s="6">
        <f t="shared" si="124"/>
        <v>180</v>
      </c>
      <c r="K269" s="6">
        <f t="shared" si="41"/>
        <v>55.53</v>
      </c>
      <c r="L269" s="7">
        <f t="shared" si="125"/>
        <v>0.3085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tr">
        <f t="shared" si="122"/>
        <v>Jabra</v>
      </c>
      <c r="B270" s="149" t="s">
        <v>524</v>
      </c>
      <c r="C270" s="4" t="s">
        <v>525</v>
      </c>
      <c r="D270" s="5" t="s">
        <v>13</v>
      </c>
      <c r="E270" s="17">
        <v>150</v>
      </c>
      <c r="F270" s="6">
        <v>82.98</v>
      </c>
      <c r="G270" s="7">
        <f t="shared" si="123"/>
        <v>0.44679999999999997</v>
      </c>
      <c r="H270" s="7"/>
      <c r="I270" s="7">
        <v>0.2</v>
      </c>
      <c r="J270" s="6">
        <f t="shared" si="124"/>
        <v>120</v>
      </c>
      <c r="K270" s="6">
        <f t="shared" si="41"/>
        <v>37.019999999999996</v>
      </c>
      <c r="L270" s="7">
        <f t="shared" si="125"/>
        <v>0.3085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19" t="str">
        <f t="shared" si="122"/>
        <v>Jabra</v>
      </c>
      <c r="B271" s="153" t="s">
        <v>526</v>
      </c>
      <c r="C271" s="19" t="s">
        <v>527</v>
      </c>
      <c r="D271" s="20" t="s">
        <v>13</v>
      </c>
      <c r="E271" s="21">
        <v>150</v>
      </c>
      <c r="F271" s="22">
        <v>82.98</v>
      </c>
      <c r="G271" s="23">
        <f t="shared" si="123"/>
        <v>0.44679999999999997</v>
      </c>
      <c r="H271" s="23"/>
      <c r="I271" s="7">
        <v>0.2</v>
      </c>
      <c r="J271" s="22">
        <f t="shared" si="124"/>
        <v>120</v>
      </c>
      <c r="K271" s="6">
        <f t="shared" si="41"/>
        <v>37.019999999999996</v>
      </c>
      <c r="L271" s="23">
        <f t="shared" si="125"/>
        <v>0.3085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tr">
        <f t="shared" ref="A272:A282" si="126">"Jabra"</f>
        <v>Jabra</v>
      </c>
      <c r="B272" s="149" t="s">
        <v>528</v>
      </c>
      <c r="C272" s="4" t="s">
        <v>529</v>
      </c>
      <c r="D272" s="5" t="s">
        <v>13</v>
      </c>
      <c r="E272" s="17">
        <v>3</v>
      </c>
      <c r="F272" s="6">
        <v>1.66</v>
      </c>
      <c r="G272" s="7">
        <f t="shared" ref="G272:G282" si="127">1-(F272/E272)</f>
        <v>0.44666666666666666</v>
      </c>
      <c r="H272" s="7"/>
      <c r="I272" s="7">
        <v>0.2</v>
      </c>
      <c r="J272" s="6">
        <f t="shared" ref="J272:J282" si="128">E272*(1-I272)</f>
        <v>2.4000000000000004</v>
      </c>
      <c r="K272" s="6">
        <f t="shared" si="41"/>
        <v>0.74000000000000044</v>
      </c>
      <c r="L272" s="7">
        <f t="shared" ref="L272:L282" si="129">1-(F272/J272)</f>
        <v>0.30833333333333346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tr">
        <f t="shared" si="126"/>
        <v>Jabra</v>
      </c>
      <c r="B273" s="149" t="str">
        <f>"GN-0436-869"</f>
        <v>GN-0436-869</v>
      </c>
      <c r="C273" s="4" t="str">
        <f>"Microphone Foam Cover for GN 2100;2200"</f>
        <v>Microphone Foam Cover for GN 2100;2200</v>
      </c>
      <c r="D273" s="5" t="s">
        <v>13</v>
      </c>
      <c r="E273" s="17">
        <v>3</v>
      </c>
      <c r="F273" s="6">
        <v>1.66</v>
      </c>
      <c r="G273" s="7">
        <f t="shared" si="127"/>
        <v>0.44666666666666666</v>
      </c>
      <c r="H273" s="7"/>
      <c r="I273" s="7">
        <v>0.2</v>
      </c>
      <c r="J273" s="6">
        <f t="shared" si="128"/>
        <v>2.4000000000000004</v>
      </c>
      <c r="K273" s="6">
        <f t="shared" si="41"/>
        <v>0.74000000000000044</v>
      </c>
      <c r="L273" s="7">
        <f t="shared" si="129"/>
        <v>0.30833333333333346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tr">
        <f t="shared" si="126"/>
        <v>Jabra</v>
      </c>
      <c r="B274" s="149" t="s">
        <v>530</v>
      </c>
      <c r="C274" s="4" t="s">
        <v>531</v>
      </c>
      <c r="D274" s="5" t="s">
        <v>13</v>
      </c>
      <c r="E274" s="17">
        <v>1.5</v>
      </c>
      <c r="F274" s="6">
        <v>0.83</v>
      </c>
      <c r="G274" s="7">
        <f t="shared" si="127"/>
        <v>0.44666666666666666</v>
      </c>
      <c r="H274" s="7"/>
      <c r="I274" s="7">
        <v>0.2</v>
      </c>
      <c r="J274" s="6">
        <f t="shared" si="128"/>
        <v>1.2000000000000002</v>
      </c>
      <c r="K274" s="6">
        <f t="shared" si="41"/>
        <v>0.37000000000000022</v>
      </c>
      <c r="L274" s="7">
        <f t="shared" si="129"/>
        <v>0.30833333333333346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tr">
        <f t="shared" si="126"/>
        <v>Jabra</v>
      </c>
      <c r="B275" s="149" t="s">
        <v>532</v>
      </c>
      <c r="C275" s="4" t="s">
        <v>533</v>
      </c>
      <c r="D275" s="5" t="s">
        <v>13</v>
      </c>
      <c r="E275" s="17">
        <v>5</v>
      </c>
      <c r="F275" s="6">
        <v>2.77</v>
      </c>
      <c r="G275" s="7">
        <f t="shared" si="127"/>
        <v>0.44599999999999995</v>
      </c>
      <c r="H275" s="7"/>
      <c r="I275" s="7">
        <v>0.2</v>
      </c>
      <c r="J275" s="6">
        <f t="shared" si="128"/>
        <v>4</v>
      </c>
      <c r="K275" s="6">
        <f t="shared" si="41"/>
        <v>1.23</v>
      </c>
      <c r="L275" s="7">
        <f t="shared" si="129"/>
        <v>0.3075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tr">
        <f t="shared" si="126"/>
        <v>Jabra</v>
      </c>
      <c r="B276" s="149" t="s">
        <v>534</v>
      </c>
      <c r="C276" s="4" t="s">
        <v>535</v>
      </c>
      <c r="D276" s="5" t="s">
        <v>13</v>
      </c>
      <c r="E276" s="17">
        <v>16</v>
      </c>
      <c r="F276" s="6">
        <v>8.85</v>
      </c>
      <c r="G276" s="7">
        <f t="shared" si="127"/>
        <v>0.44687500000000002</v>
      </c>
      <c r="H276" s="7"/>
      <c r="I276" s="7">
        <v>0.2</v>
      </c>
      <c r="J276" s="6">
        <f t="shared" si="128"/>
        <v>12.8</v>
      </c>
      <c r="K276" s="6">
        <f t="shared" si="41"/>
        <v>3.9500000000000011</v>
      </c>
      <c r="L276" s="7">
        <f t="shared" si="129"/>
        <v>0.30859375000000011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tr">
        <f t="shared" si="126"/>
        <v>Jabra</v>
      </c>
      <c r="B277" s="149" t="s">
        <v>536</v>
      </c>
      <c r="C277" s="4" t="s">
        <v>537</v>
      </c>
      <c r="D277" s="5" t="s">
        <v>13</v>
      </c>
      <c r="E277" s="17">
        <v>10</v>
      </c>
      <c r="F277" s="6">
        <v>5.53</v>
      </c>
      <c r="G277" s="7">
        <f t="shared" si="127"/>
        <v>0.44699999999999995</v>
      </c>
      <c r="H277" s="7"/>
      <c r="I277" s="7">
        <v>0.2</v>
      </c>
      <c r="J277" s="6">
        <f t="shared" si="128"/>
        <v>8</v>
      </c>
      <c r="K277" s="6">
        <f t="shared" si="41"/>
        <v>2.4699999999999998</v>
      </c>
      <c r="L277" s="7">
        <f t="shared" si="129"/>
        <v>0.30874999999999997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tr">
        <f t="shared" si="126"/>
        <v>Jabra</v>
      </c>
      <c r="B278" s="149" t="s">
        <v>538</v>
      </c>
      <c r="C278" s="4" t="s">
        <v>539</v>
      </c>
      <c r="D278" s="5" t="s">
        <v>13</v>
      </c>
      <c r="E278" s="17">
        <v>5</v>
      </c>
      <c r="F278" s="6">
        <v>2.77</v>
      </c>
      <c r="G278" s="7">
        <f t="shared" si="127"/>
        <v>0.44599999999999995</v>
      </c>
      <c r="H278" s="7"/>
      <c r="I278" s="7">
        <v>0.2</v>
      </c>
      <c r="J278" s="6">
        <f t="shared" si="128"/>
        <v>4</v>
      </c>
      <c r="K278" s="6">
        <f t="shared" si="41"/>
        <v>1.23</v>
      </c>
      <c r="L278" s="7">
        <f t="shared" si="129"/>
        <v>0.3075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tr">
        <f t="shared" si="126"/>
        <v>Jabra</v>
      </c>
      <c r="B279" s="149" t="s">
        <v>540</v>
      </c>
      <c r="C279" s="4" t="s">
        <v>541</v>
      </c>
      <c r="D279" s="5" t="s">
        <v>13</v>
      </c>
      <c r="E279" s="17">
        <v>1</v>
      </c>
      <c r="F279" s="6">
        <v>0.55000000000000004</v>
      </c>
      <c r="G279" s="7">
        <f t="shared" si="127"/>
        <v>0.44999999999999996</v>
      </c>
      <c r="H279" s="7"/>
      <c r="I279" s="7">
        <v>0.2</v>
      </c>
      <c r="J279" s="6">
        <f t="shared" si="128"/>
        <v>0.8</v>
      </c>
      <c r="K279" s="6">
        <f t="shared" si="41"/>
        <v>0.25</v>
      </c>
      <c r="L279" s="7">
        <f t="shared" si="129"/>
        <v>0.3125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tr">
        <f t="shared" si="126"/>
        <v>Jabra</v>
      </c>
      <c r="B280" s="149" t="s">
        <v>542</v>
      </c>
      <c r="C280" s="4" t="s">
        <v>543</v>
      </c>
      <c r="D280" s="5" t="s">
        <v>13</v>
      </c>
      <c r="E280" s="17">
        <v>10</v>
      </c>
      <c r="F280" s="6">
        <v>5.53</v>
      </c>
      <c r="G280" s="7">
        <f t="shared" si="127"/>
        <v>0.44699999999999995</v>
      </c>
      <c r="H280" s="7"/>
      <c r="I280" s="7">
        <v>0.2</v>
      </c>
      <c r="J280" s="6">
        <f t="shared" si="128"/>
        <v>8</v>
      </c>
      <c r="K280" s="6">
        <f t="shared" si="41"/>
        <v>2.4699999999999998</v>
      </c>
      <c r="L280" s="7">
        <f t="shared" si="129"/>
        <v>0.30874999999999997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tr">
        <f t="shared" si="126"/>
        <v>Jabra</v>
      </c>
      <c r="B281" s="149" t="s">
        <v>544</v>
      </c>
      <c r="C281" s="4" t="s">
        <v>545</v>
      </c>
      <c r="D281" s="5" t="s">
        <v>13</v>
      </c>
      <c r="E281" s="17">
        <v>10</v>
      </c>
      <c r="F281" s="6">
        <v>5.53</v>
      </c>
      <c r="G281" s="7">
        <f t="shared" si="127"/>
        <v>0.44699999999999995</v>
      </c>
      <c r="H281" s="7"/>
      <c r="I281" s="7">
        <v>0.2</v>
      </c>
      <c r="J281" s="6">
        <f t="shared" si="128"/>
        <v>8</v>
      </c>
      <c r="K281" s="6">
        <f t="shared" si="41"/>
        <v>2.4699999999999998</v>
      </c>
      <c r="L281" s="7">
        <f t="shared" si="129"/>
        <v>0.30874999999999997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8" t="str">
        <f t="shared" si="126"/>
        <v>Jabra</v>
      </c>
      <c r="B282" s="154" t="s">
        <v>546</v>
      </c>
      <c r="C282" s="8" t="s">
        <v>547</v>
      </c>
      <c r="D282" s="9" t="s">
        <v>13</v>
      </c>
      <c r="E282" s="18">
        <v>15</v>
      </c>
      <c r="F282" s="10">
        <v>7.98</v>
      </c>
      <c r="G282" s="11">
        <f t="shared" si="127"/>
        <v>0.46799999999999997</v>
      </c>
      <c r="H282" s="11"/>
      <c r="I282" s="7">
        <v>0.2</v>
      </c>
      <c r="J282" s="10">
        <f t="shared" si="128"/>
        <v>12</v>
      </c>
      <c r="K282" s="6">
        <f t="shared" si="41"/>
        <v>4.0199999999999996</v>
      </c>
      <c r="L282" s="11">
        <f t="shared" si="129"/>
        <v>0.33499999999999996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tr">
        <f t="shared" ref="A283:A284" si="130">"Jabra"</f>
        <v>Jabra</v>
      </c>
      <c r="B283" s="149" t="s">
        <v>548</v>
      </c>
      <c r="C283" s="4" t="s">
        <v>549</v>
      </c>
      <c r="D283" s="5" t="s">
        <v>13</v>
      </c>
      <c r="E283" s="17">
        <v>80</v>
      </c>
      <c r="F283" s="6">
        <v>40.43</v>
      </c>
      <c r="G283" s="7">
        <f t="shared" ref="G283:G284" si="131">1-(F283/E283)</f>
        <v>0.49462499999999998</v>
      </c>
      <c r="H283" s="7"/>
      <c r="I283" s="7">
        <v>0.2</v>
      </c>
      <c r="J283" s="6">
        <f t="shared" ref="J283:J284" si="132">E283*(1-I283)</f>
        <v>64</v>
      </c>
      <c r="K283" s="6">
        <f t="shared" si="41"/>
        <v>23.57</v>
      </c>
      <c r="L283" s="7">
        <f t="shared" ref="L283:L284" si="133">1-(F283/J283)</f>
        <v>0.36828125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8" t="str">
        <f t="shared" si="130"/>
        <v>Jabra</v>
      </c>
      <c r="B284" s="152" t="s">
        <v>550</v>
      </c>
      <c r="C284" s="8" t="s">
        <v>551</v>
      </c>
      <c r="D284" s="9" t="s">
        <v>13</v>
      </c>
      <c r="E284" s="18">
        <v>199</v>
      </c>
      <c r="F284" s="10">
        <v>110.09</v>
      </c>
      <c r="G284" s="11">
        <f t="shared" si="131"/>
        <v>0.44678391959798991</v>
      </c>
      <c r="H284" s="11"/>
      <c r="I284" s="7">
        <v>0.2</v>
      </c>
      <c r="J284" s="10">
        <f t="shared" si="132"/>
        <v>159.20000000000002</v>
      </c>
      <c r="K284" s="6">
        <f t="shared" si="41"/>
        <v>49.110000000000014</v>
      </c>
      <c r="L284" s="11">
        <f t="shared" si="133"/>
        <v>0.30847989949748744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tr">
        <f t="shared" ref="A285:A297" si="134">"Jabra"</f>
        <v>Jabra</v>
      </c>
      <c r="B285" s="149" t="s">
        <v>552</v>
      </c>
      <c r="C285" s="4" t="s">
        <v>553</v>
      </c>
      <c r="D285" s="5" t="s">
        <v>13</v>
      </c>
      <c r="E285" s="17">
        <v>129</v>
      </c>
      <c r="F285" s="6">
        <v>79.790000000000006</v>
      </c>
      <c r="G285" s="7">
        <f t="shared" ref="G285:G297" si="135">1-(F285/E285)</f>
        <v>0.38147286821705417</v>
      </c>
      <c r="H285" s="7"/>
      <c r="I285" s="7">
        <v>0.2</v>
      </c>
      <c r="J285" s="6">
        <f t="shared" ref="J285:J297" si="136">E285*(1-I285)</f>
        <v>103.2</v>
      </c>
      <c r="K285" s="6">
        <f t="shared" si="41"/>
        <v>23.409999999999997</v>
      </c>
      <c r="L285" s="7">
        <f t="shared" ref="L285:L297" si="137">1-(F285/J285)</f>
        <v>0.22684108527131774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tr">
        <f t="shared" si="134"/>
        <v>Jabra</v>
      </c>
      <c r="B286" s="149" t="s">
        <v>554</v>
      </c>
      <c r="C286" s="4" t="s">
        <v>555</v>
      </c>
      <c r="D286" s="5" t="s">
        <v>13</v>
      </c>
      <c r="E286" s="17">
        <v>129.94999999999999</v>
      </c>
      <c r="F286" s="6">
        <v>79.790000000000006</v>
      </c>
      <c r="G286" s="7">
        <f t="shared" si="135"/>
        <v>0.38599461331281248</v>
      </c>
      <c r="H286" s="7"/>
      <c r="I286" s="7">
        <v>0.2</v>
      </c>
      <c r="J286" s="6">
        <f t="shared" si="136"/>
        <v>103.96</v>
      </c>
      <c r="K286" s="6">
        <f t="shared" si="41"/>
        <v>24.169999999999987</v>
      </c>
      <c r="L286" s="7">
        <f t="shared" si="137"/>
        <v>0.23249326664101566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tr">
        <f t="shared" si="134"/>
        <v>Jabra</v>
      </c>
      <c r="B287" s="149" t="str">
        <f>"GN-7410-109"</f>
        <v>GN-7410-109</v>
      </c>
      <c r="C287" s="4" t="str">
        <f>"JABRA SPEAK 410 OC SPEAKERPHONE"</f>
        <v>JABRA SPEAK 410 OC SPEAKERPHONE</v>
      </c>
      <c r="D287" s="5" t="s">
        <v>13</v>
      </c>
      <c r="E287" s="17">
        <v>159</v>
      </c>
      <c r="F287" s="6">
        <v>79.790000000000006</v>
      </c>
      <c r="G287" s="7">
        <f t="shared" si="135"/>
        <v>0.49817610062893081</v>
      </c>
      <c r="H287" s="7"/>
      <c r="I287" s="7">
        <v>0.2</v>
      </c>
      <c r="J287" s="6">
        <f t="shared" si="136"/>
        <v>127.2</v>
      </c>
      <c r="K287" s="6">
        <f t="shared" si="41"/>
        <v>47.41</v>
      </c>
      <c r="L287" s="7">
        <f t="shared" si="137"/>
        <v>0.37272012578616354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tr">
        <f t="shared" si="134"/>
        <v>Jabra</v>
      </c>
      <c r="B288" s="149" t="str">
        <f>"GN-7510-209"</f>
        <v>GN-7510-209</v>
      </c>
      <c r="C288" s="4" t="str">
        <f>"JABRA SPEAK 510 UC"</f>
        <v>JABRA SPEAK 510 UC</v>
      </c>
      <c r="D288" s="5" t="s">
        <v>13</v>
      </c>
      <c r="E288" s="17">
        <v>149.94999999999999</v>
      </c>
      <c r="F288" s="6">
        <v>91.49</v>
      </c>
      <c r="G288" s="7">
        <f t="shared" si="135"/>
        <v>0.3898632877625875</v>
      </c>
      <c r="H288" s="7"/>
      <c r="I288" s="7">
        <v>0.2</v>
      </c>
      <c r="J288" s="6">
        <f t="shared" si="136"/>
        <v>119.96</v>
      </c>
      <c r="K288" s="6">
        <f t="shared" si="41"/>
        <v>28.47</v>
      </c>
      <c r="L288" s="7">
        <f t="shared" si="137"/>
        <v>0.2373291097032344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tr">
        <f t="shared" si="134"/>
        <v>Jabra</v>
      </c>
      <c r="B289" s="149" t="s">
        <v>556</v>
      </c>
      <c r="C289" s="4" t="s">
        <v>557</v>
      </c>
      <c r="D289" s="5" t="s">
        <v>13</v>
      </c>
      <c r="E289" s="17">
        <v>149.94999999999999</v>
      </c>
      <c r="F289" s="6">
        <v>91.49</v>
      </c>
      <c r="G289" s="7">
        <f t="shared" si="135"/>
        <v>0.3898632877625875</v>
      </c>
      <c r="H289" s="7"/>
      <c r="I289" s="7">
        <v>0.2</v>
      </c>
      <c r="J289" s="6">
        <f t="shared" si="136"/>
        <v>119.96</v>
      </c>
      <c r="K289" s="6">
        <f t="shared" si="41"/>
        <v>28.47</v>
      </c>
      <c r="L289" s="7">
        <f t="shared" si="137"/>
        <v>0.2373291097032344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tr">
        <f t="shared" si="134"/>
        <v>Jabra</v>
      </c>
      <c r="B290" s="149" t="str">
        <f>"GN-7510-109"</f>
        <v>GN-7510-109</v>
      </c>
      <c r="C290" s="4" t="str">
        <f>"JABRA SPEAK 510 MS"</f>
        <v>JABRA SPEAK 510 MS</v>
      </c>
      <c r="D290" s="5" t="s">
        <v>13</v>
      </c>
      <c r="E290" s="17">
        <v>149.94999999999999</v>
      </c>
      <c r="F290" s="6">
        <v>91.49</v>
      </c>
      <c r="G290" s="7">
        <f t="shared" si="135"/>
        <v>0.3898632877625875</v>
      </c>
      <c r="H290" s="7"/>
      <c r="I290" s="7">
        <v>0.2</v>
      </c>
      <c r="J290" s="6">
        <f t="shared" si="136"/>
        <v>119.96</v>
      </c>
      <c r="K290" s="6">
        <f t="shared" si="41"/>
        <v>28.47</v>
      </c>
      <c r="L290" s="7">
        <f t="shared" si="137"/>
        <v>0.2373291097032344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tr">
        <f t="shared" si="134"/>
        <v>Jabra</v>
      </c>
      <c r="B291" s="149" t="str">
        <f>"GN-7510-409"</f>
        <v>GN-7510-409</v>
      </c>
      <c r="C291" s="4" t="str">
        <f>"JABRA SPEAK 510+ FOR UC"</f>
        <v>JABRA SPEAK 510+ FOR UC</v>
      </c>
      <c r="D291" s="5" t="s">
        <v>13</v>
      </c>
      <c r="E291" s="17">
        <v>179.95</v>
      </c>
      <c r="F291" s="6">
        <v>110.64</v>
      </c>
      <c r="G291" s="7">
        <f t="shared" si="135"/>
        <v>0.38516254515143089</v>
      </c>
      <c r="H291" s="7"/>
      <c r="I291" s="7">
        <v>0.2</v>
      </c>
      <c r="J291" s="6">
        <f t="shared" si="136"/>
        <v>143.96</v>
      </c>
      <c r="K291" s="6">
        <f t="shared" si="41"/>
        <v>33.320000000000007</v>
      </c>
      <c r="L291" s="7">
        <f t="shared" si="137"/>
        <v>0.23145318143928872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tr">
        <f t="shared" si="134"/>
        <v>Jabra</v>
      </c>
      <c r="B292" s="149" t="s">
        <v>558</v>
      </c>
      <c r="C292" s="4" t="str">
        <f>"JABRA SPEAK 510+ FOR UC GSA"</f>
        <v>JABRA SPEAK 510+ FOR UC GSA</v>
      </c>
      <c r="D292" s="5" t="s">
        <v>13</v>
      </c>
      <c r="E292" s="17">
        <v>179.95</v>
      </c>
      <c r="F292" s="6">
        <v>110.64</v>
      </c>
      <c r="G292" s="7">
        <f t="shared" si="135"/>
        <v>0.38516254515143089</v>
      </c>
      <c r="H292" s="7"/>
      <c r="I292" s="7">
        <v>0.2</v>
      </c>
      <c r="J292" s="6">
        <f t="shared" si="136"/>
        <v>143.96</v>
      </c>
      <c r="K292" s="6">
        <f t="shared" si="41"/>
        <v>33.320000000000007</v>
      </c>
      <c r="L292" s="7">
        <f t="shared" si="137"/>
        <v>0.23145318143928872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tr">
        <f t="shared" si="134"/>
        <v>Jabra</v>
      </c>
      <c r="B293" s="149" t="str">
        <f>"GN-7510-309"</f>
        <v>GN-7510-309</v>
      </c>
      <c r="C293" s="4" t="str">
        <f>"JABRA SPEAK 510+ FOR MS LYNC"</f>
        <v>JABRA SPEAK 510+ FOR MS LYNC</v>
      </c>
      <c r="D293" s="5" t="s">
        <v>13</v>
      </c>
      <c r="E293" s="17">
        <v>179.95</v>
      </c>
      <c r="F293" s="6">
        <v>110.64</v>
      </c>
      <c r="G293" s="7">
        <f t="shared" si="135"/>
        <v>0.38516254515143089</v>
      </c>
      <c r="H293" s="7"/>
      <c r="I293" s="7">
        <v>0.2</v>
      </c>
      <c r="J293" s="6">
        <f t="shared" si="136"/>
        <v>143.96</v>
      </c>
      <c r="K293" s="6">
        <f t="shared" si="41"/>
        <v>33.320000000000007</v>
      </c>
      <c r="L293" s="7">
        <f t="shared" si="137"/>
        <v>0.23145318143928872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tr">
        <f t="shared" si="134"/>
        <v>Jabra</v>
      </c>
      <c r="B294" s="149" t="str">
        <f>"GN-7710-309"</f>
        <v>GN-7710-309</v>
      </c>
      <c r="C294" s="4" t="str">
        <f>"Jabra SPEAK 710 MS USB/BT and Link 370"</f>
        <v>Jabra SPEAK 710 MS USB/BT and Link 370</v>
      </c>
      <c r="D294" s="5" t="s">
        <v>13</v>
      </c>
      <c r="E294" s="17">
        <v>299</v>
      </c>
      <c r="F294" s="6">
        <v>184.04</v>
      </c>
      <c r="G294" s="7">
        <f t="shared" si="135"/>
        <v>0.3844816053511706</v>
      </c>
      <c r="H294" s="7"/>
      <c r="I294" s="7">
        <v>0.2</v>
      </c>
      <c r="J294" s="6">
        <f t="shared" si="136"/>
        <v>239.20000000000002</v>
      </c>
      <c r="K294" s="6">
        <f t="shared" si="41"/>
        <v>55.160000000000025</v>
      </c>
      <c r="L294" s="7">
        <f t="shared" si="137"/>
        <v>0.23060200668896325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tr">
        <f t="shared" si="134"/>
        <v>Jabra</v>
      </c>
      <c r="B295" s="149" t="str">
        <f>"GN-7710-409"</f>
        <v>GN-7710-409</v>
      </c>
      <c r="C295" s="4" t="str">
        <f>"Jabra SPEAK 710 UC SUB/BT and Link 370"</f>
        <v>Jabra SPEAK 710 UC SUB/BT and Link 370</v>
      </c>
      <c r="D295" s="5" t="s">
        <v>13</v>
      </c>
      <c r="E295" s="17">
        <v>299</v>
      </c>
      <c r="F295" s="6">
        <v>184.04</v>
      </c>
      <c r="G295" s="7">
        <f t="shared" si="135"/>
        <v>0.3844816053511706</v>
      </c>
      <c r="H295" s="7"/>
      <c r="I295" s="7">
        <v>0.2</v>
      </c>
      <c r="J295" s="6">
        <f t="shared" si="136"/>
        <v>239.20000000000002</v>
      </c>
      <c r="K295" s="6">
        <f t="shared" si="41"/>
        <v>55.160000000000025</v>
      </c>
      <c r="L295" s="7">
        <f t="shared" si="137"/>
        <v>0.23060200668896325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tr">
        <f t="shared" si="134"/>
        <v>Jabra</v>
      </c>
      <c r="B296" s="149" t="str">
        <f>"GN-7810-209"</f>
        <v>GN-7810-209</v>
      </c>
      <c r="C296" s="4" t="s">
        <v>559</v>
      </c>
      <c r="D296" s="5" t="s">
        <v>13</v>
      </c>
      <c r="E296" s="17">
        <v>599</v>
      </c>
      <c r="F296" s="6">
        <v>382.34</v>
      </c>
      <c r="G296" s="7">
        <f t="shared" si="135"/>
        <v>0.36170283806343906</v>
      </c>
      <c r="H296" s="7"/>
      <c r="I296" s="7">
        <v>0.2</v>
      </c>
      <c r="J296" s="6">
        <f t="shared" si="136"/>
        <v>479.20000000000005</v>
      </c>
      <c r="K296" s="6">
        <f t="shared" si="41"/>
        <v>96.86000000000007</v>
      </c>
      <c r="L296" s="7">
        <f t="shared" si="137"/>
        <v>0.20212854757929899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19" t="str">
        <f t="shared" si="134"/>
        <v>Jabra</v>
      </c>
      <c r="B297" s="153" t="str">
        <f>"GN-7810-109"</f>
        <v>GN-7810-109</v>
      </c>
      <c r="C297" s="19" t="str">
        <f>"JABRA SPEAK 810 MS"</f>
        <v>JABRA SPEAK 810 MS</v>
      </c>
      <c r="D297" s="20" t="s">
        <v>13</v>
      </c>
      <c r="E297" s="21">
        <v>599</v>
      </c>
      <c r="F297" s="22">
        <v>382.34</v>
      </c>
      <c r="G297" s="23">
        <f t="shared" si="135"/>
        <v>0.36170283806343906</v>
      </c>
      <c r="H297" s="23"/>
      <c r="I297" s="7">
        <v>0.2</v>
      </c>
      <c r="J297" s="22">
        <f t="shared" si="136"/>
        <v>479.20000000000005</v>
      </c>
      <c r="K297" s="6">
        <f t="shared" si="41"/>
        <v>96.86000000000007</v>
      </c>
      <c r="L297" s="23">
        <f t="shared" si="137"/>
        <v>0.20212854757929899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tr">
        <f t="shared" ref="A298:A305" si="138">"Jabra"</f>
        <v>Jabra</v>
      </c>
      <c r="B298" s="149" t="s">
        <v>190</v>
      </c>
      <c r="C298" s="4" t="s">
        <v>560</v>
      </c>
      <c r="D298" s="5" t="s">
        <v>13</v>
      </c>
      <c r="E298" s="17">
        <v>75</v>
      </c>
      <c r="F298" s="6">
        <v>46.28</v>
      </c>
      <c r="G298" s="7">
        <f t="shared" ref="G298:G305" si="139">1-(F298/E298)</f>
        <v>0.38293333333333335</v>
      </c>
      <c r="H298" s="7"/>
      <c r="I298" s="7">
        <v>0.2</v>
      </c>
      <c r="J298" s="6">
        <f t="shared" ref="J298:J305" si="140">E298*(1-I298)</f>
        <v>60</v>
      </c>
      <c r="K298" s="6">
        <f t="shared" si="41"/>
        <v>13.719999999999999</v>
      </c>
      <c r="L298" s="7">
        <f t="shared" ref="L298:L305" si="141">1-(F298/J298)</f>
        <v>0.22866666666666668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tr">
        <f t="shared" si="138"/>
        <v>Jabra</v>
      </c>
      <c r="B299" s="149" t="s">
        <v>192</v>
      </c>
      <c r="C299" s="4" t="s">
        <v>561</v>
      </c>
      <c r="D299" s="5" t="s">
        <v>13</v>
      </c>
      <c r="E299" s="17">
        <v>75</v>
      </c>
      <c r="F299" s="6">
        <v>46.28</v>
      </c>
      <c r="G299" s="7">
        <f t="shared" si="139"/>
        <v>0.38293333333333335</v>
      </c>
      <c r="H299" s="7"/>
      <c r="I299" s="7">
        <v>0.2</v>
      </c>
      <c r="J299" s="6">
        <f t="shared" si="140"/>
        <v>60</v>
      </c>
      <c r="K299" s="6">
        <f t="shared" si="41"/>
        <v>13.719999999999999</v>
      </c>
      <c r="L299" s="7">
        <f t="shared" si="141"/>
        <v>0.22866666666666668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tr">
        <f t="shared" si="138"/>
        <v>Jabra</v>
      </c>
      <c r="B300" s="149" t="s">
        <v>562</v>
      </c>
      <c r="C300" s="4" t="s">
        <v>563</v>
      </c>
      <c r="D300" s="5" t="s">
        <v>13</v>
      </c>
      <c r="E300" s="17">
        <v>23</v>
      </c>
      <c r="F300" s="6">
        <v>12.72</v>
      </c>
      <c r="G300" s="7">
        <f t="shared" si="139"/>
        <v>0.44695652173913036</v>
      </c>
      <c r="H300" s="7"/>
      <c r="I300" s="7">
        <v>0.2</v>
      </c>
      <c r="J300" s="6">
        <f t="shared" si="140"/>
        <v>18.400000000000002</v>
      </c>
      <c r="K300" s="6">
        <f t="shared" si="41"/>
        <v>5.6800000000000015</v>
      </c>
      <c r="L300" s="7">
        <f t="shared" si="141"/>
        <v>0.30869565217391304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tr">
        <f t="shared" si="138"/>
        <v>Jabra</v>
      </c>
      <c r="B301" s="149" t="s">
        <v>564</v>
      </c>
      <c r="C301" s="4" t="s">
        <v>565</v>
      </c>
      <c r="D301" s="5" t="s">
        <v>13</v>
      </c>
      <c r="E301" s="17">
        <v>19</v>
      </c>
      <c r="F301" s="6">
        <v>10.51</v>
      </c>
      <c r="G301" s="7">
        <f t="shared" si="139"/>
        <v>0.44684210526315793</v>
      </c>
      <c r="H301" s="7"/>
      <c r="I301" s="7">
        <v>0.2</v>
      </c>
      <c r="J301" s="6">
        <f t="shared" si="140"/>
        <v>15.200000000000001</v>
      </c>
      <c r="K301" s="6">
        <f t="shared" si="41"/>
        <v>4.6900000000000013</v>
      </c>
      <c r="L301" s="7">
        <f t="shared" si="141"/>
        <v>0.30855263157894741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tr">
        <f t="shared" si="138"/>
        <v>Jabra</v>
      </c>
      <c r="B302" s="149" t="s">
        <v>566</v>
      </c>
      <c r="C302" s="4" t="s">
        <v>567</v>
      </c>
      <c r="D302" s="5" t="s">
        <v>13</v>
      </c>
      <c r="E302" s="17">
        <v>20</v>
      </c>
      <c r="F302" s="6">
        <v>11.06</v>
      </c>
      <c r="G302" s="7">
        <f t="shared" si="139"/>
        <v>0.44699999999999995</v>
      </c>
      <c r="H302" s="7"/>
      <c r="I302" s="7">
        <v>0.2</v>
      </c>
      <c r="J302" s="6">
        <f t="shared" si="140"/>
        <v>16</v>
      </c>
      <c r="K302" s="6">
        <f t="shared" si="41"/>
        <v>4.9399999999999995</v>
      </c>
      <c r="L302" s="7">
        <f t="shared" si="141"/>
        <v>0.30874999999999997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tr">
        <f t="shared" si="138"/>
        <v>Jabra</v>
      </c>
      <c r="B303" s="149" t="s">
        <v>194</v>
      </c>
      <c r="C303" s="4" t="s">
        <v>568</v>
      </c>
      <c r="D303" s="5" t="s">
        <v>13</v>
      </c>
      <c r="E303" s="17">
        <v>75</v>
      </c>
      <c r="F303" s="6">
        <v>46.28</v>
      </c>
      <c r="G303" s="7">
        <f t="shared" si="139"/>
        <v>0.38293333333333335</v>
      </c>
      <c r="H303" s="7"/>
      <c r="I303" s="7">
        <v>0.2</v>
      </c>
      <c r="J303" s="6">
        <f t="shared" si="140"/>
        <v>60</v>
      </c>
      <c r="K303" s="6">
        <f t="shared" si="41"/>
        <v>13.719999999999999</v>
      </c>
      <c r="L303" s="7">
        <f t="shared" si="141"/>
        <v>0.22866666666666668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tr">
        <f t="shared" si="138"/>
        <v>Jabra</v>
      </c>
      <c r="B304" s="149" t="s">
        <v>196</v>
      </c>
      <c r="C304" s="4" t="s">
        <v>569</v>
      </c>
      <c r="D304" s="5" t="s">
        <v>13</v>
      </c>
      <c r="E304" s="17">
        <v>75</v>
      </c>
      <c r="F304" s="6">
        <v>46.28</v>
      </c>
      <c r="G304" s="7">
        <f t="shared" si="139"/>
        <v>0.38293333333333335</v>
      </c>
      <c r="H304" s="7"/>
      <c r="I304" s="7">
        <v>0.2</v>
      </c>
      <c r="J304" s="6">
        <f t="shared" si="140"/>
        <v>60</v>
      </c>
      <c r="K304" s="6">
        <f t="shared" si="41"/>
        <v>13.719999999999999</v>
      </c>
      <c r="L304" s="7">
        <f t="shared" si="141"/>
        <v>0.22866666666666668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8" t="str">
        <f t="shared" si="138"/>
        <v>Jabra</v>
      </c>
      <c r="B305" s="152" t="s">
        <v>570</v>
      </c>
      <c r="C305" s="8" t="s">
        <v>571</v>
      </c>
      <c r="D305" s="9" t="s">
        <v>13</v>
      </c>
      <c r="E305" s="18">
        <v>5</v>
      </c>
      <c r="F305" s="10">
        <v>2.66</v>
      </c>
      <c r="G305" s="11">
        <f t="shared" si="139"/>
        <v>0.46799999999999997</v>
      </c>
      <c r="H305" s="11"/>
      <c r="I305" s="7">
        <v>0.2</v>
      </c>
      <c r="J305" s="10">
        <f t="shared" si="140"/>
        <v>4</v>
      </c>
      <c r="K305" s="6">
        <f t="shared" si="41"/>
        <v>1.3399999999999999</v>
      </c>
      <c r="L305" s="11">
        <f t="shared" si="141"/>
        <v>0.33499999999999996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tr">
        <f t="shared" ref="A306:A307" si="142">"Jabra"</f>
        <v>Jabra</v>
      </c>
      <c r="B306" s="155" t="s">
        <v>572</v>
      </c>
      <c r="C306" s="4" t="s">
        <v>573</v>
      </c>
      <c r="D306" s="5" t="s">
        <v>13</v>
      </c>
      <c r="E306" s="17">
        <v>249</v>
      </c>
      <c r="F306" s="6">
        <v>132.97999999999999</v>
      </c>
      <c r="G306" s="7">
        <f t="shared" ref="G306:G307" si="143">1-(F306/E306)</f>
        <v>0.46594377510040164</v>
      </c>
      <c r="H306" s="7"/>
      <c r="I306" s="7">
        <v>0.2</v>
      </c>
      <c r="J306" s="6">
        <f t="shared" ref="J306:J307" si="144">E306*(1-I306)</f>
        <v>199.20000000000002</v>
      </c>
      <c r="K306" s="6">
        <f t="shared" si="41"/>
        <v>66.220000000000027</v>
      </c>
      <c r="L306" s="7">
        <f t="shared" ref="L306:L307" si="145">1-(F306/J306)</f>
        <v>0.3324297188755021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19" t="str">
        <f t="shared" si="142"/>
        <v>Jabra</v>
      </c>
      <c r="B307" s="156" t="s">
        <v>574</v>
      </c>
      <c r="C307" s="19" t="s">
        <v>575</v>
      </c>
      <c r="D307" s="20" t="s">
        <v>13</v>
      </c>
      <c r="E307" s="21">
        <v>229</v>
      </c>
      <c r="F307" s="22">
        <v>126.6</v>
      </c>
      <c r="G307" s="23">
        <f t="shared" si="143"/>
        <v>0.44716157205240181</v>
      </c>
      <c r="H307" s="23"/>
      <c r="I307" s="7">
        <v>0.2</v>
      </c>
      <c r="J307" s="22">
        <f t="shared" si="144"/>
        <v>183.20000000000002</v>
      </c>
      <c r="K307" s="6">
        <f t="shared" si="41"/>
        <v>56.600000000000023</v>
      </c>
      <c r="L307" s="23">
        <f t="shared" si="145"/>
        <v>0.30895196506550227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tr">
        <f t="shared" ref="A308:A309" si="146">"Jabra"</f>
        <v>Jabra</v>
      </c>
      <c r="B308" s="149" t="s">
        <v>576</v>
      </c>
      <c r="C308" s="4" t="s">
        <v>577</v>
      </c>
      <c r="D308" s="5" t="s">
        <v>13</v>
      </c>
      <c r="E308" s="17">
        <v>15</v>
      </c>
      <c r="F308" s="6">
        <v>7.98</v>
      </c>
      <c r="G308" s="7">
        <f t="shared" ref="G308:G309" si="147">1-(F308/E308)</f>
        <v>0.46799999999999997</v>
      </c>
      <c r="H308" s="7"/>
      <c r="I308" s="7">
        <v>0.2</v>
      </c>
      <c r="J308" s="6">
        <f t="shared" ref="J308:J309" si="148">E308*(1-I308)</f>
        <v>12</v>
      </c>
      <c r="K308" s="6">
        <f t="shared" si="41"/>
        <v>4.0199999999999996</v>
      </c>
      <c r="L308" s="7">
        <f t="shared" ref="L308:L309" si="149">1-(F308/J308)</f>
        <v>0.33499999999999996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tr">
        <f t="shared" si="146"/>
        <v>Jabra</v>
      </c>
      <c r="B309" s="155" t="s">
        <v>578</v>
      </c>
      <c r="C309" s="4" t="s">
        <v>579</v>
      </c>
      <c r="D309" s="5" t="s">
        <v>13</v>
      </c>
      <c r="E309" s="17">
        <v>15</v>
      </c>
      <c r="F309" s="10">
        <v>7.98</v>
      </c>
      <c r="G309" s="11">
        <f t="shared" si="147"/>
        <v>0.46799999999999997</v>
      </c>
      <c r="H309" s="11"/>
      <c r="I309" s="7">
        <v>0.2</v>
      </c>
      <c r="J309" s="10">
        <f t="shared" si="148"/>
        <v>12</v>
      </c>
      <c r="K309" s="6">
        <f t="shared" si="41"/>
        <v>4.0199999999999996</v>
      </c>
      <c r="L309" s="11">
        <f t="shared" si="149"/>
        <v>0.33499999999999996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19" t="str">
        <f>"Jabra"</f>
        <v>Jabra</v>
      </c>
      <c r="B310" s="157" t="s">
        <v>580</v>
      </c>
      <c r="C310" s="8" t="s">
        <v>581</v>
      </c>
      <c r="D310" s="9" t="s">
        <v>13</v>
      </c>
      <c r="E310" s="18">
        <v>149</v>
      </c>
      <c r="F310" s="10">
        <v>84.04</v>
      </c>
      <c r="G310" s="11">
        <f>1-(F310/E310)</f>
        <v>0.43597315436241602</v>
      </c>
      <c r="H310" s="11"/>
      <c r="I310" s="7">
        <v>0.2</v>
      </c>
      <c r="J310" s="10">
        <f>E310*(1-I310)</f>
        <v>119.2</v>
      </c>
      <c r="K310" s="6">
        <f t="shared" si="41"/>
        <v>35.159999999999997</v>
      </c>
      <c r="L310" s="11">
        <f>1-(F310/J310)</f>
        <v>0.2949664429530201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19" t="str">
        <f t="shared" ref="A311:A316" si="150">"Jabra"</f>
        <v>Jabra</v>
      </c>
      <c r="B311" s="156" t="s">
        <v>582</v>
      </c>
      <c r="C311" s="19" t="s">
        <v>583</v>
      </c>
      <c r="D311" s="20" t="s">
        <v>13</v>
      </c>
      <c r="E311" s="21">
        <v>139.99</v>
      </c>
      <c r="F311" s="22">
        <v>126.6</v>
      </c>
      <c r="G311" s="23">
        <f t="shared" ref="G311:G316" si="151">1-(F311/E311)</f>
        <v>9.5649689263518911E-2</v>
      </c>
      <c r="H311" s="23"/>
      <c r="I311" s="7">
        <v>0.2</v>
      </c>
      <c r="J311" s="22">
        <f t="shared" ref="J311:J316" si="152">E311*(1-I311)</f>
        <v>111.99200000000002</v>
      </c>
      <c r="K311" s="6">
        <f t="shared" si="41"/>
        <v>-14.607999999999976</v>
      </c>
      <c r="L311" s="23">
        <f t="shared" ref="L311:L316" si="153">1-(F311/J311)</f>
        <v>-0.13043788842060122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tr">
        <f t="shared" si="150"/>
        <v>Jabra</v>
      </c>
      <c r="B312" s="155" t="s">
        <v>584</v>
      </c>
      <c r="C312" s="4" t="s">
        <v>585</v>
      </c>
      <c r="D312" s="5" t="s">
        <v>13</v>
      </c>
      <c r="E312" s="17">
        <v>19.989999999999998</v>
      </c>
      <c r="F312" s="6">
        <v>10.64</v>
      </c>
      <c r="G312" s="7">
        <f t="shared" si="151"/>
        <v>0.46773386693346664</v>
      </c>
      <c r="H312" s="7"/>
      <c r="I312" s="7">
        <v>0.2</v>
      </c>
      <c r="J312" s="6">
        <f t="shared" si="152"/>
        <v>15.991999999999999</v>
      </c>
      <c r="K312" s="6">
        <f t="shared" si="41"/>
        <v>5.3519999999999985</v>
      </c>
      <c r="L312" s="7">
        <f t="shared" si="153"/>
        <v>0.33466733366683332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tr">
        <f t="shared" si="150"/>
        <v>Jabra</v>
      </c>
      <c r="B313" s="155" t="s">
        <v>586</v>
      </c>
      <c r="C313" s="4" t="s">
        <v>587</v>
      </c>
      <c r="D313" s="5" t="s">
        <v>13</v>
      </c>
      <c r="E313" s="17">
        <v>9.99</v>
      </c>
      <c r="F313" s="6">
        <v>5.32</v>
      </c>
      <c r="G313" s="7">
        <f t="shared" si="151"/>
        <v>0.46746746746746748</v>
      </c>
      <c r="H313" s="7"/>
      <c r="I313" s="7">
        <v>0.2</v>
      </c>
      <c r="J313" s="6">
        <f t="shared" si="152"/>
        <v>7.9920000000000009</v>
      </c>
      <c r="K313" s="6">
        <f t="shared" si="41"/>
        <v>2.6720000000000006</v>
      </c>
      <c r="L313" s="7">
        <f t="shared" si="153"/>
        <v>0.33433433433433435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tr">
        <f t="shared" si="150"/>
        <v>Jabra</v>
      </c>
      <c r="B314" s="155" t="s">
        <v>588</v>
      </c>
      <c r="C314" s="4" t="s">
        <v>589</v>
      </c>
      <c r="D314" s="5" t="s">
        <v>13</v>
      </c>
      <c r="E314" s="17">
        <v>10</v>
      </c>
      <c r="F314" s="6">
        <v>5.53</v>
      </c>
      <c r="G314" s="7">
        <f t="shared" si="151"/>
        <v>0.44699999999999995</v>
      </c>
      <c r="H314" s="7"/>
      <c r="I314" s="7">
        <v>0.2</v>
      </c>
      <c r="J314" s="6">
        <f t="shared" si="152"/>
        <v>8</v>
      </c>
      <c r="K314" s="6">
        <f t="shared" si="41"/>
        <v>2.4699999999999998</v>
      </c>
      <c r="L314" s="7">
        <f t="shared" si="153"/>
        <v>0.30874999999999997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tr">
        <f t="shared" si="150"/>
        <v>Jabra</v>
      </c>
      <c r="B315" s="155" t="s">
        <v>590</v>
      </c>
      <c r="C315" s="4" t="s">
        <v>591</v>
      </c>
      <c r="D315" s="5" t="s">
        <v>13</v>
      </c>
      <c r="E315" s="17">
        <v>20</v>
      </c>
      <c r="F315" s="6">
        <v>11.06</v>
      </c>
      <c r="G315" s="7">
        <f t="shared" si="151"/>
        <v>0.44699999999999995</v>
      </c>
      <c r="H315" s="7"/>
      <c r="I315" s="7">
        <v>0.2</v>
      </c>
      <c r="J315" s="6">
        <f t="shared" si="152"/>
        <v>16</v>
      </c>
      <c r="K315" s="6">
        <f t="shared" si="41"/>
        <v>4.9399999999999995</v>
      </c>
      <c r="L315" s="7">
        <f t="shared" si="153"/>
        <v>0.30874999999999997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8" t="str">
        <f t="shared" si="150"/>
        <v>Jabra</v>
      </c>
      <c r="B316" s="157" t="s">
        <v>592</v>
      </c>
      <c r="C316" s="8" t="s">
        <v>593</v>
      </c>
      <c r="D316" s="9" t="s">
        <v>13</v>
      </c>
      <c r="E316" s="18">
        <v>12</v>
      </c>
      <c r="F316" s="10">
        <v>6.64</v>
      </c>
      <c r="G316" s="11">
        <f t="shared" si="151"/>
        <v>0.44666666666666666</v>
      </c>
      <c r="H316" s="11"/>
      <c r="I316" s="7">
        <v>0.2</v>
      </c>
      <c r="J316" s="10">
        <f t="shared" si="152"/>
        <v>9.6000000000000014</v>
      </c>
      <c r="K316" s="6">
        <f t="shared" si="41"/>
        <v>2.9600000000000017</v>
      </c>
      <c r="L316" s="11">
        <f t="shared" si="153"/>
        <v>0.30833333333333346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19" t="str">
        <f t="shared" ref="A317:A318" si="154">"Jabra"</f>
        <v>Jabra</v>
      </c>
      <c r="B317" s="156" t="s">
        <v>594</v>
      </c>
      <c r="C317" s="19" t="s">
        <v>595</v>
      </c>
      <c r="D317" s="20" t="s">
        <v>13</v>
      </c>
      <c r="E317" s="21">
        <v>149.99</v>
      </c>
      <c r="F317" s="22">
        <v>136.16999999999999</v>
      </c>
      <c r="G317" s="23">
        <f t="shared" ref="G317:G318" si="155">1-(F317/E317)</f>
        <v>9.2139475965064443E-2</v>
      </c>
      <c r="H317" s="23"/>
      <c r="I317" s="7">
        <v>0.2</v>
      </c>
      <c r="J317" s="22">
        <f t="shared" ref="J317:J318" si="156">E317*(1-I317)</f>
        <v>119.99200000000002</v>
      </c>
      <c r="K317" s="6">
        <f t="shared" si="41"/>
        <v>-16.177999999999969</v>
      </c>
      <c r="L317" s="23">
        <f t="shared" ref="L317:L318" si="157">1-(F317/J317)</f>
        <v>-0.13482565504366928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8" t="str">
        <f t="shared" si="154"/>
        <v>Jabra</v>
      </c>
      <c r="B318" s="157" t="s">
        <v>596</v>
      </c>
      <c r="C318" s="8" t="s">
        <v>597</v>
      </c>
      <c r="D318" s="9" t="s">
        <v>13</v>
      </c>
      <c r="E318" s="18">
        <v>17.95</v>
      </c>
      <c r="F318" s="28">
        <v>9.57</v>
      </c>
      <c r="G318" s="11">
        <f t="shared" si="155"/>
        <v>0.4668523676880223</v>
      </c>
      <c r="H318" s="11"/>
      <c r="I318" s="7">
        <v>0.2</v>
      </c>
      <c r="J318" s="10">
        <f t="shared" si="156"/>
        <v>14.36</v>
      </c>
      <c r="K318" s="6">
        <f t="shared" si="41"/>
        <v>4.7899999999999991</v>
      </c>
      <c r="L318" s="11">
        <f t="shared" si="157"/>
        <v>0.33356545961002781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19" t="str">
        <f t="shared" ref="A319:A321" si="158">"Jabra"</f>
        <v>Jabra</v>
      </c>
      <c r="B319" s="156" t="s">
        <v>598</v>
      </c>
      <c r="C319" s="19" t="s">
        <v>599</v>
      </c>
      <c r="D319" s="20" t="s">
        <v>13</v>
      </c>
      <c r="E319" s="21">
        <v>129.99</v>
      </c>
      <c r="F319" s="22">
        <v>118.09</v>
      </c>
      <c r="G319" s="23">
        <f t="shared" ref="G319:G321" si="159">1-(F319/E319)</f>
        <v>9.1545503500269243E-2</v>
      </c>
      <c r="H319" s="23"/>
      <c r="I319" s="7">
        <v>0.2</v>
      </c>
      <c r="J319" s="22">
        <f t="shared" ref="J319:J321" si="160">E319*(1-I319)</f>
        <v>103.99200000000002</v>
      </c>
      <c r="K319" s="6">
        <f t="shared" si="41"/>
        <v>-14.097999999999985</v>
      </c>
      <c r="L319" s="23">
        <f t="shared" ref="L319:L321" si="161">1-(F319/J319)</f>
        <v>-0.13556812062466328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tr">
        <f t="shared" si="158"/>
        <v>Jabra</v>
      </c>
      <c r="B320" s="155" t="s">
        <v>433</v>
      </c>
      <c r="C320" s="4" t="s">
        <v>600</v>
      </c>
      <c r="D320" s="5" t="s">
        <v>13</v>
      </c>
      <c r="E320" s="17">
        <v>9.9499999999999993</v>
      </c>
      <c r="F320" s="6">
        <v>5.32</v>
      </c>
      <c r="G320" s="7">
        <f t="shared" si="159"/>
        <v>0.46532663316582912</v>
      </c>
      <c r="H320" s="7"/>
      <c r="I320" s="7">
        <v>0.2</v>
      </c>
      <c r="J320" s="6">
        <f t="shared" si="160"/>
        <v>7.96</v>
      </c>
      <c r="K320" s="6">
        <f t="shared" si="41"/>
        <v>2.6399999999999997</v>
      </c>
      <c r="L320" s="7">
        <f t="shared" si="161"/>
        <v>0.33165829145728642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8" t="str">
        <f t="shared" si="158"/>
        <v>Jabra</v>
      </c>
      <c r="B321" s="157" t="s">
        <v>601</v>
      </c>
      <c r="C321" s="8" t="s">
        <v>602</v>
      </c>
      <c r="D321" s="9" t="s">
        <v>13</v>
      </c>
      <c r="E321" s="18">
        <v>17.95</v>
      </c>
      <c r="F321" s="10">
        <v>9.57</v>
      </c>
      <c r="G321" s="11">
        <f t="shared" si="159"/>
        <v>0.4668523676880223</v>
      </c>
      <c r="H321" s="11"/>
      <c r="I321" s="7">
        <v>0.2</v>
      </c>
      <c r="J321" s="10">
        <f t="shared" si="160"/>
        <v>14.36</v>
      </c>
      <c r="K321" s="6">
        <f t="shared" si="41"/>
        <v>4.7899999999999991</v>
      </c>
      <c r="L321" s="11">
        <f t="shared" si="161"/>
        <v>0.33356545961002781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tr">
        <f t="shared" ref="A322:A324" si="162">"Jabra"</f>
        <v>Jabra</v>
      </c>
      <c r="B322" s="149" t="s">
        <v>603</v>
      </c>
      <c r="C322" s="4" t="s">
        <v>604</v>
      </c>
      <c r="D322" s="5" t="s">
        <v>13</v>
      </c>
      <c r="E322" s="17">
        <v>720</v>
      </c>
      <c r="F322" s="6">
        <v>574.47</v>
      </c>
      <c r="G322" s="7">
        <f t="shared" ref="G322:G324" si="163">1-(F322/E322)</f>
        <v>0.202125</v>
      </c>
      <c r="H322" s="7"/>
      <c r="I322" s="7">
        <v>0.2</v>
      </c>
      <c r="J322" s="6">
        <f t="shared" ref="J322:J324" si="164">E322*(1-I322)</f>
        <v>576</v>
      </c>
      <c r="K322" s="6">
        <f t="shared" si="41"/>
        <v>1.5299999999999727</v>
      </c>
      <c r="L322" s="7">
        <f t="shared" ref="L322:L324" si="165">1-(F322/J322)</f>
        <v>2.6562499999999156E-3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tr">
        <f t="shared" si="162"/>
        <v>Jabra</v>
      </c>
      <c r="B323" s="149" t="s">
        <v>605</v>
      </c>
      <c r="C323" s="4" t="s">
        <v>606</v>
      </c>
      <c r="D323" s="5" t="s">
        <v>13</v>
      </c>
      <c r="E323" s="17">
        <v>55</v>
      </c>
      <c r="F323" s="6">
        <v>29.79</v>
      </c>
      <c r="G323" s="7">
        <f t="shared" si="163"/>
        <v>0.45836363636363642</v>
      </c>
      <c r="H323" s="7"/>
      <c r="I323" s="7">
        <v>0.2</v>
      </c>
      <c r="J323" s="6">
        <f t="shared" si="164"/>
        <v>44</v>
      </c>
      <c r="K323" s="6">
        <f t="shared" si="41"/>
        <v>14.21</v>
      </c>
      <c r="L323" s="7">
        <f t="shared" si="165"/>
        <v>0.32295454545454549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8" t="str">
        <f t="shared" si="162"/>
        <v>Jabra</v>
      </c>
      <c r="B324" s="152" t="s">
        <v>607</v>
      </c>
      <c r="C324" s="8" t="s">
        <v>608</v>
      </c>
      <c r="D324" s="9" t="s">
        <v>13</v>
      </c>
      <c r="E324" s="18">
        <v>55</v>
      </c>
      <c r="F324" s="10">
        <v>29.79</v>
      </c>
      <c r="G324" s="11">
        <f t="shared" si="163"/>
        <v>0.45836363636363642</v>
      </c>
      <c r="H324" s="11"/>
      <c r="I324" s="7">
        <v>0.2</v>
      </c>
      <c r="J324" s="10">
        <f t="shared" si="164"/>
        <v>44</v>
      </c>
      <c r="K324" s="6">
        <f t="shared" si="41"/>
        <v>14.21</v>
      </c>
      <c r="L324" s="11">
        <f t="shared" si="165"/>
        <v>0.32295454545454549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tr">
        <f t="shared" ref="A325:A330" si="166">"Jabra"</f>
        <v>Jabra</v>
      </c>
      <c r="B325" s="149" t="str">
        <f>"GN-860-09"</f>
        <v>GN-860-09</v>
      </c>
      <c r="C325" s="4" t="str">
        <f>"100Jabra LINK 860"</f>
        <v>100Jabra LINK 860</v>
      </c>
      <c r="D325" s="5" t="s">
        <v>13</v>
      </c>
      <c r="E325" s="17">
        <v>135</v>
      </c>
      <c r="F325" s="6">
        <v>74.680000000000007</v>
      </c>
      <c r="G325" s="7">
        <f t="shared" ref="G325:G330" si="167">1-(F325/E325)</f>
        <v>0.44681481481481478</v>
      </c>
      <c r="H325" s="7"/>
      <c r="I325" s="7">
        <v>0.2</v>
      </c>
      <c r="J325" s="6">
        <f t="shared" ref="J325:J330" si="168">E325*(1-I325)</f>
        <v>108</v>
      </c>
      <c r="K325" s="6">
        <f t="shared" si="41"/>
        <v>33.319999999999993</v>
      </c>
      <c r="L325" s="7">
        <f t="shared" ref="L325:L330" si="169">1-(F325/J325)</f>
        <v>0.30851851851851841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tr">
        <f t="shared" si="166"/>
        <v>Jabra</v>
      </c>
      <c r="B326" s="149" t="s">
        <v>609</v>
      </c>
      <c r="C326" s="4" t="s">
        <v>610</v>
      </c>
      <c r="D326" s="5" t="s">
        <v>13</v>
      </c>
      <c r="E326" s="17">
        <v>20</v>
      </c>
      <c r="F326" s="6">
        <v>10.37</v>
      </c>
      <c r="G326" s="7">
        <f t="shared" si="167"/>
        <v>0.48150000000000004</v>
      </c>
      <c r="H326" s="7"/>
      <c r="I326" s="7">
        <v>0.2</v>
      </c>
      <c r="J326" s="6">
        <f t="shared" si="168"/>
        <v>16</v>
      </c>
      <c r="K326" s="6">
        <f t="shared" si="41"/>
        <v>5.6300000000000008</v>
      </c>
      <c r="L326" s="7">
        <f t="shared" si="169"/>
        <v>0.35187500000000005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tr">
        <f t="shared" si="166"/>
        <v>Jabra</v>
      </c>
      <c r="B327" s="149" t="s">
        <v>611</v>
      </c>
      <c r="C327" s="4" t="s">
        <v>612</v>
      </c>
      <c r="D327" s="5" t="s">
        <v>13</v>
      </c>
      <c r="E327" s="17">
        <v>15</v>
      </c>
      <c r="F327" s="6">
        <v>7.98</v>
      </c>
      <c r="G327" s="7">
        <f t="shared" si="167"/>
        <v>0.46799999999999997</v>
      </c>
      <c r="H327" s="7"/>
      <c r="I327" s="7">
        <v>0.2</v>
      </c>
      <c r="J327" s="6">
        <f t="shared" si="168"/>
        <v>12</v>
      </c>
      <c r="K327" s="6">
        <f t="shared" si="41"/>
        <v>4.0199999999999996</v>
      </c>
      <c r="L327" s="7">
        <f t="shared" si="169"/>
        <v>0.33499999999999996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tr">
        <f t="shared" si="166"/>
        <v>Jabra</v>
      </c>
      <c r="B328" s="149" t="s">
        <v>320</v>
      </c>
      <c r="C328" s="4" t="s">
        <v>613</v>
      </c>
      <c r="D328" s="5" t="s">
        <v>13</v>
      </c>
      <c r="E328" s="17">
        <v>25</v>
      </c>
      <c r="F328" s="6">
        <v>13.83</v>
      </c>
      <c r="G328" s="7">
        <f t="shared" si="167"/>
        <v>0.44679999999999997</v>
      </c>
      <c r="H328" s="7"/>
      <c r="I328" s="7">
        <v>0.2</v>
      </c>
      <c r="J328" s="6">
        <f t="shared" si="168"/>
        <v>20</v>
      </c>
      <c r="K328" s="6">
        <f t="shared" si="41"/>
        <v>6.17</v>
      </c>
      <c r="L328" s="7">
        <f t="shared" si="169"/>
        <v>0.3085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tr">
        <f t="shared" si="166"/>
        <v>Jabra</v>
      </c>
      <c r="B329" s="149" t="s">
        <v>614</v>
      </c>
      <c r="C329" s="4" t="s">
        <v>615</v>
      </c>
      <c r="D329" s="5" t="s">
        <v>13</v>
      </c>
      <c r="E329" s="17">
        <v>6</v>
      </c>
      <c r="F329" s="6">
        <v>3.32</v>
      </c>
      <c r="G329" s="7">
        <f t="shared" si="167"/>
        <v>0.44666666666666666</v>
      </c>
      <c r="H329" s="7"/>
      <c r="I329" s="7">
        <v>0.2</v>
      </c>
      <c r="J329" s="6">
        <f t="shared" si="168"/>
        <v>4.8000000000000007</v>
      </c>
      <c r="K329" s="6">
        <f t="shared" si="41"/>
        <v>1.4800000000000009</v>
      </c>
      <c r="L329" s="7">
        <f t="shared" si="169"/>
        <v>0.30833333333333346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8" t="str">
        <f t="shared" si="166"/>
        <v>Jabra</v>
      </c>
      <c r="B330" s="158" t="s">
        <v>616</v>
      </c>
      <c r="C330" s="8" t="s">
        <v>617</v>
      </c>
      <c r="D330" s="9" t="s">
        <v>13</v>
      </c>
      <c r="E330" s="18">
        <v>30</v>
      </c>
      <c r="F330" s="10">
        <v>16.600000000000001</v>
      </c>
      <c r="G330" s="11">
        <f t="shared" si="167"/>
        <v>0.44666666666666666</v>
      </c>
      <c r="H330" s="11"/>
      <c r="I330" s="7">
        <v>0.2</v>
      </c>
      <c r="J330" s="10">
        <f t="shared" si="168"/>
        <v>24</v>
      </c>
      <c r="K330" s="6">
        <f t="shared" si="41"/>
        <v>7.3999999999999986</v>
      </c>
      <c r="L330" s="11">
        <f t="shared" si="169"/>
        <v>0.30833333333333324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tr">
        <f t="shared" ref="A331:A369" si="170">"Jabra"</f>
        <v>Jabra</v>
      </c>
      <c r="B331" s="149" t="str">
        <f>"GN-180-09"</f>
        <v>GN-180-09</v>
      </c>
      <c r="C331" s="4" t="str">
        <f>"Jabra Link 180 Switch Desk Phone and PC"</f>
        <v>Jabra Link 180 Switch Desk Phone and PC</v>
      </c>
      <c r="D331" s="5" t="s">
        <v>13</v>
      </c>
      <c r="E331" s="17">
        <v>65</v>
      </c>
      <c r="F331" s="6">
        <v>35.96</v>
      </c>
      <c r="G331" s="7">
        <f t="shared" ref="G331:G369" si="171">1-(F331/E331)</f>
        <v>0.44676923076923081</v>
      </c>
      <c r="H331" s="7"/>
      <c r="I331" s="7">
        <v>0.2</v>
      </c>
      <c r="J331" s="6">
        <f t="shared" ref="J331:J369" si="172">E331*(1-I331)</f>
        <v>52</v>
      </c>
      <c r="K331" s="6">
        <f t="shared" si="41"/>
        <v>16.04</v>
      </c>
      <c r="L331" s="7">
        <f t="shared" ref="L331:L369" si="173">1-(F331/J331)</f>
        <v>0.30846153846153845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tr">
        <f t="shared" si="170"/>
        <v>Jabra</v>
      </c>
      <c r="B332" s="149" t="s">
        <v>618</v>
      </c>
      <c r="C332" s="4" t="s">
        <v>619</v>
      </c>
      <c r="D332" s="5" t="s">
        <v>13</v>
      </c>
      <c r="E332" s="17">
        <v>59</v>
      </c>
      <c r="F332" s="6">
        <v>32.64</v>
      </c>
      <c r="G332" s="7">
        <f t="shared" si="171"/>
        <v>0.4467796610169491</v>
      </c>
      <c r="H332" s="7"/>
      <c r="I332" s="7">
        <v>0.2</v>
      </c>
      <c r="J332" s="6">
        <f t="shared" si="172"/>
        <v>47.2</v>
      </c>
      <c r="K332" s="6">
        <f t="shared" si="41"/>
        <v>14.560000000000002</v>
      </c>
      <c r="L332" s="7">
        <f t="shared" si="173"/>
        <v>0.30847457627118646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tr">
        <f t="shared" si="170"/>
        <v>Jabra</v>
      </c>
      <c r="B333" s="149" t="s">
        <v>620</v>
      </c>
      <c r="C333" s="4" t="s">
        <v>621</v>
      </c>
      <c r="D333" s="5" t="s">
        <v>13</v>
      </c>
      <c r="E333" s="17">
        <v>99</v>
      </c>
      <c r="F333" s="6">
        <v>54.77</v>
      </c>
      <c r="G333" s="7">
        <f t="shared" si="171"/>
        <v>0.4467676767676767</v>
      </c>
      <c r="H333" s="7"/>
      <c r="I333" s="7">
        <v>0.2</v>
      </c>
      <c r="J333" s="6">
        <f t="shared" si="172"/>
        <v>79.2</v>
      </c>
      <c r="K333" s="6">
        <f t="shared" si="41"/>
        <v>24.43</v>
      </c>
      <c r="L333" s="7">
        <f t="shared" si="173"/>
        <v>0.30845959595959593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tr">
        <f t="shared" si="170"/>
        <v>Jabra</v>
      </c>
      <c r="B334" s="149" t="s">
        <v>448</v>
      </c>
      <c r="C334" s="4" t="s">
        <v>622</v>
      </c>
      <c r="D334" s="5" t="s">
        <v>13</v>
      </c>
      <c r="E334" s="17">
        <v>99</v>
      </c>
      <c r="F334" s="6">
        <v>54.77</v>
      </c>
      <c r="G334" s="7">
        <f t="shared" si="171"/>
        <v>0.4467676767676767</v>
      </c>
      <c r="H334" s="7"/>
      <c r="I334" s="7">
        <v>0.2</v>
      </c>
      <c r="J334" s="6">
        <f t="shared" si="172"/>
        <v>79.2</v>
      </c>
      <c r="K334" s="6">
        <f t="shared" si="41"/>
        <v>24.43</v>
      </c>
      <c r="L334" s="7">
        <f t="shared" si="173"/>
        <v>0.30845959595959593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tr">
        <f t="shared" si="170"/>
        <v>Jabra</v>
      </c>
      <c r="B335" s="149" t="str">
        <f>"GN-265-09"</f>
        <v>GN-265-09</v>
      </c>
      <c r="C335" s="4" t="str">
        <f>"Jabra Link 265"</f>
        <v>Jabra Link 265</v>
      </c>
      <c r="D335" s="5" t="s">
        <v>13</v>
      </c>
      <c r="E335" s="17">
        <v>119</v>
      </c>
      <c r="F335" s="6">
        <v>65.83</v>
      </c>
      <c r="G335" s="7">
        <f t="shared" si="171"/>
        <v>0.44680672268907562</v>
      </c>
      <c r="H335" s="7"/>
      <c r="I335" s="7">
        <v>0.2</v>
      </c>
      <c r="J335" s="6">
        <f t="shared" si="172"/>
        <v>95.2</v>
      </c>
      <c r="K335" s="6">
        <f t="shared" si="41"/>
        <v>29.370000000000005</v>
      </c>
      <c r="L335" s="7">
        <f t="shared" si="173"/>
        <v>0.30850840336134455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tr">
        <f t="shared" si="170"/>
        <v>Jabra</v>
      </c>
      <c r="B336" s="149" t="str">
        <f>"GN-280-09"</f>
        <v>GN-280-09</v>
      </c>
      <c r="C336" s="4" t="str">
        <f>"JABRA LINK 280 USB CORD - GN QD"</f>
        <v>JABRA LINK 280 USB CORD - GN QD</v>
      </c>
      <c r="D336" s="5" t="s">
        <v>13</v>
      </c>
      <c r="E336" s="17">
        <v>139</v>
      </c>
      <c r="F336" s="6">
        <v>76.89</v>
      </c>
      <c r="G336" s="7">
        <f t="shared" si="171"/>
        <v>0.44683453237410076</v>
      </c>
      <c r="H336" s="7"/>
      <c r="I336" s="7">
        <v>0.2</v>
      </c>
      <c r="J336" s="6">
        <f t="shared" si="172"/>
        <v>111.2</v>
      </c>
      <c r="K336" s="6">
        <f t="shared" si="41"/>
        <v>34.31</v>
      </c>
      <c r="L336" s="7">
        <f t="shared" si="173"/>
        <v>0.30854316546762595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tr">
        <f t="shared" si="170"/>
        <v>Jabra</v>
      </c>
      <c r="B337" s="149" t="str">
        <f>"GN-8800-01-37"</f>
        <v>GN-8800-01-37</v>
      </c>
      <c r="C337" s="4" t="str">
        <f>"QUICK DISCONNECT TO RJ-9 COILED"</f>
        <v>QUICK DISCONNECT TO RJ-9 COILED</v>
      </c>
      <c r="D337" s="5" t="s">
        <v>13</v>
      </c>
      <c r="E337" s="17">
        <v>15</v>
      </c>
      <c r="F337" s="6">
        <v>7.98</v>
      </c>
      <c r="G337" s="7">
        <f t="shared" si="171"/>
        <v>0.46799999999999997</v>
      </c>
      <c r="H337" s="7"/>
      <c r="I337" s="7">
        <v>0.2</v>
      </c>
      <c r="J337" s="6">
        <f t="shared" si="172"/>
        <v>12</v>
      </c>
      <c r="K337" s="6">
        <f t="shared" si="41"/>
        <v>4.0199999999999996</v>
      </c>
      <c r="L337" s="7">
        <f t="shared" si="173"/>
        <v>0.33499999999999996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 t="str">
        <f t="shared" si="170"/>
        <v>Jabra</v>
      </c>
      <c r="B338" s="149" t="str">
        <f>"GN-8800-00-75"</f>
        <v>GN-8800-00-75</v>
      </c>
      <c r="C338" s="4" t="str">
        <f>"GN Netcom 2.5MM to RJ-9 Audio Cord"</f>
        <v>GN Netcom 2.5MM to RJ-9 Audio Cord</v>
      </c>
      <c r="D338" s="5" t="s">
        <v>13</v>
      </c>
      <c r="E338" s="17">
        <v>15</v>
      </c>
      <c r="F338" s="6">
        <v>7.98</v>
      </c>
      <c r="G338" s="7">
        <f t="shared" si="171"/>
        <v>0.46799999999999997</v>
      </c>
      <c r="H338" s="7"/>
      <c r="I338" s="7">
        <v>0.2</v>
      </c>
      <c r="J338" s="6">
        <f t="shared" si="172"/>
        <v>12</v>
      </c>
      <c r="K338" s="6">
        <f t="shared" si="41"/>
        <v>4.0199999999999996</v>
      </c>
      <c r="L338" s="7">
        <f t="shared" si="173"/>
        <v>0.33499999999999996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 t="str">
        <f t="shared" si="170"/>
        <v>Jabra</v>
      </c>
      <c r="B339" s="149" t="str">
        <f>"GN-8800-01-94"</f>
        <v>GN-8800-01-94</v>
      </c>
      <c r="C339" s="4" t="str">
        <f>"Jabra QD to RJ-45 Coiled Cord Siemens"</f>
        <v>Jabra QD to RJ-45 Coiled Cord Siemens</v>
      </c>
      <c r="D339" s="5" t="s">
        <v>13</v>
      </c>
      <c r="E339" s="17">
        <v>30</v>
      </c>
      <c r="F339" s="6">
        <v>15.96</v>
      </c>
      <c r="G339" s="7">
        <f t="shared" si="171"/>
        <v>0.46799999999999997</v>
      </c>
      <c r="H339" s="7"/>
      <c r="I339" s="7">
        <v>0.2</v>
      </c>
      <c r="J339" s="6">
        <f t="shared" si="172"/>
        <v>24</v>
      </c>
      <c r="K339" s="6">
        <f t="shared" si="41"/>
        <v>8.0399999999999991</v>
      </c>
      <c r="L339" s="7">
        <f t="shared" si="173"/>
        <v>0.33499999999999996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 t="str">
        <f t="shared" si="170"/>
        <v>Jabra</v>
      </c>
      <c r="B340" s="149" t="s">
        <v>623</v>
      </c>
      <c r="C340" s="4" t="s">
        <v>624</v>
      </c>
      <c r="D340" s="5" t="s">
        <v>13</v>
      </c>
      <c r="E340" s="17">
        <v>30</v>
      </c>
      <c r="F340" s="6">
        <v>15.96</v>
      </c>
      <c r="G340" s="7">
        <f t="shared" si="171"/>
        <v>0.46799999999999997</v>
      </c>
      <c r="H340" s="7"/>
      <c r="I340" s="7">
        <v>0.2</v>
      </c>
      <c r="J340" s="6">
        <f t="shared" si="172"/>
        <v>24</v>
      </c>
      <c r="K340" s="6">
        <f t="shared" si="41"/>
        <v>8.0399999999999991</v>
      </c>
      <c r="L340" s="7">
        <f t="shared" si="173"/>
        <v>0.33499999999999996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 t="str">
        <f t="shared" si="170"/>
        <v>Jabra</v>
      </c>
      <c r="B341" s="159" t="s">
        <v>625</v>
      </c>
      <c r="C341" s="4" t="s">
        <v>626</v>
      </c>
      <c r="D341" s="5" t="s">
        <v>13</v>
      </c>
      <c r="E341" s="17">
        <v>15</v>
      </c>
      <c r="F341" s="6">
        <v>7.98</v>
      </c>
      <c r="G341" s="7">
        <f t="shared" si="171"/>
        <v>0.46799999999999997</v>
      </c>
      <c r="H341" s="7"/>
      <c r="I341" s="7">
        <v>0.2</v>
      </c>
      <c r="J341" s="6">
        <f t="shared" si="172"/>
        <v>12</v>
      </c>
      <c r="K341" s="6">
        <f t="shared" si="41"/>
        <v>4.0199999999999996</v>
      </c>
      <c r="L341" s="7">
        <f t="shared" si="173"/>
        <v>0.33499999999999996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 t="str">
        <f t="shared" si="170"/>
        <v>Jabra</v>
      </c>
      <c r="B342" s="149" t="s">
        <v>627</v>
      </c>
      <c r="C342" s="4" t="s">
        <v>626</v>
      </c>
      <c r="D342" s="5" t="s">
        <v>13</v>
      </c>
      <c r="E342" s="17">
        <v>15</v>
      </c>
      <c r="F342" s="6">
        <v>7.98</v>
      </c>
      <c r="G342" s="7">
        <f t="shared" si="171"/>
        <v>0.46799999999999997</v>
      </c>
      <c r="H342" s="7"/>
      <c r="I342" s="7">
        <v>0.2</v>
      </c>
      <c r="J342" s="6">
        <f t="shared" si="172"/>
        <v>12</v>
      </c>
      <c r="K342" s="6">
        <f t="shared" si="41"/>
        <v>4.0199999999999996</v>
      </c>
      <c r="L342" s="7">
        <f t="shared" si="173"/>
        <v>0.33499999999999996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 t="str">
        <f t="shared" si="170"/>
        <v>Jabra</v>
      </c>
      <c r="B343" s="149" t="s">
        <v>628</v>
      </c>
      <c r="C343" s="4" t="s">
        <v>629</v>
      </c>
      <c r="D343" s="5" t="s">
        <v>13</v>
      </c>
      <c r="E343" s="17">
        <v>39</v>
      </c>
      <c r="F343" s="6">
        <v>21.57</v>
      </c>
      <c r="G343" s="7">
        <f t="shared" si="171"/>
        <v>0.44692307692307687</v>
      </c>
      <c r="H343" s="7"/>
      <c r="I343" s="7">
        <v>0.2</v>
      </c>
      <c r="J343" s="6">
        <f t="shared" si="172"/>
        <v>31.200000000000003</v>
      </c>
      <c r="K343" s="6">
        <f t="shared" si="41"/>
        <v>9.6300000000000026</v>
      </c>
      <c r="L343" s="7">
        <f t="shared" si="173"/>
        <v>0.30865384615384617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 t="str">
        <f t="shared" si="170"/>
        <v>Jabra</v>
      </c>
      <c r="B344" s="149" t="s">
        <v>630</v>
      </c>
      <c r="C344" s="4" t="s">
        <v>631</v>
      </c>
      <c r="D344" s="5" t="s">
        <v>13</v>
      </c>
      <c r="E344" s="17">
        <v>39</v>
      </c>
      <c r="F344" s="6">
        <v>21.57</v>
      </c>
      <c r="G344" s="7">
        <f t="shared" si="171"/>
        <v>0.44692307692307687</v>
      </c>
      <c r="H344" s="7"/>
      <c r="I344" s="7">
        <v>0.2</v>
      </c>
      <c r="J344" s="6">
        <f t="shared" si="172"/>
        <v>31.200000000000003</v>
      </c>
      <c r="K344" s="6">
        <f t="shared" si="41"/>
        <v>9.6300000000000026</v>
      </c>
      <c r="L344" s="7">
        <f t="shared" si="173"/>
        <v>0.30865384615384617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 t="str">
        <f t="shared" si="170"/>
        <v>Jabra</v>
      </c>
      <c r="B345" s="149" t="s">
        <v>632</v>
      </c>
      <c r="C345" s="4" t="s">
        <v>633</v>
      </c>
      <c r="D345" s="5" t="s">
        <v>13</v>
      </c>
      <c r="E345" s="17">
        <v>39</v>
      </c>
      <c r="F345" s="6">
        <v>21.57</v>
      </c>
      <c r="G345" s="7">
        <f t="shared" si="171"/>
        <v>0.44692307692307687</v>
      </c>
      <c r="H345" s="7"/>
      <c r="I345" s="7">
        <v>0.2</v>
      </c>
      <c r="J345" s="6">
        <f t="shared" si="172"/>
        <v>31.200000000000003</v>
      </c>
      <c r="K345" s="6">
        <f t="shared" si="41"/>
        <v>9.6300000000000026</v>
      </c>
      <c r="L345" s="7">
        <f t="shared" si="173"/>
        <v>0.30865384615384617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 t="str">
        <f t="shared" si="170"/>
        <v>Jabra</v>
      </c>
      <c r="B346" s="149" t="str">
        <f>"GN-88001-99"</f>
        <v>GN-88001-99</v>
      </c>
      <c r="C346" s="4" t="str">
        <f>"GN 1200 Smart Cord; QD to RJ9; 20 Inch"</f>
        <v>GN 1200 Smart Cord; QD to RJ9; 20 Inch</v>
      </c>
      <c r="D346" s="5" t="s">
        <v>13</v>
      </c>
      <c r="E346" s="17">
        <v>30</v>
      </c>
      <c r="F346" s="6">
        <v>16.600000000000001</v>
      </c>
      <c r="G346" s="7">
        <f t="shared" si="171"/>
        <v>0.44666666666666666</v>
      </c>
      <c r="H346" s="7"/>
      <c r="I346" s="7">
        <v>0.2</v>
      </c>
      <c r="J346" s="6">
        <f t="shared" si="172"/>
        <v>24</v>
      </c>
      <c r="K346" s="6">
        <f t="shared" si="41"/>
        <v>7.3999999999999986</v>
      </c>
      <c r="L346" s="7">
        <f t="shared" si="173"/>
        <v>0.30833333333333324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 t="str">
        <f t="shared" si="170"/>
        <v>Jabra</v>
      </c>
      <c r="B347" s="149" t="str">
        <f>"GN-88011-99"</f>
        <v>GN-88011-99</v>
      </c>
      <c r="C347" s="4" t="str">
        <f>"GN 1200 CC 2m Coiled QD to Mod Plug"</f>
        <v>GN 1200 CC 2m Coiled QD to Mod Plug</v>
      </c>
      <c r="D347" s="5" t="s">
        <v>13</v>
      </c>
      <c r="E347" s="17">
        <v>30</v>
      </c>
      <c r="F347" s="6">
        <v>16.600000000000001</v>
      </c>
      <c r="G347" s="7">
        <f t="shared" si="171"/>
        <v>0.44666666666666666</v>
      </c>
      <c r="H347" s="7"/>
      <c r="I347" s="7">
        <v>0.2</v>
      </c>
      <c r="J347" s="6">
        <f t="shared" si="172"/>
        <v>24</v>
      </c>
      <c r="K347" s="6">
        <f t="shared" si="41"/>
        <v>7.3999999999999986</v>
      </c>
      <c r="L347" s="7">
        <f t="shared" si="173"/>
        <v>0.30833333333333324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 t="str">
        <f t="shared" si="170"/>
        <v>Jabra</v>
      </c>
      <c r="B348" s="149" t="s">
        <v>634</v>
      </c>
      <c r="C348" s="4" t="s">
        <v>635</v>
      </c>
      <c r="D348" s="5" t="s">
        <v>13</v>
      </c>
      <c r="E348" s="17">
        <v>49</v>
      </c>
      <c r="F348" s="6">
        <v>26.6</v>
      </c>
      <c r="G348" s="7">
        <f t="shared" si="171"/>
        <v>0.45714285714285707</v>
      </c>
      <c r="H348" s="7"/>
      <c r="I348" s="7">
        <v>0.2</v>
      </c>
      <c r="J348" s="6">
        <f t="shared" si="172"/>
        <v>39.200000000000003</v>
      </c>
      <c r="K348" s="6">
        <f t="shared" si="41"/>
        <v>12.600000000000001</v>
      </c>
      <c r="L348" s="7">
        <f t="shared" si="173"/>
        <v>0.3214285714285714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 t="str">
        <f t="shared" si="170"/>
        <v>Jabra</v>
      </c>
      <c r="B349" s="149" t="str">
        <f>"GN-88011-102"</f>
        <v>GN-88011-102</v>
      </c>
      <c r="C349" s="4" t="str">
        <f>"JABRA GN1218 AC 2M LINK CABLE"</f>
        <v>JABRA GN1218 AC 2M LINK CABLE</v>
      </c>
      <c r="D349" s="5" t="s">
        <v>13</v>
      </c>
      <c r="E349" s="17">
        <v>30</v>
      </c>
      <c r="F349" s="6">
        <v>16.600000000000001</v>
      </c>
      <c r="G349" s="7">
        <f t="shared" si="171"/>
        <v>0.44666666666666666</v>
      </c>
      <c r="H349" s="7"/>
      <c r="I349" s="7">
        <v>0.2</v>
      </c>
      <c r="J349" s="6">
        <f t="shared" si="172"/>
        <v>24</v>
      </c>
      <c r="K349" s="6">
        <f t="shared" si="41"/>
        <v>7.3999999999999986</v>
      </c>
      <c r="L349" s="7">
        <f t="shared" si="173"/>
        <v>0.30833333333333324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 t="str">
        <f t="shared" si="170"/>
        <v>Jabra</v>
      </c>
      <c r="B350" s="149" t="s">
        <v>636</v>
      </c>
      <c r="C350" s="4" t="s">
        <v>637</v>
      </c>
      <c r="D350" s="5" t="s">
        <v>13</v>
      </c>
      <c r="E350" s="17">
        <v>50</v>
      </c>
      <c r="F350" s="6">
        <v>27.66</v>
      </c>
      <c r="G350" s="7">
        <f t="shared" si="171"/>
        <v>0.44679999999999997</v>
      </c>
      <c r="H350" s="7"/>
      <c r="I350" s="7">
        <v>0.2</v>
      </c>
      <c r="J350" s="6">
        <f t="shared" si="172"/>
        <v>40</v>
      </c>
      <c r="K350" s="6">
        <f t="shared" si="41"/>
        <v>12.34</v>
      </c>
      <c r="L350" s="7">
        <f t="shared" si="173"/>
        <v>0.3085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 t="str">
        <f t="shared" si="170"/>
        <v>Jabra</v>
      </c>
      <c r="B351" s="149" t="s">
        <v>638</v>
      </c>
      <c r="C351" s="4" t="s">
        <v>639</v>
      </c>
      <c r="D351" s="5" t="s">
        <v>13</v>
      </c>
      <c r="E351" s="17">
        <v>40</v>
      </c>
      <c r="F351" s="6">
        <v>22.13</v>
      </c>
      <c r="G351" s="7">
        <f t="shared" si="171"/>
        <v>0.44674999999999998</v>
      </c>
      <c r="H351" s="7"/>
      <c r="I351" s="7">
        <v>0.2</v>
      </c>
      <c r="J351" s="6">
        <f t="shared" si="172"/>
        <v>32</v>
      </c>
      <c r="K351" s="6">
        <f t="shared" si="41"/>
        <v>9.870000000000001</v>
      </c>
      <c r="L351" s="7">
        <f t="shared" si="173"/>
        <v>0.30843750000000003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 t="str">
        <f t="shared" si="170"/>
        <v>Jabra</v>
      </c>
      <c r="B352" s="149" t="s">
        <v>640</v>
      </c>
      <c r="C352" s="4" t="s">
        <v>641</v>
      </c>
      <c r="D352" s="5" t="s">
        <v>13</v>
      </c>
      <c r="E352" s="17">
        <v>40</v>
      </c>
      <c r="F352" s="6">
        <v>22.13</v>
      </c>
      <c r="G352" s="7">
        <f t="shared" si="171"/>
        <v>0.44674999999999998</v>
      </c>
      <c r="H352" s="7"/>
      <c r="I352" s="7">
        <v>0.2</v>
      </c>
      <c r="J352" s="6">
        <f t="shared" si="172"/>
        <v>32</v>
      </c>
      <c r="K352" s="6">
        <f t="shared" si="41"/>
        <v>9.870000000000001</v>
      </c>
      <c r="L352" s="7">
        <f t="shared" si="173"/>
        <v>0.30843750000000003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 t="str">
        <f t="shared" si="170"/>
        <v>Jabra</v>
      </c>
      <c r="B353" s="149" t="s">
        <v>642</v>
      </c>
      <c r="C353" s="4" t="s">
        <v>643</v>
      </c>
      <c r="D353" s="5" t="s">
        <v>13</v>
      </c>
      <c r="E353" s="17">
        <v>40</v>
      </c>
      <c r="F353" s="6">
        <v>22.13</v>
      </c>
      <c r="G353" s="7">
        <f t="shared" si="171"/>
        <v>0.44674999999999998</v>
      </c>
      <c r="H353" s="7"/>
      <c r="I353" s="7">
        <v>0.2</v>
      </c>
      <c r="J353" s="6">
        <f t="shared" si="172"/>
        <v>32</v>
      </c>
      <c r="K353" s="6">
        <f t="shared" si="41"/>
        <v>9.870000000000001</v>
      </c>
      <c r="L353" s="7">
        <f t="shared" si="173"/>
        <v>0.30843750000000003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 t="str">
        <f t="shared" si="170"/>
        <v>Jabra</v>
      </c>
      <c r="B354" s="149" t="str">
        <f>"GN-14201-17"</f>
        <v>GN-14201-17</v>
      </c>
      <c r="C354" s="4" t="str">
        <f>"Polycom EHS"</f>
        <v>Polycom EHS</v>
      </c>
      <c r="D354" s="5" t="s">
        <v>13</v>
      </c>
      <c r="E354" s="17">
        <v>40</v>
      </c>
      <c r="F354" s="6">
        <v>22.13</v>
      </c>
      <c r="G354" s="7">
        <f t="shared" si="171"/>
        <v>0.44674999999999998</v>
      </c>
      <c r="H354" s="7"/>
      <c r="I354" s="7">
        <v>0.2</v>
      </c>
      <c r="J354" s="6">
        <f t="shared" si="172"/>
        <v>32</v>
      </c>
      <c r="K354" s="6">
        <f t="shared" si="41"/>
        <v>9.870000000000001</v>
      </c>
      <c r="L354" s="7">
        <f t="shared" si="173"/>
        <v>0.30843750000000003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 t="str">
        <f t="shared" si="170"/>
        <v>Jabra</v>
      </c>
      <c r="B355" s="149" t="s">
        <v>644</v>
      </c>
      <c r="C355" s="4" t="s">
        <v>645</v>
      </c>
      <c r="D355" s="5" t="s">
        <v>13</v>
      </c>
      <c r="E355" s="17">
        <v>40</v>
      </c>
      <c r="F355" s="6">
        <v>22.13</v>
      </c>
      <c r="G355" s="7">
        <f t="shared" si="171"/>
        <v>0.44674999999999998</v>
      </c>
      <c r="H355" s="7"/>
      <c r="I355" s="7">
        <v>0.2</v>
      </c>
      <c r="J355" s="6">
        <f t="shared" si="172"/>
        <v>32</v>
      </c>
      <c r="K355" s="6">
        <f t="shared" si="41"/>
        <v>9.870000000000001</v>
      </c>
      <c r="L355" s="7">
        <f t="shared" si="173"/>
        <v>0.30843750000000003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 t="str">
        <f t="shared" si="170"/>
        <v>Jabra</v>
      </c>
      <c r="B356" s="149" t="s">
        <v>646</v>
      </c>
      <c r="C356" s="4" t="s">
        <v>647</v>
      </c>
      <c r="D356" s="5" t="s">
        <v>13</v>
      </c>
      <c r="E356" s="17">
        <v>50</v>
      </c>
      <c r="F356" s="6">
        <v>27.66</v>
      </c>
      <c r="G356" s="7">
        <f t="shared" si="171"/>
        <v>0.44679999999999997</v>
      </c>
      <c r="H356" s="7"/>
      <c r="I356" s="7">
        <v>0.2</v>
      </c>
      <c r="J356" s="6">
        <f t="shared" si="172"/>
        <v>40</v>
      </c>
      <c r="K356" s="6">
        <f t="shared" si="41"/>
        <v>12.34</v>
      </c>
      <c r="L356" s="7">
        <f t="shared" si="173"/>
        <v>0.3085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 t="str">
        <f t="shared" si="170"/>
        <v>Jabra</v>
      </c>
      <c r="B357" s="149" t="str">
        <f>"GN-14201-22"</f>
        <v>GN-14201-22</v>
      </c>
      <c r="C357" s="4" t="s">
        <v>648</v>
      </c>
      <c r="D357" s="5" t="s">
        <v>13</v>
      </c>
      <c r="E357" s="17">
        <v>40</v>
      </c>
      <c r="F357" s="6">
        <v>22.13</v>
      </c>
      <c r="G357" s="7">
        <f t="shared" si="171"/>
        <v>0.44674999999999998</v>
      </c>
      <c r="H357" s="7"/>
      <c r="I357" s="7">
        <v>0.2</v>
      </c>
      <c r="J357" s="6">
        <f t="shared" si="172"/>
        <v>32</v>
      </c>
      <c r="K357" s="6">
        <f t="shared" si="41"/>
        <v>9.870000000000001</v>
      </c>
      <c r="L357" s="7">
        <f t="shared" si="173"/>
        <v>0.30843750000000003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 t="str">
        <f t="shared" si="170"/>
        <v>Jabra</v>
      </c>
      <c r="B358" s="149" t="s">
        <v>649</v>
      </c>
      <c r="C358" s="4" t="s">
        <v>650</v>
      </c>
      <c r="D358" s="5" t="s">
        <v>13</v>
      </c>
      <c r="E358" s="17">
        <v>49</v>
      </c>
      <c r="F358" s="6">
        <v>27.11</v>
      </c>
      <c r="G358" s="7">
        <f t="shared" si="171"/>
        <v>0.44673469387755105</v>
      </c>
      <c r="H358" s="7"/>
      <c r="I358" s="7">
        <v>0.2</v>
      </c>
      <c r="J358" s="6">
        <f t="shared" si="172"/>
        <v>39.200000000000003</v>
      </c>
      <c r="K358" s="6">
        <f t="shared" si="41"/>
        <v>12.090000000000003</v>
      </c>
      <c r="L358" s="7">
        <f t="shared" si="173"/>
        <v>0.30841836734693884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 t="str">
        <f t="shared" si="170"/>
        <v>Jabra</v>
      </c>
      <c r="B359" s="149" t="s">
        <v>651</v>
      </c>
      <c r="C359" s="4" t="s">
        <v>652</v>
      </c>
      <c r="D359" s="5" t="s">
        <v>13</v>
      </c>
      <c r="E359" s="17">
        <v>49</v>
      </c>
      <c r="F359" s="6">
        <v>27.11</v>
      </c>
      <c r="G359" s="7">
        <f t="shared" si="171"/>
        <v>0.44673469387755105</v>
      </c>
      <c r="H359" s="7"/>
      <c r="I359" s="7">
        <v>0.2</v>
      </c>
      <c r="J359" s="6">
        <f t="shared" si="172"/>
        <v>39.200000000000003</v>
      </c>
      <c r="K359" s="6">
        <f t="shared" si="41"/>
        <v>12.090000000000003</v>
      </c>
      <c r="L359" s="7">
        <f t="shared" si="173"/>
        <v>0.30841836734693884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 t="str">
        <f t="shared" si="170"/>
        <v>Jabra</v>
      </c>
      <c r="B360" s="149" t="str">
        <f>"GN-14201-31"</f>
        <v>GN-14201-31</v>
      </c>
      <c r="C360" s="4" t="s">
        <v>653</v>
      </c>
      <c r="D360" s="5" t="s">
        <v>13</v>
      </c>
      <c r="E360" s="17">
        <v>49</v>
      </c>
      <c r="F360" s="6">
        <v>27.11</v>
      </c>
      <c r="G360" s="7">
        <f t="shared" si="171"/>
        <v>0.44673469387755105</v>
      </c>
      <c r="H360" s="7"/>
      <c r="I360" s="7">
        <v>0.2</v>
      </c>
      <c r="J360" s="6">
        <f t="shared" si="172"/>
        <v>39.200000000000003</v>
      </c>
      <c r="K360" s="6">
        <f t="shared" si="41"/>
        <v>12.090000000000003</v>
      </c>
      <c r="L360" s="7">
        <f t="shared" si="173"/>
        <v>0.30841836734693884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 t="str">
        <f t="shared" si="170"/>
        <v>Jabra</v>
      </c>
      <c r="B361" s="149" t="s">
        <v>654</v>
      </c>
      <c r="C361" s="4" t="s">
        <v>655</v>
      </c>
      <c r="D361" s="5" t="s">
        <v>13</v>
      </c>
      <c r="E361" s="17">
        <v>49</v>
      </c>
      <c r="F361" s="6">
        <v>27.11</v>
      </c>
      <c r="G361" s="7">
        <f t="shared" si="171"/>
        <v>0.44673469387755105</v>
      </c>
      <c r="H361" s="7"/>
      <c r="I361" s="7">
        <v>0.2</v>
      </c>
      <c r="J361" s="6">
        <f t="shared" si="172"/>
        <v>39.200000000000003</v>
      </c>
      <c r="K361" s="6">
        <f t="shared" si="41"/>
        <v>12.090000000000003</v>
      </c>
      <c r="L361" s="7">
        <f t="shared" si="173"/>
        <v>0.30841836734693884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 t="str">
        <f t="shared" si="170"/>
        <v>Jabra</v>
      </c>
      <c r="B362" s="149" t="str">
        <f>"GN-14201-33"</f>
        <v>GN-14201-33</v>
      </c>
      <c r="C362" s="4" t="str">
        <f>"JABRA LINK 14201-33 for Avaya"</f>
        <v>JABRA LINK 14201-33 for Avaya</v>
      </c>
      <c r="D362" s="5" t="s">
        <v>13</v>
      </c>
      <c r="E362" s="17">
        <v>49</v>
      </c>
      <c r="F362" s="6">
        <v>27.11</v>
      </c>
      <c r="G362" s="7">
        <f t="shared" si="171"/>
        <v>0.44673469387755105</v>
      </c>
      <c r="H362" s="7"/>
      <c r="I362" s="7">
        <v>0.2</v>
      </c>
      <c r="J362" s="6">
        <f t="shared" si="172"/>
        <v>39.200000000000003</v>
      </c>
      <c r="K362" s="6">
        <f t="shared" si="41"/>
        <v>12.090000000000003</v>
      </c>
      <c r="L362" s="7">
        <f t="shared" si="173"/>
        <v>0.30841836734693884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 t="str">
        <f t="shared" si="170"/>
        <v>Jabra</v>
      </c>
      <c r="B363" s="149" t="str">
        <f>"GN-14201-35"</f>
        <v>GN-14201-35</v>
      </c>
      <c r="C363" s="4" t="str">
        <f>"Avaya EHS adapter"</f>
        <v>Avaya EHS adapter</v>
      </c>
      <c r="D363" s="5" t="s">
        <v>13</v>
      </c>
      <c r="E363" s="17">
        <v>49</v>
      </c>
      <c r="F363" s="6">
        <v>27.11</v>
      </c>
      <c r="G363" s="7">
        <f t="shared" si="171"/>
        <v>0.44673469387755105</v>
      </c>
      <c r="H363" s="7"/>
      <c r="I363" s="7">
        <v>0.2</v>
      </c>
      <c r="J363" s="6">
        <f t="shared" si="172"/>
        <v>39.200000000000003</v>
      </c>
      <c r="K363" s="6">
        <f t="shared" si="41"/>
        <v>12.090000000000003</v>
      </c>
      <c r="L363" s="7">
        <f t="shared" si="173"/>
        <v>0.30841836734693884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 t="str">
        <f t="shared" si="170"/>
        <v>Jabra</v>
      </c>
      <c r="B364" s="149" t="s">
        <v>656</v>
      </c>
      <c r="C364" s="4" t="s">
        <v>657</v>
      </c>
      <c r="D364" s="5" t="s">
        <v>13</v>
      </c>
      <c r="E364" s="17">
        <v>40</v>
      </c>
      <c r="F364" s="6">
        <v>22.13</v>
      </c>
      <c r="G364" s="7">
        <f t="shared" si="171"/>
        <v>0.44674999999999998</v>
      </c>
      <c r="H364" s="7"/>
      <c r="I364" s="7">
        <v>0.2</v>
      </c>
      <c r="J364" s="6">
        <f t="shared" si="172"/>
        <v>32</v>
      </c>
      <c r="K364" s="6">
        <f t="shared" si="41"/>
        <v>9.870000000000001</v>
      </c>
      <c r="L364" s="7">
        <f t="shared" si="173"/>
        <v>0.30843750000000003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 t="str">
        <f t="shared" si="170"/>
        <v>Jabra</v>
      </c>
      <c r="B365" s="149" t="str">
        <f>"GN-14201-40"</f>
        <v>GN-14201-40</v>
      </c>
      <c r="C365" s="4" t="s">
        <v>658</v>
      </c>
      <c r="D365" s="5" t="s">
        <v>13</v>
      </c>
      <c r="E365" s="17">
        <v>49</v>
      </c>
      <c r="F365" s="6">
        <v>27.11</v>
      </c>
      <c r="G365" s="7">
        <f t="shared" si="171"/>
        <v>0.44673469387755105</v>
      </c>
      <c r="H365" s="7"/>
      <c r="I365" s="7">
        <v>0.2</v>
      </c>
      <c r="J365" s="6">
        <f t="shared" si="172"/>
        <v>39.200000000000003</v>
      </c>
      <c r="K365" s="6">
        <f t="shared" si="41"/>
        <v>12.090000000000003</v>
      </c>
      <c r="L365" s="7">
        <f t="shared" si="173"/>
        <v>0.30841836734693884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 t="str">
        <f t="shared" si="170"/>
        <v>Jabra</v>
      </c>
      <c r="B366" s="149" t="s">
        <v>659</v>
      </c>
      <c r="C366" s="4" t="s">
        <v>660</v>
      </c>
      <c r="D366" s="5" t="s">
        <v>13</v>
      </c>
      <c r="E366" s="17">
        <v>49</v>
      </c>
      <c r="F366" s="6">
        <v>27.11</v>
      </c>
      <c r="G366" s="7">
        <f t="shared" si="171"/>
        <v>0.44673469387755105</v>
      </c>
      <c r="H366" s="7"/>
      <c r="I366" s="7">
        <v>0.2</v>
      </c>
      <c r="J366" s="6">
        <f t="shared" si="172"/>
        <v>39.200000000000003</v>
      </c>
      <c r="K366" s="6">
        <f t="shared" si="41"/>
        <v>12.090000000000003</v>
      </c>
      <c r="L366" s="7">
        <f t="shared" si="173"/>
        <v>0.30841836734693884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 t="str">
        <f t="shared" si="170"/>
        <v>Jabra</v>
      </c>
      <c r="B367" s="149" t="str">
        <f>"GN-14201-43"</f>
        <v>GN-14201-43</v>
      </c>
      <c r="C367" s="4" t="s">
        <v>661</v>
      </c>
      <c r="D367" s="5" t="s">
        <v>13</v>
      </c>
      <c r="E367" s="17">
        <v>49</v>
      </c>
      <c r="F367" s="6">
        <v>27.11</v>
      </c>
      <c r="G367" s="7">
        <f t="shared" si="171"/>
        <v>0.44673469387755105</v>
      </c>
      <c r="H367" s="7"/>
      <c r="I367" s="7">
        <v>0.2</v>
      </c>
      <c r="J367" s="6">
        <f t="shared" si="172"/>
        <v>39.200000000000003</v>
      </c>
      <c r="K367" s="6">
        <f t="shared" si="41"/>
        <v>12.090000000000003</v>
      </c>
      <c r="L367" s="7">
        <f t="shared" si="173"/>
        <v>0.30841836734693884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 t="str">
        <f t="shared" si="170"/>
        <v>Jabra</v>
      </c>
      <c r="B368" s="149" t="s">
        <v>662</v>
      </c>
      <c r="C368" s="4" t="s">
        <v>663</v>
      </c>
      <c r="D368" s="5" t="s">
        <v>13</v>
      </c>
      <c r="E368" s="17">
        <v>49</v>
      </c>
      <c r="F368" s="6">
        <v>27.11</v>
      </c>
      <c r="G368" s="7">
        <f t="shared" si="171"/>
        <v>0.44673469387755105</v>
      </c>
      <c r="H368" s="7"/>
      <c r="I368" s="7">
        <v>0.2</v>
      </c>
      <c r="J368" s="6">
        <f t="shared" si="172"/>
        <v>39.200000000000003</v>
      </c>
      <c r="K368" s="6">
        <f t="shared" si="41"/>
        <v>12.090000000000003</v>
      </c>
      <c r="L368" s="7">
        <f t="shared" si="173"/>
        <v>0.30841836734693884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8" t="str">
        <f t="shared" si="170"/>
        <v>Jabra</v>
      </c>
      <c r="B369" s="152" t="s">
        <v>664</v>
      </c>
      <c r="C369" s="8" t="s">
        <v>665</v>
      </c>
      <c r="D369" s="9" t="s">
        <v>13</v>
      </c>
      <c r="E369" s="18">
        <v>75</v>
      </c>
      <c r="F369" s="10">
        <v>41.49</v>
      </c>
      <c r="G369" s="11">
        <f t="shared" si="171"/>
        <v>0.44679999999999997</v>
      </c>
      <c r="H369" s="11"/>
      <c r="I369" s="7">
        <v>0.2</v>
      </c>
      <c r="J369" s="10">
        <f t="shared" si="172"/>
        <v>60</v>
      </c>
      <c r="K369" s="6">
        <f t="shared" si="41"/>
        <v>18.509999999999998</v>
      </c>
      <c r="L369" s="11">
        <f t="shared" si="173"/>
        <v>0.3085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 t="str">
        <f t="shared" ref="A370:A407" si="174">"Jabra"</f>
        <v>Jabra</v>
      </c>
      <c r="B370" s="155" t="s">
        <v>666</v>
      </c>
      <c r="C370" s="4" t="s">
        <v>667</v>
      </c>
      <c r="D370" s="5" t="s">
        <v>13</v>
      </c>
      <c r="E370" s="17">
        <v>49</v>
      </c>
      <c r="F370" s="6">
        <v>19.68</v>
      </c>
      <c r="G370" s="7">
        <f t="shared" ref="G370:G409" si="175">1-(F370/E370)</f>
        <v>0.59836734693877558</v>
      </c>
      <c r="H370" s="7"/>
      <c r="I370" s="7">
        <v>0.2</v>
      </c>
      <c r="J370" s="6">
        <f t="shared" ref="J370:J409" si="176">E370*(1-I370)</f>
        <v>39.200000000000003</v>
      </c>
      <c r="K370" s="6">
        <f t="shared" si="41"/>
        <v>19.520000000000003</v>
      </c>
      <c r="L370" s="7">
        <f t="shared" ref="L370:L409" si="177">1-(F370/J370)</f>
        <v>0.49795918367346947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 t="str">
        <f t="shared" si="174"/>
        <v>Jabra</v>
      </c>
      <c r="B371" s="155" t="s">
        <v>668</v>
      </c>
      <c r="C371" s="4" t="s">
        <v>669</v>
      </c>
      <c r="D371" s="5" t="s">
        <v>13</v>
      </c>
      <c r="E371" s="17">
        <v>49</v>
      </c>
      <c r="F371" s="6">
        <v>19.68</v>
      </c>
      <c r="G371" s="7">
        <f t="shared" si="175"/>
        <v>0.59836734693877558</v>
      </c>
      <c r="H371" s="7"/>
      <c r="I371" s="7">
        <v>0.2</v>
      </c>
      <c r="J371" s="6">
        <f t="shared" si="176"/>
        <v>39.200000000000003</v>
      </c>
      <c r="K371" s="6">
        <f t="shared" si="41"/>
        <v>19.520000000000003</v>
      </c>
      <c r="L371" s="7">
        <f t="shared" si="177"/>
        <v>0.49795918367346947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 t="str">
        <f t="shared" si="174"/>
        <v>Jabra</v>
      </c>
      <c r="B372" s="155" t="s">
        <v>670</v>
      </c>
      <c r="C372" s="4" t="s">
        <v>671</v>
      </c>
      <c r="D372" s="5" t="s">
        <v>13</v>
      </c>
      <c r="E372" s="17">
        <v>49</v>
      </c>
      <c r="F372" s="6">
        <v>19.68</v>
      </c>
      <c r="G372" s="7">
        <f t="shared" si="175"/>
        <v>0.59836734693877558</v>
      </c>
      <c r="H372" s="7"/>
      <c r="I372" s="7">
        <v>0.2</v>
      </c>
      <c r="J372" s="6">
        <f t="shared" si="176"/>
        <v>39.200000000000003</v>
      </c>
      <c r="K372" s="6">
        <f t="shared" si="41"/>
        <v>19.520000000000003</v>
      </c>
      <c r="L372" s="7">
        <f t="shared" si="177"/>
        <v>0.49795918367346947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 t="str">
        <f t="shared" si="174"/>
        <v>Jabra</v>
      </c>
      <c r="B373" s="155" t="s">
        <v>672</v>
      </c>
      <c r="C373" s="4" t="s">
        <v>673</v>
      </c>
      <c r="D373" s="5" t="s">
        <v>13</v>
      </c>
      <c r="E373" s="17">
        <v>70</v>
      </c>
      <c r="F373" s="6">
        <v>34.04</v>
      </c>
      <c r="G373" s="7">
        <f t="shared" si="175"/>
        <v>0.51371428571428579</v>
      </c>
      <c r="H373" s="7"/>
      <c r="I373" s="7">
        <v>0.2</v>
      </c>
      <c r="J373" s="6">
        <f t="shared" si="176"/>
        <v>56</v>
      </c>
      <c r="K373" s="6">
        <f t="shared" si="41"/>
        <v>21.96</v>
      </c>
      <c r="L373" s="7">
        <f t="shared" si="177"/>
        <v>0.39214285714285713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 t="str">
        <f t="shared" si="174"/>
        <v>Jabra</v>
      </c>
      <c r="B374" s="155" t="s">
        <v>674</v>
      </c>
      <c r="C374" s="4" t="s">
        <v>675</v>
      </c>
      <c r="D374" s="5" t="s">
        <v>13</v>
      </c>
      <c r="E374" s="17">
        <v>70</v>
      </c>
      <c r="F374" s="6">
        <v>34.04</v>
      </c>
      <c r="G374" s="7">
        <f t="shared" si="175"/>
        <v>0.51371428571428579</v>
      </c>
      <c r="H374" s="7"/>
      <c r="I374" s="7">
        <v>0.2</v>
      </c>
      <c r="J374" s="6">
        <f t="shared" si="176"/>
        <v>56</v>
      </c>
      <c r="K374" s="6">
        <f t="shared" si="41"/>
        <v>21.96</v>
      </c>
      <c r="L374" s="7">
        <f t="shared" si="177"/>
        <v>0.39214285714285713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 t="str">
        <f t="shared" si="174"/>
        <v>Jabra</v>
      </c>
      <c r="B375" s="155" t="s">
        <v>676</v>
      </c>
      <c r="C375" s="4" t="s">
        <v>677</v>
      </c>
      <c r="D375" s="5" t="s">
        <v>13</v>
      </c>
      <c r="E375" s="17">
        <v>70</v>
      </c>
      <c r="F375" s="6">
        <v>34.04</v>
      </c>
      <c r="G375" s="7">
        <f t="shared" si="175"/>
        <v>0.51371428571428579</v>
      </c>
      <c r="H375" s="7"/>
      <c r="I375" s="7">
        <v>0.2</v>
      </c>
      <c r="J375" s="6">
        <f t="shared" si="176"/>
        <v>56</v>
      </c>
      <c r="K375" s="6">
        <f t="shared" si="41"/>
        <v>21.96</v>
      </c>
      <c r="L375" s="7">
        <f t="shared" si="177"/>
        <v>0.39214285714285713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 t="str">
        <f t="shared" si="174"/>
        <v>Jabra</v>
      </c>
      <c r="B376" s="155" t="s">
        <v>678</v>
      </c>
      <c r="C376" s="4" t="s">
        <v>679</v>
      </c>
      <c r="D376" s="5" t="s">
        <v>13</v>
      </c>
      <c r="E376" s="17">
        <v>90</v>
      </c>
      <c r="F376" s="6">
        <v>44.68</v>
      </c>
      <c r="G376" s="7">
        <f t="shared" si="175"/>
        <v>0.50355555555555553</v>
      </c>
      <c r="H376" s="7"/>
      <c r="I376" s="7">
        <v>0.2</v>
      </c>
      <c r="J376" s="6">
        <f t="shared" si="176"/>
        <v>72</v>
      </c>
      <c r="K376" s="6">
        <f t="shared" si="41"/>
        <v>27.32</v>
      </c>
      <c r="L376" s="7">
        <f t="shared" si="177"/>
        <v>0.37944444444444447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 t="str">
        <f t="shared" si="174"/>
        <v>Jabra</v>
      </c>
      <c r="B377" s="155" t="s">
        <v>680</v>
      </c>
      <c r="C377" s="4" t="s">
        <v>681</v>
      </c>
      <c r="D377" s="5" t="s">
        <v>13</v>
      </c>
      <c r="E377" s="17">
        <v>90</v>
      </c>
      <c r="F377" s="6">
        <v>44.68</v>
      </c>
      <c r="G377" s="7">
        <f t="shared" si="175"/>
        <v>0.50355555555555553</v>
      </c>
      <c r="H377" s="7"/>
      <c r="I377" s="7">
        <v>0.2</v>
      </c>
      <c r="J377" s="6">
        <f t="shared" si="176"/>
        <v>72</v>
      </c>
      <c r="K377" s="6">
        <f t="shared" si="41"/>
        <v>27.32</v>
      </c>
      <c r="L377" s="7">
        <f t="shared" si="177"/>
        <v>0.37944444444444447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 t="str">
        <f t="shared" si="174"/>
        <v>Jabra</v>
      </c>
      <c r="B378" s="155" t="s">
        <v>682</v>
      </c>
      <c r="C378" s="4" t="s">
        <v>683</v>
      </c>
      <c r="D378" s="5" t="s">
        <v>13</v>
      </c>
      <c r="E378" s="17">
        <v>90</v>
      </c>
      <c r="F378" s="6">
        <v>44.68</v>
      </c>
      <c r="G378" s="7">
        <f t="shared" si="175"/>
        <v>0.50355555555555553</v>
      </c>
      <c r="H378" s="7"/>
      <c r="I378" s="7">
        <v>0.2</v>
      </c>
      <c r="J378" s="6">
        <f t="shared" si="176"/>
        <v>72</v>
      </c>
      <c r="K378" s="6">
        <f t="shared" si="41"/>
        <v>27.32</v>
      </c>
      <c r="L378" s="7">
        <f t="shared" si="177"/>
        <v>0.37944444444444447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 t="str">
        <f t="shared" si="174"/>
        <v>Jabra</v>
      </c>
      <c r="B379" s="155" t="s">
        <v>684</v>
      </c>
      <c r="C379" s="4" t="s">
        <v>685</v>
      </c>
      <c r="D379" s="5" t="s">
        <v>13</v>
      </c>
      <c r="E379" s="17">
        <v>80</v>
      </c>
      <c r="F379" s="6">
        <v>41.49</v>
      </c>
      <c r="G379" s="7">
        <f t="shared" si="175"/>
        <v>0.481375</v>
      </c>
      <c r="H379" s="7"/>
      <c r="I379" s="7">
        <v>0.2</v>
      </c>
      <c r="J379" s="6">
        <f t="shared" si="176"/>
        <v>64</v>
      </c>
      <c r="K379" s="6">
        <f t="shared" si="41"/>
        <v>22.509999999999998</v>
      </c>
      <c r="L379" s="7">
        <f t="shared" si="177"/>
        <v>0.35171874999999997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 t="str">
        <f t="shared" si="174"/>
        <v>Jabra</v>
      </c>
      <c r="B380" s="155" t="s">
        <v>686</v>
      </c>
      <c r="C380" s="4" t="s">
        <v>687</v>
      </c>
      <c r="D380" s="5" t="s">
        <v>13</v>
      </c>
      <c r="E380" s="17">
        <v>80</v>
      </c>
      <c r="F380" s="6">
        <v>41.49</v>
      </c>
      <c r="G380" s="7">
        <f t="shared" si="175"/>
        <v>0.481375</v>
      </c>
      <c r="H380" s="7"/>
      <c r="I380" s="7">
        <v>0.2</v>
      </c>
      <c r="J380" s="6">
        <f t="shared" si="176"/>
        <v>64</v>
      </c>
      <c r="K380" s="6">
        <f t="shared" si="41"/>
        <v>22.509999999999998</v>
      </c>
      <c r="L380" s="7">
        <f t="shared" si="177"/>
        <v>0.35171874999999997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 t="str">
        <f t="shared" si="174"/>
        <v>Jabra</v>
      </c>
      <c r="B381" s="155" t="s">
        <v>688</v>
      </c>
      <c r="C381" s="4" t="s">
        <v>689</v>
      </c>
      <c r="D381" s="5" t="s">
        <v>13</v>
      </c>
      <c r="E381" s="17">
        <v>80</v>
      </c>
      <c r="F381" s="6">
        <v>41.49</v>
      </c>
      <c r="G381" s="7">
        <f t="shared" si="175"/>
        <v>0.481375</v>
      </c>
      <c r="H381" s="7"/>
      <c r="I381" s="7">
        <v>0.2</v>
      </c>
      <c r="J381" s="6">
        <f t="shared" si="176"/>
        <v>64</v>
      </c>
      <c r="K381" s="6">
        <f t="shared" si="41"/>
        <v>22.509999999999998</v>
      </c>
      <c r="L381" s="7">
        <f t="shared" si="177"/>
        <v>0.35171874999999997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 t="str">
        <f t="shared" si="174"/>
        <v>Jabra</v>
      </c>
      <c r="B382" s="155" t="s">
        <v>690</v>
      </c>
      <c r="C382" s="4" t="s">
        <v>691</v>
      </c>
      <c r="D382" s="5" t="s">
        <v>13</v>
      </c>
      <c r="E382" s="17">
        <v>15</v>
      </c>
      <c r="F382" s="6">
        <v>7.98</v>
      </c>
      <c r="G382" s="7">
        <f t="shared" si="175"/>
        <v>0.46799999999999997</v>
      </c>
      <c r="H382" s="7"/>
      <c r="I382" s="7">
        <v>0.2</v>
      </c>
      <c r="J382" s="6">
        <f t="shared" si="176"/>
        <v>12</v>
      </c>
      <c r="K382" s="6">
        <f t="shared" si="41"/>
        <v>4.0199999999999996</v>
      </c>
      <c r="L382" s="7">
        <f t="shared" si="177"/>
        <v>0.33499999999999996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 t="str">
        <f t="shared" si="174"/>
        <v>Jabra</v>
      </c>
      <c r="B383" s="155" t="s">
        <v>692</v>
      </c>
      <c r="C383" s="4" t="s">
        <v>693</v>
      </c>
      <c r="D383" s="5" t="s">
        <v>13</v>
      </c>
      <c r="E383" s="17">
        <v>15</v>
      </c>
      <c r="F383" s="6">
        <v>7.98</v>
      </c>
      <c r="G383" s="7">
        <f t="shared" si="175"/>
        <v>0.46799999999999997</v>
      </c>
      <c r="H383" s="7"/>
      <c r="I383" s="7">
        <v>0.2</v>
      </c>
      <c r="J383" s="6">
        <f t="shared" si="176"/>
        <v>12</v>
      </c>
      <c r="K383" s="6">
        <f t="shared" si="41"/>
        <v>4.0199999999999996</v>
      </c>
      <c r="L383" s="7">
        <f t="shared" si="177"/>
        <v>0.33499999999999996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 t="str">
        <f t="shared" si="174"/>
        <v>Jabra</v>
      </c>
      <c r="B384" s="155" t="s">
        <v>694</v>
      </c>
      <c r="C384" s="4" t="s">
        <v>695</v>
      </c>
      <c r="D384" s="5" t="s">
        <v>13</v>
      </c>
      <c r="E384" s="17">
        <v>15</v>
      </c>
      <c r="F384" s="6">
        <v>7.98</v>
      </c>
      <c r="G384" s="7">
        <f t="shared" si="175"/>
        <v>0.46799999999999997</v>
      </c>
      <c r="H384" s="7"/>
      <c r="I384" s="7">
        <v>0.2</v>
      </c>
      <c r="J384" s="6">
        <f t="shared" si="176"/>
        <v>12</v>
      </c>
      <c r="K384" s="6">
        <f t="shared" si="41"/>
        <v>4.0199999999999996</v>
      </c>
      <c r="L384" s="7">
        <f t="shared" si="177"/>
        <v>0.33499999999999996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 t="str">
        <f t="shared" si="174"/>
        <v>Jabra</v>
      </c>
      <c r="B385" s="155" t="s">
        <v>696</v>
      </c>
      <c r="C385" s="4" t="s">
        <v>697</v>
      </c>
      <c r="D385" s="5" t="s">
        <v>13</v>
      </c>
      <c r="E385" s="17">
        <v>15</v>
      </c>
      <c r="F385" s="6">
        <v>7.98</v>
      </c>
      <c r="G385" s="7">
        <f t="shared" si="175"/>
        <v>0.46799999999999997</v>
      </c>
      <c r="H385" s="7"/>
      <c r="I385" s="7">
        <v>0.2</v>
      </c>
      <c r="J385" s="6">
        <f t="shared" si="176"/>
        <v>12</v>
      </c>
      <c r="K385" s="6">
        <f t="shared" si="41"/>
        <v>4.0199999999999996</v>
      </c>
      <c r="L385" s="7">
        <f t="shared" si="177"/>
        <v>0.33499999999999996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 t="str">
        <f t="shared" si="174"/>
        <v>Jabra</v>
      </c>
      <c r="B386" s="155" t="s">
        <v>698</v>
      </c>
      <c r="C386" s="4" t="s">
        <v>699</v>
      </c>
      <c r="D386" s="5" t="s">
        <v>13</v>
      </c>
      <c r="E386" s="17">
        <v>15</v>
      </c>
      <c r="F386" s="6">
        <v>7.98</v>
      </c>
      <c r="G386" s="7">
        <f t="shared" si="175"/>
        <v>0.46799999999999997</v>
      </c>
      <c r="H386" s="7"/>
      <c r="I386" s="7">
        <v>0.2</v>
      </c>
      <c r="J386" s="6">
        <f t="shared" si="176"/>
        <v>12</v>
      </c>
      <c r="K386" s="6">
        <f t="shared" si="41"/>
        <v>4.0199999999999996</v>
      </c>
      <c r="L386" s="7">
        <f t="shared" si="177"/>
        <v>0.33499999999999996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 t="str">
        <f t="shared" si="174"/>
        <v>Jabra</v>
      </c>
      <c r="B387" s="155" t="s">
        <v>700</v>
      </c>
      <c r="C387" s="4" t="s">
        <v>701</v>
      </c>
      <c r="D387" s="5" t="s">
        <v>13</v>
      </c>
      <c r="E387" s="17">
        <v>15</v>
      </c>
      <c r="F387" s="6">
        <v>7.98</v>
      </c>
      <c r="G387" s="7">
        <f t="shared" si="175"/>
        <v>0.46799999999999997</v>
      </c>
      <c r="H387" s="7"/>
      <c r="I387" s="7">
        <v>0.2</v>
      </c>
      <c r="J387" s="6">
        <f t="shared" si="176"/>
        <v>12</v>
      </c>
      <c r="K387" s="6">
        <f t="shared" si="41"/>
        <v>4.0199999999999996</v>
      </c>
      <c r="L387" s="7">
        <f t="shared" si="177"/>
        <v>0.33499999999999996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 t="str">
        <f t="shared" si="174"/>
        <v>Jabra</v>
      </c>
      <c r="B388" s="155" t="s">
        <v>702</v>
      </c>
      <c r="C388" s="4" t="s">
        <v>703</v>
      </c>
      <c r="D388" s="5" t="s">
        <v>13</v>
      </c>
      <c r="E388" s="17">
        <v>15</v>
      </c>
      <c r="F388" s="6">
        <v>7.98</v>
      </c>
      <c r="G388" s="7">
        <f t="shared" si="175"/>
        <v>0.46799999999999997</v>
      </c>
      <c r="H388" s="7"/>
      <c r="I388" s="7">
        <v>0.2</v>
      </c>
      <c r="J388" s="6">
        <f t="shared" si="176"/>
        <v>12</v>
      </c>
      <c r="K388" s="6">
        <f t="shared" si="41"/>
        <v>4.0199999999999996</v>
      </c>
      <c r="L388" s="7">
        <f t="shared" si="177"/>
        <v>0.33499999999999996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 t="str">
        <f t="shared" si="174"/>
        <v>Jabra</v>
      </c>
      <c r="B389" s="155" t="s">
        <v>704</v>
      </c>
      <c r="C389" s="4" t="s">
        <v>705</v>
      </c>
      <c r="D389" s="5" t="s">
        <v>13</v>
      </c>
      <c r="E389" s="17">
        <v>15</v>
      </c>
      <c r="F389" s="6">
        <v>7.98</v>
      </c>
      <c r="G389" s="7">
        <f t="shared" si="175"/>
        <v>0.46799999999999997</v>
      </c>
      <c r="H389" s="7"/>
      <c r="I389" s="7">
        <v>0.2</v>
      </c>
      <c r="J389" s="6">
        <f t="shared" si="176"/>
        <v>12</v>
      </c>
      <c r="K389" s="6">
        <f t="shared" si="41"/>
        <v>4.0199999999999996</v>
      </c>
      <c r="L389" s="7">
        <f t="shared" si="177"/>
        <v>0.33499999999999996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 t="str">
        <f t="shared" si="174"/>
        <v>Jabra</v>
      </c>
      <c r="B390" s="155" t="s">
        <v>706</v>
      </c>
      <c r="C390" s="4" t="s">
        <v>707</v>
      </c>
      <c r="D390" s="5" t="s">
        <v>13</v>
      </c>
      <c r="E390" s="17">
        <v>15</v>
      </c>
      <c r="F390" s="6">
        <v>7.98</v>
      </c>
      <c r="G390" s="7">
        <f t="shared" si="175"/>
        <v>0.46799999999999997</v>
      </c>
      <c r="H390" s="7"/>
      <c r="I390" s="7">
        <v>0.2</v>
      </c>
      <c r="J390" s="6">
        <f t="shared" si="176"/>
        <v>12</v>
      </c>
      <c r="K390" s="6">
        <f t="shared" si="41"/>
        <v>4.0199999999999996</v>
      </c>
      <c r="L390" s="7">
        <f t="shared" si="177"/>
        <v>0.33499999999999996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 t="str">
        <f t="shared" si="174"/>
        <v>Jabra</v>
      </c>
      <c r="B391" s="155" t="s">
        <v>708</v>
      </c>
      <c r="C391" s="4" t="s">
        <v>709</v>
      </c>
      <c r="D391" s="5" t="s">
        <v>13</v>
      </c>
      <c r="E391" s="17">
        <v>15</v>
      </c>
      <c r="F391" s="6">
        <v>7.98</v>
      </c>
      <c r="G391" s="7">
        <f t="shared" si="175"/>
        <v>0.46799999999999997</v>
      </c>
      <c r="H391" s="7"/>
      <c r="I391" s="7">
        <v>0.2</v>
      </c>
      <c r="J391" s="6">
        <f t="shared" si="176"/>
        <v>12</v>
      </c>
      <c r="K391" s="6">
        <f t="shared" si="41"/>
        <v>4.0199999999999996</v>
      </c>
      <c r="L391" s="7">
        <f t="shared" si="177"/>
        <v>0.33499999999999996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 t="str">
        <f t="shared" si="174"/>
        <v>Jabra</v>
      </c>
      <c r="B392" s="155" t="s">
        <v>710</v>
      </c>
      <c r="C392" s="4" t="s">
        <v>711</v>
      </c>
      <c r="D392" s="5" t="s">
        <v>13</v>
      </c>
      <c r="E392" s="17">
        <v>15</v>
      </c>
      <c r="F392" s="6">
        <v>7.98</v>
      </c>
      <c r="G392" s="7">
        <f t="shared" si="175"/>
        <v>0.46799999999999997</v>
      </c>
      <c r="H392" s="7"/>
      <c r="I392" s="7">
        <v>0.2</v>
      </c>
      <c r="J392" s="6">
        <f t="shared" si="176"/>
        <v>12</v>
      </c>
      <c r="K392" s="6">
        <f t="shared" si="41"/>
        <v>4.0199999999999996</v>
      </c>
      <c r="L392" s="7">
        <f t="shared" si="177"/>
        <v>0.33499999999999996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 t="str">
        <f t="shared" si="174"/>
        <v>Jabra</v>
      </c>
      <c r="B393" s="155" t="s">
        <v>712</v>
      </c>
      <c r="C393" s="4" t="s">
        <v>713</v>
      </c>
      <c r="D393" s="5" t="s">
        <v>13</v>
      </c>
      <c r="E393" s="17">
        <v>15</v>
      </c>
      <c r="F393" s="6">
        <v>7.98</v>
      </c>
      <c r="G393" s="7">
        <f t="shared" si="175"/>
        <v>0.46799999999999997</v>
      </c>
      <c r="H393" s="7"/>
      <c r="I393" s="7">
        <v>0.2</v>
      </c>
      <c r="J393" s="6">
        <f t="shared" si="176"/>
        <v>12</v>
      </c>
      <c r="K393" s="6">
        <f t="shared" si="41"/>
        <v>4.0199999999999996</v>
      </c>
      <c r="L393" s="7">
        <f t="shared" si="177"/>
        <v>0.33499999999999996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 t="str">
        <f t="shared" si="174"/>
        <v>Jabra</v>
      </c>
      <c r="B394" s="155" t="s">
        <v>714</v>
      </c>
      <c r="C394" s="4" t="s">
        <v>715</v>
      </c>
      <c r="D394" s="5" t="s">
        <v>13</v>
      </c>
      <c r="E394" s="17">
        <v>15</v>
      </c>
      <c r="F394" s="6">
        <v>7.98</v>
      </c>
      <c r="G394" s="7">
        <f t="shared" si="175"/>
        <v>0.46799999999999997</v>
      </c>
      <c r="H394" s="7"/>
      <c r="I394" s="7">
        <v>0.2</v>
      </c>
      <c r="J394" s="6">
        <f t="shared" si="176"/>
        <v>12</v>
      </c>
      <c r="K394" s="6">
        <f t="shared" si="41"/>
        <v>4.0199999999999996</v>
      </c>
      <c r="L394" s="7">
        <f t="shared" si="177"/>
        <v>0.33499999999999996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 t="str">
        <f t="shared" si="174"/>
        <v>Jabra</v>
      </c>
      <c r="B395" s="155" t="s">
        <v>716</v>
      </c>
      <c r="C395" s="4" t="s">
        <v>717</v>
      </c>
      <c r="D395" s="5" t="s">
        <v>13</v>
      </c>
      <c r="E395" s="17">
        <v>15</v>
      </c>
      <c r="F395" s="6">
        <v>7.98</v>
      </c>
      <c r="G395" s="7">
        <f t="shared" si="175"/>
        <v>0.46799999999999997</v>
      </c>
      <c r="H395" s="7"/>
      <c r="I395" s="7">
        <v>0.2</v>
      </c>
      <c r="J395" s="6">
        <f t="shared" si="176"/>
        <v>12</v>
      </c>
      <c r="K395" s="6">
        <f t="shared" si="41"/>
        <v>4.0199999999999996</v>
      </c>
      <c r="L395" s="7">
        <f t="shared" si="177"/>
        <v>0.33499999999999996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 t="str">
        <f t="shared" si="174"/>
        <v>Jabra</v>
      </c>
      <c r="B396" s="155" t="s">
        <v>718</v>
      </c>
      <c r="C396" s="4" t="s">
        <v>719</v>
      </c>
      <c r="D396" s="5" t="s">
        <v>13</v>
      </c>
      <c r="E396" s="17">
        <v>15</v>
      </c>
      <c r="F396" s="6">
        <v>7.98</v>
      </c>
      <c r="G396" s="7">
        <f t="shared" si="175"/>
        <v>0.46799999999999997</v>
      </c>
      <c r="H396" s="7"/>
      <c r="I396" s="7">
        <v>0.2</v>
      </c>
      <c r="J396" s="6">
        <f t="shared" si="176"/>
        <v>12</v>
      </c>
      <c r="K396" s="6">
        <f t="shared" si="41"/>
        <v>4.0199999999999996</v>
      </c>
      <c r="L396" s="7">
        <f t="shared" si="177"/>
        <v>0.33499999999999996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 t="str">
        <f t="shared" si="174"/>
        <v>Jabra</v>
      </c>
      <c r="B397" s="155" t="s">
        <v>720</v>
      </c>
      <c r="C397" s="4" t="s">
        <v>721</v>
      </c>
      <c r="D397" s="5" t="s">
        <v>13</v>
      </c>
      <c r="E397" s="17">
        <v>15</v>
      </c>
      <c r="F397" s="6">
        <v>7.98</v>
      </c>
      <c r="G397" s="7">
        <f t="shared" si="175"/>
        <v>0.46799999999999997</v>
      </c>
      <c r="H397" s="7"/>
      <c r="I397" s="7">
        <v>0.2</v>
      </c>
      <c r="J397" s="6">
        <f t="shared" si="176"/>
        <v>12</v>
      </c>
      <c r="K397" s="6">
        <f t="shared" si="41"/>
        <v>4.0199999999999996</v>
      </c>
      <c r="L397" s="7">
        <f t="shared" si="177"/>
        <v>0.33499999999999996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 t="str">
        <f t="shared" si="174"/>
        <v>Jabra</v>
      </c>
      <c r="B398" s="155" t="s">
        <v>722</v>
      </c>
      <c r="C398" s="4" t="s">
        <v>723</v>
      </c>
      <c r="D398" s="5" t="s">
        <v>13</v>
      </c>
      <c r="E398" s="17">
        <v>15</v>
      </c>
      <c r="F398" s="6">
        <v>7.98</v>
      </c>
      <c r="G398" s="7">
        <f t="shared" si="175"/>
        <v>0.46799999999999997</v>
      </c>
      <c r="H398" s="7"/>
      <c r="I398" s="7">
        <v>0.2</v>
      </c>
      <c r="J398" s="6">
        <f t="shared" si="176"/>
        <v>12</v>
      </c>
      <c r="K398" s="6">
        <f t="shared" si="41"/>
        <v>4.0199999999999996</v>
      </c>
      <c r="L398" s="7">
        <f t="shared" si="177"/>
        <v>0.33499999999999996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 t="str">
        <f t="shared" si="174"/>
        <v>Jabra</v>
      </c>
      <c r="B399" s="155" t="s">
        <v>724</v>
      </c>
      <c r="C399" s="4" t="s">
        <v>725</v>
      </c>
      <c r="D399" s="5" t="s">
        <v>13</v>
      </c>
      <c r="E399" s="17">
        <v>15</v>
      </c>
      <c r="F399" s="6">
        <v>7.98</v>
      </c>
      <c r="G399" s="7">
        <f t="shared" si="175"/>
        <v>0.46799999999999997</v>
      </c>
      <c r="H399" s="7"/>
      <c r="I399" s="7">
        <v>0.2</v>
      </c>
      <c r="J399" s="6">
        <f t="shared" si="176"/>
        <v>12</v>
      </c>
      <c r="K399" s="6">
        <f t="shared" si="41"/>
        <v>4.0199999999999996</v>
      </c>
      <c r="L399" s="7">
        <f t="shared" si="177"/>
        <v>0.33499999999999996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 t="str">
        <f t="shared" si="174"/>
        <v>Jabra</v>
      </c>
      <c r="B400" s="155" t="s">
        <v>726</v>
      </c>
      <c r="C400" s="4" t="s">
        <v>727</v>
      </c>
      <c r="D400" s="5" t="s">
        <v>13</v>
      </c>
      <c r="E400" s="17">
        <v>36</v>
      </c>
      <c r="F400" s="6">
        <v>12.77</v>
      </c>
      <c r="G400" s="7">
        <f t="shared" si="175"/>
        <v>0.64527777777777784</v>
      </c>
      <c r="H400" s="7"/>
      <c r="I400" s="7">
        <v>0.2</v>
      </c>
      <c r="J400" s="6">
        <f t="shared" si="176"/>
        <v>28.8</v>
      </c>
      <c r="K400" s="6">
        <f t="shared" si="41"/>
        <v>16.03</v>
      </c>
      <c r="L400" s="7">
        <f t="shared" si="177"/>
        <v>0.55659722222222219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 t="str">
        <f t="shared" si="174"/>
        <v>Jabra</v>
      </c>
      <c r="B401" s="155" t="s">
        <v>728</v>
      </c>
      <c r="C401" s="4" t="s">
        <v>729</v>
      </c>
      <c r="D401" s="5" t="s">
        <v>13</v>
      </c>
      <c r="E401" s="17">
        <v>27</v>
      </c>
      <c r="F401" s="6">
        <v>10.64</v>
      </c>
      <c r="G401" s="7">
        <f t="shared" si="175"/>
        <v>0.60592592592592598</v>
      </c>
      <c r="H401" s="7"/>
      <c r="I401" s="7">
        <v>0.2</v>
      </c>
      <c r="J401" s="6">
        <f t="shared" si="176"/>
        <v>21.6</v>
      </c>
      <c r="K401" s="6">
        <f t="shared" si="41"/>
        <v>10.96</v>
      </c>
      <c r="L401" s="7">
        <f t="shared" si="177"/>
        <v>0.50740740740740742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 t="str">
        <f t="shared" si="174"/>
        <v>Jabra</v>
      </c>
      <c r="B402" s="155" t="s">
        <v>730</v>
      </c>
      <c r="C402" s="4" t="s">
        <v>731</v>
      </c>
      <c r="D402" s="5" t="s">
        <v>13</v>
      </c>
      <c r="E402" s="17">
        <v>27</v>
      </c>
      <c r="F402" s="6">
        <v>10.64</v>
      </c>
      <c r="G402" s="7">
        <f t="shared" si="175"/>
        <v>0.60592592592592598</v>
      </c>
      <c r="H402" s="7"/>
      <c r="I402" s="7">
        <v>0.2</v>
      </c>
      <c r="J402" s="6">
        <f t="shared" si="176"/>
        <v>21.6</v>
      </c>
      <c r="K402" s="6">
        <f t="shared" si="41"/>
        <v>10.96</v>
      </c>
      <c r="L402" s="7">
        <f t="shared" si="177"/>
        <v>0.50740740740740742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 t="str">
        <f t="shared" si="174"/>
        <v>Jabra</v>
      </c>
      <c r="B403" s="155" t="s">
        <v>732</v>
      </c>
      <c r="C403" s="4" t="s">
        <v>733</v>
      </c>
      <c r="D403" s="5" t="s">
        <v>13</v>
      </c>
      <c r="E403" s="17">
        <v>27</v>
      </c>
      <c r="F403" s="6">
        <v>10.64</v>
      </c>
      <c r="G403" s="7">
        <f t="shared" si="175"/>
        <v>0.60592592592592598</v>
      </c>
      <c r="H403" s="7"/>
      <c r="I403" s="7">
        <v>0.2</v>
      </c>
      <c r="J403" s="6">
        <f t="shared" si="176"/>
        <v>21.6</v>
      </c>
      <c r="K403" s="6">
        <f t="shared" si="41"/>
        <v>10.96</v>
      </c>
      <c r="L403" s="7">
        <f t="shared" si="177"/>
        <v>0.50740740740740742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 t="str">
        <f t="shared" si="174"/>
        <v>Jabra</v>
      </c>
      <c r="B404" s="155" t="s">
        <v>734</v>
      </c>
      <c r="C404" s="4" t="s">
        <v>735</v>
      </c>
      <c r="D404" s="5" t="s">
        <v>13</v>
      </c>
      <c r="E404" s="17">
        <v>38</v>
      </c>
      <c r="F404" s="6">
        <v>10.64</v>
      </c>
      <c r="G404" s="7">
        <f t="shared" si="175"/>
        <v>0.72</v>
      </c>
      <c r="H404" s="7"/>
      <c r="I404" s="7">
        <v>0.2</v>
      </c>
      <c r="J404" s="6">
        <f t="shared" si="176"/>
        <v>30.400000000000002</v>
      </c>
      <c r="K404" s="6">
        <f t="shared" si="41"/>
        <v>19.760000000000002</v>
      </c>
      <c r="L404" s="7">
        <f t="shared" si="177"/>
        <v>0.65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 t="str">
        <f t="shared" si="174"/>
        <v>Jabra</v>
      </c>
      <c r="B405" s="155" t="s">
        <v>736</v>
      </c>
      <c r="C405" s="4" t="s">
        <v>737</v>
      </c>
      <c r="D405" s="5" t="s">
        <v>13</v>
      </c>
      <c r="E405" s="17">
        <v>38</v>
      </c>
      <c r="F405" s="6">
        <v>10.64</v>
      </c>
      <c r="G405" s="7">
        <f t="shared" si="175"/>
        <v>0.72</v>
      </c>
      <c r="H405" s="7"/>
      <c r="I405" s="7">
        <v>0.2</v>
      </c>
      <c r="J405" s="6">
        <f t="shared" si="176"/>
        <v>30.400000000000002</v>
      </c>
      <c r="K405" s="6">
        <f t="shared" si="41"/>
        <v>19.760000000000002</v>
      </c>
      <c r="L405" s="7">
        <f t="shared" si="177"/>
        <v>0.65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 t="str">
        <f t="shared" si="174"/>
        <v>Jabra</v>
      </c>
      <c r="B406" s="155" t="s">
        <v>738</v>
      </c>
      <c r="C406" s="4" t="s">
        <v>739</v>
      </c>
      <c r="D406" s="5" t="s">
        <v>13</v>
      </c>
      <c r="E406" s="17">
        <v>38</v>
      </c>
      <c r="F406" s="6">
        <v>10.64</v>
      </c>
      <c r="G406" s="7">
        <f t="shared" si="175"/>
        <v>0.72</v>
      </c>
      <c r="H406" s="7"/>
      <c r="I406" s="7">
        <v>0.2</v>
      </c>
      <c r="J406" s="6">
        <f t="shared" si="176"/>
        <v>30.400000000000002</v>
      </c>
      <c r="K406" s="6">
        <f t="shared" si="41"/>
        <v>19.760000000000002</v>
      </c>
      <c r="L406" s="7">
        <f t="shared" si="177"/>
        <v>0.65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 t="str">
        <f t="shared" si="174"/>
        <v>Jabra</v>
      </c>
      <c r="B407" s="155" t="s">
        <v>740</v>
      </c>
      <c r="C407" s="4" t="s">
        <v>741</v>
      </c>
      <c r="D407" s="5" t="s">
        <v>13</v>
      </c>
      <c r="E407" s="17">
        <v>36</v>
      </c>
      <c r="F407" s="6">
        <v>12.77</v>
      </c>
      <c r="G407" s="7">
        <f t="shared" si="175"/>
        <v>0.64527777777777784</v>
      </c>
      <c r="H407" s="7"/>
      <c r="I407" s="7">
        <v>0.2</v>
      </c>
      <c r="J407" s="6">
        <f t="shared" si="176"/>
        <v>28.8</v>
      </c>
      <c r="K407" s="6">
        <f t="shared" si="41"/>
        <v>16.03</v>
      </c>
      <c r="L407" s="7">
        <f t="shared" si="177"/>
        <v>0.55659722222222219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 t="s">
        <v>305</v>
      </c>
      <c r="B408" s="155" t="s">
        <v>742</v>
      </c>
      <c r="C408" s="4" t="s">
        <v>743</v>
      </c>
      <c r="D408" s="5" t="s">
        <v>13</v>
      </c>
      <c r="E408" s="17">
        <v>36</v>
      </c>
      <c r="F408" s="6">
        <v>12.77</v>
      </c>
      <c r="G408" s="7">
        <f t="shared" si="175"/>
        <v>0.64527777777777784</v>
      </c>
      <c r="H408" s="7"/>
      <c r="I408" s="7">
        <v>0.2</v>
      </c>
      <c r="J408" s="6">
        <f t="shared" si="176"/>
        <v>28.8</v>
      </c>
      <c r="K408" s="6">
        <f t="shared" si="41"/>
        <v>16.03</v>
      </c>
      <c r="L408" s="7">
        <f t="shared" si="177"/>
        <v>0.55659722222222219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8" t="s">
        <v>305</v>
      </c>
      <c r="B409" s="157" t="s">
        <v>744</v>
      </c>
      <c r="C409" s="8" t="s">
        <v>745</v>
      </c>
      <c r="D409" s="9" t="s">
        <v>13</v>
      </c>
      <c r="E409" s="18">
        <v>36</v>
      </c>
      <c r="F409" s="10">
        <v>12.77</v>
      </c>
      <c r="G409" s="11">
        <f t="shared" si="175"/>
        <v>0.64527777777777784</v>
      </c>
      <c r="H409" s="11"/>
      <c r="I409" s="7">
        <v>0.2</v>
      </c>
      <c r="J409" s="10">
        <f t="shared" si="176"/>
        <v>28.8</v>
      </c>
      <c r="K409" s="6">
        <f t="shared" si="41"/>
        <v>16.03</v>
      </c>
      <c r="L409" s="11">
        <f t="shared" si="177"/>
        <v>0.55659722222222219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 t="s">
        <v>305</v>
      </c>
      <c r="B410" s="155" t="s">
        <v>746</v>
      </c>
      <c r="C410" s="4" t="s">
        <v>747</v>
      </c>
      <c r="D410" s="5" t="s">
        <v>13</v>
      </c>
      <c r="E410" s="17">
        <v>62</v>
      </c>
      <c r="F410" s="6">
        <v>34.04</v>
      </c>
      <c r="G410" s="7">
        <f t="shared" ref="G410:G413" si="178">1-(F410/E410)</f>
        <v>0.45096774193548383</v>
      </c>
      <c r="H410" s="7"/>
      <c r="I410" s="7">
        <v>0.2</v>
      </c>
      <c r="J410" s="6">
        <f t="shared" ref="J410:J413" si="179">E410*(1-I410)</f>
        <v>49.6</v>
      </c>
      <c r="K410" s="6">
        <f t="shared" si="41"/>
        <v>15.560000000000002</v>
      </c>
      <c r="L410" s="7">
        <f t="shared" ref="L410:L413" si="180">1-(F410/J410)</f>
        <v>0.31370967741935485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 t="s">
        <v>305</v>
      </c>
      <c r="B411" s="155" t="s">
        <v>748</v>
      </c>
      <c r="C411" s="4" t="s">
        <v>749</v>
      </c>
      <c r="D411" s="5" t="s">
        <v>13</v>
      </c>
      <c r="E411" s="17">
        <v>62</v>
      </c>
      <c r="F411" s="6">
        <v>34.04</v>
      </c>
      <c r="G411" s="7">
        <f t="shared" si="178"/>
        <v>0.45096774193548383</v>
      </c>
      <c r="H411" s="7"/>
      <c r="I411" s="7">
        <v>0.2</v>
      </c>
      <c r="J411" s="6">
        <f t="shared" si="179"/>
        <v>49.6</v>
      </c>
      <c r="K411" s="6">
        <f t="shared" si="41"/>
        <v>15.560000000000002</v>
      </c>
      <c r="L411" s="7">
        <f t="shared" si="180"/>
        <v>0.31370967741935485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 t="s">
        <v>305</v>
      </c>
      <c r="B412" s="155" t="s">
        <v>750</v>
      </c>
      <c r="C412" s="4" t="s">
        <v>751</v>
      </c>
      <c r="D412" s="5" t="s">
        <v>13</v>
      </c>
      <c r="E412" s="17">
        <v>62</v>
      </c>
      <c r="F412" s="6">
        <v>34.04</v>
      </c>
      <c r="G412" s="7">
        <f t="shared" si="178"/>
        <v>0.45096774193548383</v>
      </c>
      <c r="H412" s="7"/>
      <c r="I412" s="7">
        <v>0.2</v>
      </c>
      <c r="J412" s="6">
        <f t="shared" si="179"/>
        <v>49.6</v>
      </c>
      <c r="K412" s="6">
        <f t="shared" si="41"/>
        <v>15.560000000000002</v>
      </c>
      <c r="L412" s="7">
        <f t="shared" si="180"/>
        <v>0.31370967741935485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8" t="s">
        <v>305</v>
      </c>
      <c r="B413" s="157" t="s">
        <v>752</v>
      </c>
      <c r="C413" s="8" t="s">
        <v>753</v>
      </c>
      <c r="D413" s="9" t="s">
        <v>13</v>
      </c>
      <c r="E413" s="18">
        <v>62</v>
      </c>
      <c r="F413" s="10">
        <v>34.04</v>
      </c>
      <c r="G413" s="11">
        <f t="shared" si="178"/>
        <v>0.45096774193548383</v>
      </c>
      <c r="H413" s="11"/>
      <c r="I413" s="7">
        <v>0.2</v>
      </c>
      <c r="J413" s="10">
        <f t="shared" si="179"/>
        <v>49.6</v>
      </c>
      <c r="K413" s="6">
        <f t="shared" si="41"/>
        <v>15.560000000000002</v>
      </c>
      <c r="L413" s="11">
        <f t="shared" si="180"/>
        <v>0.31370967741935485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s="135" customFormat="1" ht="12.75" customHeight="1" x14ac:dyDescent="0.3">
      <c r="A414" s="130" t="s">
        <v>305</v>
      </c>
      <c r="B414" s="160" t="s">
        <v>754</v>
      </c>
      <c r="C414" s="130" t="s">
        <v>755</v>
      </c>
      <c r="D414" s="131" t="s">
        <v>13</v>
      </c>
      <c r="E414" s="132">
        <v>30</v>
      </c>
      <c r="F414" s="133">
        <v>15.96</v>
      </c>
      <c r="G414" s="134">
        <f t="shared" ref="G414:G438" si="181">1-(F414/E414)</f>
        <v>0.46799999999999997</v>
      </c>
      <c r="H414" s="134"/>
      <c r="I414" s="134">
        <v>0.2</v>
      </c>
      <c r="J414" s="133">
        <f t="shared" ref="J414:J438" si="182">E414*(1-I414)</f>
        <v>24</v>
      </c>
      <c r="K414" s="133">
        <f t="shared" si="41"/>
        <v>8.0399999999999991</v>
      </c>
      <c r="L414" s="134">
        <f t="shared" ref="L414:L438" si="183">1-(F414/J414)</f>
        <v>0.33499999999999996</v>
      </c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spans="1:26" ht="12.75" customHeight="1" x14ac:dyDescent="0.3">
      <c r="A415" s="4" t="str">
        <f t="shared" ref="A415:A416" si="184">"Jabra"</f>
        <v>Jabra</v>
      </c>
      <c r="B415" s="149" t="str">
        <f>"GN-1005143"</f>
        <v>GN-1005143</v>
      </c>
      <c r="C415" s="4" t="s">
        <v>756</v>
      </c>
      <c r="D415" s="5" t="s">
        <v>13</v>
      </c>
      <c r="E415" s="17">
        <v>15</v>
      </c>
      <c r="F415" s="6">
        <v>7.98</v>
      </c>
      <c r="G415" s="7">
        <f t="shared" si="181"/>
        <v>0.46799999999999997</v>
      </c>
      <c r="H415" s="7"/>
      <c r="I415" s="7">
        <v>0.2</v>
      </c>
      <c r="J415" s="6">
        <f t="shared" si="182"/>
        <v>12</v>
      </c>
      <c r="K415" s="6">
        <f t="shared" si="41"/>
        <v>4.0199999999999996</v>
      </c>
      <c r="L415" s="7">
        <f t="shared" si="183"/>
        <v>0.33499999999999996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 t="str">
        <f t="shared" si="184"/>
        <v>Jabra</v>
      </c>
      <c r="B416" s="149" t="str">
        <f>"GN-8800-02-01"</f>
        <v>GN-8800-02-01</v>
      </c>
      <c r="C416" s="4" t="s">
        <v>757</v>
      </c>
      <c r="D416" s="5" t="s">
        <v>13</v>
      </c>
      <c r="E416" s="17">
        <v>35</v>
      </c>
      <c r="F416" s="6">
        <v>18.09</v>
      </c>
      <c r="G416" s="7">
        <f t="shared" si="181"/>
        <v>0.4831428571428571</v>
      </c>
      <c r="H416" s="7"/>
      <c r="I416" s="7">
        <v>0.2</v>
      </c>
      <c r="J416" s="6">
        <f t="shared" si="182"/>
        <v>28</v>
      </c>
      <c r="K416" s="6">
        <f t="shared" si="41"/>
        <v>9.91</v>
      </c>
      <c r="L416" s="7">
        <f t="shared" si="183"/>
        <v>0.35392857142857148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 t="s">
        <v>305</v>
      </c>
      <c r="B417" s="149" t="s">
        <v>758</v>
      </c>
      <c r="C417" s="4" t="s">
        <v>759</v>
      </c>
      <c r="D417" s="5" t="s">
        <v>13</v>
      </c>
      <c r="E417" s="17">
        <v>175</v>
      </c>
      <c r="F417" s="6">
        <v>96.81</v>
      </c>
      <c r="G417" s="7">
        <f t="shared" si="181"/>
        <v>0.44679999999999997</v>
      </c>
      <c r="H417" s="7"/>
      <c r="I417" s="7">
        <v>0.2</v>
      </c>
      <c r="J417" s="6">
        <f t="shared" si="182"/>
        <v>140</v>
      </c>
      <c r="K417" s="6">
        <f t="shared" si="41"/>
        <v>43.19</v>
      </c>
      <c r="L417" s="7">
        <f t="shared" si="183"/>
        <v>0.3085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 t="str">
        <f t="shared" ref="A418:A436" si="185">"Jabra"</f>
        <v>Jabra</v>
      </c>
      <c r="B418" s="149" t="s">
        <v>760</v>
      </c>
      <c r="C418" s="4" t="s">
        <v>761</v>
      </c>
      <c r="D418" s="5" t="s">
        <v>13</v>
      </c>
      <c r="E418" s="17">
        <v>5</v>
      </c>
      <c r="F418" s="6">
        <v>2.77</v>
      </c>
      <c r="G418" s="7">
        <f t="shared" si="181"/>
        <v>0.44599999999999995</v>
      </c>
      <c r="H418" s="7"/>
      <c r="I418" s="7">
        <v>0.2</v>
      </c>
      <c r="J418" s="6">
        <f t="shared" si="182"/>
        <v>4</v>
      </c>
      <c r="K418" s="6">
        <f t="shared" si="41"/>
        <v>1.23</v>
      </c>
      <c r="L418" s="7">
        <f t="shared" si="183"/>
        <v>0.3075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 t="str">
        <f t="shared" si="185"/>
        <v>Jabra</v>
      </c>
      <c r="B419" s="149" t="s">
        <v>614</v>
      </c>
      <c r="C419" s="4" t="s">
        <v>761</v>
      </c>
      <c r="D419" s="5" t="s">
        <v>13</v>
      </c>
      <c r="E419" s="17">
        <v>6</v>
      </c>
      <c r="F419" s="6">
        <v>3.32</v>
      </c>
      <c r="G419" s="7">
        <f t="shared" si="181"/>
        <v>0.44666666666666666</v>
      </c>
      <c r="H419" s="7"/>
      <c r="I419" s="7">
        <v>0.2</v>
      </c>
      <c r="J419" s="6">
        <f t="shared" si="182"/>
        <v>4.8000000000000007</v>
      </c>
      <c r="K419" s="6">
        <f t="shared" si="41"/>
        <v>1.4800000000000009</v>
      </c>
      <c r="L419" s="7">
        <f t="shared" si="183"/>
        <v>0.30833333333333346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 t="str">
        <f t="shared" si="185"/>
        <v>Jabra</v>
      </c>
      <c r="B420" s="149" t="s">
        <v>762</v>
      </c>
      <c r="C420" s="4" t="s">
        <v>763</v>
      </c>
      <c r="D420" s="5" t="s">
        <v>13</v>
      </c>
      <c r="E420" s="17">
        <v>10</v>
      </c>
      <c r="F420" s="6">
        <v>5.53</v>
      </c>
      <c r="G420" s="7">
        <f t="shared" si="181"/>
        <v>0.44699999999999995</v>
      </c>
      <c r="H420" s="7"/>
      <c r="I420" s="7">
        <v>0.2</v>
      </c>
      <c r="J420" s="6">
        <f t="shared" si="182"/>
        <v>8</v>
      </c>
      <c r="K420" s="6">
        <f t="shared" si="41"/>
        <v>2.4699999999999998</v>
      </c>
      <c r="L420" s="7">
        <f t="shared" si="183"/>
        <v>0.30874999999999997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 t="str">
        <f t="shared" si="185"/>
        <v>Jabra</v>
      </c>
      <c r="B421" s="149" t="s">
        <v>764</v>
      </c>
      <c r="C421" s="4" t="s">
        <v>765</v>
      </c>
      <c r="D421" s="5" t="s">
        <v>13</v>
      </c>
      <c r="E421" s="17">
        <v>15</v>
      </c>
      <c r="F421" s="6">
        <v>8.3000000000000007</v>
      </c>
      <c r="G421" s="7">
        <f t="shared" si="181"/>
        <v>0.44666666666666666</v>
      </c>
      <c r="H421" s="7"/>
      <c r="I421" s="7">
        <v>0.2</v>
      </c>
      <c r="J421" s="6">
        <f t="shared" si="182"/>
        <v>12</v>
      </c>
      <c r="K421" s="6">
        <f t="shared" si="41"/>
        <v>3.6999999999999993</v>
      </c>
      <c r="L421" s="7">
        <f t="shared" si="183"/>
        <v>0.30833333333333324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 t="str">
        <f t="shared" si="185"/>
        <v>Jabra</v>
      </c>
      <c r="B422" s="149" t="s">
        <v>766</v>
      </c>
      <c r="C422" s="4" t="s">
        <v>767</v>
      </c>
      <c r="D422" s="5" t="s">
        <v>13</v>
      </c>
      <c r="E422" s="17">
        <v>100</v>
      </c>
      <c r="F422" s="6">
        <v>55.32</v>
      </c>
      <c r="G422" s="7">
        <f t="shared" si="181"/>
        <v>0.44679999999999997</v>
      </c>
      <c r="H422" s="7"/>
      <c r="I422" s="7">
        <v>0.2</v>
      </c>
      <c r="J422" s="6">
        <f t="shared" si="182"/>
        <v>80</v>
      </c>
      <c r="K422" s="6">
        <f t="shared" si="41"/>
        <v>24.68</v>
      </c>
      <c r="L422" s="7">
        <f t="shared" si="183"/>
        <v>0.3085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 t="str">
        <f t="shared" si="185"/>
        <v>Jabra</v>
      </c>
      <c r="B423" s="149" t="s">
        <v>768</v>
      </c>
      <c r="C423" s="4" t="s">
        <v>769</v>
      </c>
      <c r="D423" s="5" t="s">
        <v>13</v>
      </c>
      <c r="E423" s="17">
        <v>19.25</v>
      </c>
      <c r="F423" s="6">
        <v>10.65</v>
      </c>
      <c r="G423" s="7">
        <f t="shared" si="181"/>
        <v>0.44675324675324668</v>
      </c>
      <c r="H423" s="7"/>
      <c r="I423" s="7">
        <v>0.2</v>
      </c>
      <c r="J423" s="6">
        <f t="shared" si="182"/>
        <v>15.4</v>
      </c>
      <c r="K423" s="6">
        <f t="shared" si="41"/>
        <v>4.75</v>
      </c>
      <c r="L423" s="7">
        <f t="shared" si="183"/>
        <v>0.30844155844155841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 t="str">
        <f t="shared" si="185"/>
        <v>Jabra</v>
      </c>
      <c r="B424" s="149" t="s">
        <v>770</v>
      </c>
      <c r="C424" s="4" t="s">
        <v>771</v>
      </c>
      <c r="D424" s="5" t="s">
        <v>13</v>
      </c>
      <c r="E424" s="17">
        <v>22</v>
      </c>
      <c r="F424" s="6">
        <v>12.17</v>
      </c>
      <c r="G424" s="7">
        <f t="shared" si="181"/>
        <v>0.44681818181818178</v>
      </c>
      <c r="H424" s="7"/>
      <c r="I424" s="7">
        <v>0.2</v>
      </c>
      <c r="J424" s="6">
        <f t="shared" si="182"/>
        <v>17.600000000000001</v>
      </c>
      <c r="K424" s="6">
        <f t="shared" si="41"/>
        <v>5.4300000000000015</v>
      </c>
      <c r="L424" s="7">
        <f t="shared" si="183"/>
        <v>0.30852272727272734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 t="str">
        <f t="shared" si="185"/>
        <v>Jabra</v>
      </c>
      <c r="B425" s="149" t="s">
        <v>772</v>
      </c>
      <c r="C425" s="4" t="s">
        <v>773</v>
      </c>
      <c r="D425" s="5" t="s">
        <v>13</v>
      </c>
      <c r="E425" s="17">
        <v>30</v>
      </c>
      <c r="F425" s="6">
        <v>16.600000000000001</v>
      </c>
      <c r="G425" s="7">
        <f t="shared" si="181"/>
        <v>0.44666666666666666</v>
      </c>
      <c r="H425" s="7"/>
      <c r="I425" s="7">
        <v>0.2</v>
      </c>
      <c r="J425" s="6">
        <f t="shared" si="182"/>
        <v>24</v>
      </c>
      <c r="K425" s="6">
        <f t="shared" si="41"/>
        <v>7.3999999999999986</v>
      </c>
      <c r="L425" s="7">
        <f t="shared" si="183"/>
        <v>0.30833333333333324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 t="str">
        <f t="shared" si="185"/>
        <v>Jabra</v>
      </c>
      <c r="B426" s="149" t="s">
        <v>774</v>
      </c>
      <c r="C426" s="4" t="s">
        <v>775</v>
      </c>
      <c r="D426" s="5" t="s">
        <v>13</v>
      </c>
      <c r="E426" s="17">
        <v>15</v>
      </c>
      <c r="F426" s="6">
        <v>8.3000000000000007</v>
      </c>
      <c r="G426" s="7">
        <f t="shared" si="181"/>
        <v>0.44666666666666666</v>
      </c>
      <c r="H426" s="7"/>
      <c r="I426" s="7">
        <v>0.2</v>
      </c>
      <c r="J426" s="6">
        <f t="shared" si="182"/>
        <v>12</v>
      </c>
      <c r="K426" s="6">
        <f t="shared" si="41"/>
        <v>3.6999999999999993</v>
      </c>
      <c r="L426" s="7">
        <f t="shared" si="183"/>
        <v>0.30833333333333324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 t="str">
        <f t="shared" si="185"/>
        <v>Jabra</v>
      </c>
      <c r="B427" s="149" t="s">
        <v>776</v>
      </c>
      <c r="C427" s="4" t="s">
        <v>777</v>
      </c>
      <c r="D427" s="5" t="s">
        <v>13</v>
      </c>
      <c r="E427" s="17">
        <v>30</v>
      </c>
      <c r="F427" s="6">
        <v>16.600000000000001</v>
      </c>
      <c r="G427" s="7">
        <f t="shared" si="181"/>
        <v>0.44666666666666666</v>
      </c>
      <c r="H427" s="7"/>
      <c r="I427" s="7">
        <v>0.2</v>
      </c>
      <c r="J427" s="6">
        <f t="shared" si="182"/>
        <v>24</v>
      </c>
      <c r="K427" s="6">
        <f t="shared" si="41"/>
        <v>7.3999999999999986</v>
      </c>
      <c r="L427" s="7">
        <f t="shared" si="183"/>
        <v>0.30833333333333324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 t="str">
        <f t="shared" si="185"/>
        <v>Jabra</v>
      </c>
      <c r="B428" s="149" t="s">
        <v>778</v>
      </c>
      <c r="C428" s="4" t="s">
        <v>779</v>
      </c>
      <c r="D428" s="5" t="s">
        <v>13</v>
      </c>
      <c r="E428" s="17">
        <v>15</v>
      </c>
      <c r="F428" s="6">
        <v>8.3000000000000007</v>
      </c>
      <c r="G428" s="7">
        <f t="shared" si="181"/>
        <v>0.44666666666666666</v>
      </c>
      <c r="H428" s="7"/>
      <c r="I428" s="7">
        <v>0.2</v>
      </c>
      <c r="J428" s="6">
        <f t="shared" si="182"/>
        <v>12</v>
      </c>
      <c r="K428" s="6">
        <f t="shared" si="41"/>
        <v>3.6999999999999993</v>
      </c>
      <c r="L428" s="7">
        <f t="shared" si="183"/>
        <v>0.30833333333333324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 t="str">
        <f t="shared" si="185"/>
        <v>Jabra</v>
      </c>
      <c r="B429" s="149" t="s">
        <v>780</v>
      </c>
      <c r="C429" s="4" t="s">
        <v>781</v>
      </c>
      <c r="D429" s="5" t="s">
        <v>13</v>
      </c>
      <c r="E429" s="17">
        <v>15</v>
      </c>
      <c r="F429" s="6">
        <v>8.3000000000000007</v>
      </c>
      <c r="G429" s="7">
        <f t="shared" si="181"/>
        <v>0.44666666666666666</v>
      </c>
      <c r="H429" s="7"/>
      <c r="I429" s="7">
        <v>0.2</v>
      </c>
      <c r="J429" s="6">
        <f t="shared" si="182"/>
        <v>12</v>
      </c>
      <c r="K429" s="6">
        <f t="shared" si="41"/>
        <v>3.6999999999999993</v>
      </c>
      <c r="L429" s="7">
        <f t="shared" si="183"/>
        <v>0.30833333333333324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 t="str">
        <f t="shared" si="185"/>
        <v>Jabra</v>
      </c>
      <c r="B430" s="149" t="s">
        <v>782</v>
      </c>
      <c r="C430" s="4" t="s">
        <v>783</v>
      </c>
      <c r="D430" s="5" t="s">
        <v>13</v>
      </c>
      <c r="E430" s="17">
        <v>30</v>
      </c>
      <c r="F430" s="6">
        <v>16.600000000000001</v>
      </c>
      <c r="G430" s="7">
        <f t="shared" si="181"/>
        <v>0.44666666666666666</v>
      </c>
      <c r="H430" s="7"/>
      <c r="I430" s="7">
        <v>0.2</v>
      </c>
      <c r="J430" s="6">
        <f t="shared" si="182"/>
        <v>24</v>
      </c>
      <c r="K430" s="6">
        <f t="shared" si="41"/>
        <v>7.3999999999999986</v>
      </c>
      <c r="L430" s="7">
        <f t="shared" si="183"/>
        <v>0.30833333333333324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 t="str">
        <f t="shared" si="185"/>
        <v>Jabra</v>
      </c>
      <c r="B431" s="149" t="s">
        <v>784</v>
      </c>
      <c r="C431" s="4" t="s">
        <v>785</v>
      </c>
      <c r="D431" s="5" t="s">
        <v>13</v>
      </c>
      <c r="E431" s="17">
        <v>30</v>
      </c>
      <c r="F431" s="6">
        <v>16.600000000000001</v>
      </c>
      <c r="G431" s="7">
        <f t="shared" si="181"/>
        <v>0.44666666666666666</v>
      </c>
      <c r="H431" s="7"/>
      <c r="I431" s="7">
        <v>0.2</v>
      </c>
      <c r="J431" s="6">
        <f t="shared" si="182"/>
        <v>24</v>
      </c>
      <c r="K431" s="6">
        <f t="shared" si="41"/>
        <v>7.3999999999999986</v>
      </c>
      <c r="L431" s="7">
        <f t="shared" si="183"/>
        <v>0.30833333333333324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 t="str">
        <f t="shared" si="185"/>
        <v>Jabra</v>
      </c>
      <c r="B432" s="149" t="s">
        <v>786</v>
      </c>
      <c r="C432" s="4" t="s">
        <v>787</v>
      </c>
      <c r="D432" s="5" t="s">
        <v>13</v>
      </c>
      <c r="E432" s="17">
        <v>15</v>
      </c>
      <c r="F432" s="6">
        <v>8.3000000000000007</v>
      </c>
      <c r="G432" s="7">
        <f t="shared" si="181"/>
        <v>0.44666666666666666</v>
      </c>
      <c r="H432" s="7"/>
      <c r="I432" s="7">
        <v>0.2</v>
      </c>
      <c r="J432" s="6">
        <f t="shared" si="182"/>
        <v>12</v>
      </c>
      <c r="K432" s="6">
        <f t="shared" si="41"/>
        <v>3.6999999999999993</v>
      </c>
      <c r="L432" s="7">
        <f t="shared" si="183"/>
        <v>0.30833333333333324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 t="str">
        <f t="shared" si="185"/>
        <v>Jabra</v>
      </c>
      <c r="B433" s="149" t="s">
        <v>788</v>
      </c>
      <c r="C433" s="4" t="s">
        <v>789</v>
      </c>
      <c r="D433" s="5" t="s">
        <v>13</v>
      </c>
      <c r="E433" s="17">
        <v>15</v>
      </c>
      <c r="F433" s="6">
        <v>8.3000000000000007</v>
      </c>
      <c r="G433" s="7">
        <f t="shared" si="181"/>
        <v>0.44666666666666666</v>
      </c>
      <c r="H433" s="7"/>
      <c r="I433" s="7">
        <v>0.2</v>
      </c>
      <c r="J433" s="6">
        <f t="shared" si="182"/>
        <v>12</v>
      </c>
      <c r="K433" s="6">
        <f t="shared" si="41"/>
        <v>3.6999999999999993</v>
      </c>
      <c r="L433" s="7">
        <f t="shared" si="183"/>
        <v>0.30833333333333324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 t="str">
        <f t="shared" si="185"/>
        <v>Jabra</v>
      </c>
      <c r="B434" s="149" t="s">
        <v>790</v>
      </c>
      <c r="C434" s="4" t="s">
        <v>791</v>
      </c>
      <c r="D434" s="5" t="s">
        <v>13</v>
      </c>
      <c r="E434" s="17">
        <v>30</v>
      </c>
      <c r="F434" s="6">
        <v>16.600000000000001</v>
      </c>
      <c r="G434" s="7">
        <f t="shared" si="181"/>
        <v>0.44666666666666666</v>
      </c>
      <c r="H434" s="7"/>
      <c r="I434" s="7">
        <v>0.2</v>
      </c>
      <c r="J434" s="6">
        <f t="shared" si="182"/>
        <v>24</v>
      </c>
      <c r="K434" s="6">
        <f t="shared" si="41"/>
        <v>7.3999999999999986</v>
      </c>
      <c r="L434" s="7">
        <f t="shared" si="183"/>
        <v>0.30833333333333324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 t="str">
        <f t="shared" si="185"/>
        <v>Jabra</v>
      </c>
      <c r="B435" s="149" t="s">
        <v>792</v>
      </c>
      <c r="C435" s="4" t="s">
        <v>793</v>
      </c>
      <c r="D435" s="5" t="s">
        <v>13</v>
      </c>
      <c r="E435" s="17">
        <v>30</v>
      </c>
      <c r="F435" s="6">
        <v>16.600000000000001</v>
      </c>
      <c r="G435" s="7">
        <f t="shared" si="181"/>
        <v>0.44666666666666666</v>
      </c>
      <c r="H435" s="7"/>
      <c r="I435" s="7">
        <v>0.2</v>
      </c>
      <c r="J435" s="6">
        <f t="shared" si="182"/>
        <v>24</v>
      </c>
      <c r="K435" s="6">
        <f t="shared" si="41"/>
        <v>7.3999999999999986</v>
      </c>
      <c r="L435" s="7">
        <f t="shared" si="183"/>
        <v>0.30833333333333324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 t="str">
        <f t="shared" si="185"/>
        <v>Jabra</v>
      </c>
      <c r="B436" s="149" t="str">
        <f>"GN-8800-01-46"</f>
        <v>GN-8800-01-46</v>
      </c>
      <c r="C436" s="4" t="s">
        <v>794</v>
      </c>
      <c r="D436" s="5" t="s">
        <v>13</v>
      </c>
      <c r="E436" s="17">
        <v>30</v>
      </c>
      <c r="F436" s="6">
        <v>16.600000000000001</v>
      </c>
      <c r="G436" s="7">
        <f t="shared" si="181"/>
        <v>0.44666666666666666</v>
      </c>
      <c r="H436" s="7"/>
      <c r="I436" s="7">
        <v>0.2</v>
      </c>
      <c r="J436" s="6">
        <f t="shared" si="182"/>
        <v>24</v>
      </c>
      <c r="K436" s="6">
        <f t="shared" si="41"/>
        <v>7.3999999999999986</v>
      </c>
      <c r="L436" s="7">
        <f t="shared" si="183"/>
        <v>0.30833333333333324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 t="s">
        <v>305</v>
      </c>
      <c r="B437" s="149" t="s">
        <v>795</v>
      </c>
      <c r="C437" s="4" t="s">
        <v>796</v>
      </c>
      <c r="D437" s="5" t="s">
        <v>13</v>
      </c>
      <c r="E437" s="17">
        <v>36</v>
      </c>
      <c r="F437" s="6">
        <v>18.62</v>
      </c>
      <c r="G437" s="7">
        <f t="shared" si="181"/>
        <v>0.48277777777777775</v>
      </c>
      <c r="H437" s="7"/>
      <c r="I437" s="7">
        <v>0.2</v>
      </c>
      <c r="J437" s="6">
        <f t="shared" si="182"/>
        <v>28.8</v>
      </c>
      <c r="K437" s="6">
        <f t="shared" si="41"/>
        <v>10.18</v>
      </c>
      <c r="L437" s="7">
        <f t="shared" si="183"/>
        <v>0.35347222222222219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 t="s">
        <v>305</v>
      </c>
      <c r="B438" s="155" t="s">
        <v>797</v>
      </c>
      <c r="C438" s="4" t="s">
        <v>798</v>
      </c>
      <c r="D438" s="5" t="s">
        <v>13</v>
      </c>
      <c r="E438" s="17">
        <v>85</v>
      </c>
      <c r="F438" s="6">
        <v>47.87</v>
      </c>
      <c r="G438" s="7">
        <f t="shared" si="181"/>
        <v>0.43682352941176472</v>
      </c>
      <c r="H438" s="7"/>
      <c r="I438" s="7">
        <v>0.2</v>
      </c>
      <c r="J438" s="6">
        <f t="shared" si="182"/>
        <v>68</v>
      </c>
      <c r="K438" s="6">
        <f t="shared" si="41"/>
        <v>20.130000000000003</v>
      </c>
      <c r="L438" s="7">
        <f t="shared" si="183"/>
        <v>0.29602941176470587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149" t="s">
        <v>799</v>
      </c>
      <c r="C439" s="4" t="s">
        <v>800</v>
      </c>
      <c r="D439" s="5" t="s">
        <v>13</v>
      </c>
      <c r="E439" s="17">
        <v>249</v>
      </c>
      <c r="F439" s="6">
        <v>158.22</v>
      </c>
      <c r="G439" s="7">
        <f t="shared" ref="G439:G440" si="186">1-(F439/E439)</f>
        <v>0.36457831325301204</v>
      </c>
      <c r="H439" s="7"/>
      <c r="I439" s="7">
        <v>0.1</v>
      </c>
      <c r="J439" s="6">
        <f t="shared" ref="J439:J440" si="187">E439*(1-I439)</f>
        <v>224.1</v>
      </c>
      <c r="K439" s="6">
        <f t="shared" ref="K439:K440" si="188">J439-F439</f>
        <v>65.88</v>
      </c>
      <c r="L439" s="7">
        <f t="shared" ref="L439:L440" si="189">1-(F439/J439)</f>
        <v>0.2939759036144578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149" t="s">
        <v>801</v>
      </c>
      <c r="C440" s="4" t="s">
        <v>802</v>
      </c>
      <c r="D440" s="5" t="s">
        <v>13</v>
      </c>
      <c r="E440" s="17">
        <v>79</v>
      </c>
      <c r="F440" s="6">
        <v>42.79</v>
      </c>
      <c r="G440" s="7">
        <f t="shared" si="186"/>
        <v>0.45835443037974688</v>
      </c>
      <c r="H440" s="7"/>
      <c r="I440" s="7">
        <v>0.25</v>
      </c>
      <c r="J440" s="6">
        <f t="shared" si="187"/>
        <v>59.25</v>
      </c>
      <c r="K440" s="6">
        <f t="shared" si="188"/>
        <v>16.46</v>
      </c>
      <c r="L440" s="7">
        <f t="shared" si="189"/>
        <v>0.2778059071729958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149"/>
      <c r="C441" s="4"/>
      <c r="D441" s="5"/>
      <c r="E441" s="17"/>
      <c r="F441" s="6"/>
      <c r="G441" s="13"/>
      <c r="H441" s="13"/>
      <c r="I441" s="13"/>
      <c r="J441" s="29"/>
      <c r="K441" s="4"/>
      <c r="L441" s="13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149"/>
      <c r="C442" s="4"/>
      <c r="D442" s="5"/>
      <c r="E442" s="17"/>
      <c r="F442" s="6"/>
      <c r="G442" s="13"/>
      <c r="H442" s="13"/>
      <c r="I442" s="13"/>
      <c r="J442" s="29"/>
      <c r="K442" s="4"/>
      <c r="L442" s="13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149"/>
      <c r="C443" s="4"/>
      <c r="D443" s="5"/>
      <c r="E443" s="17"/>
      <c r="F443" s="6"/>
      <c r="G443" s="13"/>
      <c r="H443" s="13"/>
      <c r="I443" s="13"/>
      <c r="J443" s="29"/>
      <c r="K443" s="4"/>
      <c r="L443" s="13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149"/>
      <c r="C444" s="4"/>
      <c r="D444" s="5"/>
      <c r="E444" s="17"/>
      <c r="F444" s="6"/>
      <c r="G444" s="13"/>
      <c r="H444" s="13"/>
      <c r="I444" s="13"/>
      <c r="J444" s="29"/>
      <c r="K444" s="4"/>
      <c r="L444" s="13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149"/>
      <c r="C445" s="4"/>
      <c r="D445" s="5"/>
      <c r="E445" s="17"/>
      <c r="F445" s="6"/>
      <c r="G445" s="13"/>
      <c r="H445" s="13"/>
      <c r="I445" s="13"/>
      <c r="J445" s="29"/>
      <c r="K445" s="4"/>
      <c r="L445" s="13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149"/>
      <c r="C446" s="4"/>
      <c r="D446" s="5"/>
      <c r="E446" s="17"/>
      <c r="F446" s="6"/>
      <c r="G446" s="13"/>
      <c r="H446" s="13"/>
      <c r="I446" s="13"/>
      <c r="J446" s="29"/>
      <c r="K446" s="4"/>
      <c r="L446" s="1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149"/>
      <c r="C447" s="4"/>
      <c r="D447" s="5"/>
      <c r="E447" s="17"/>
      <c r="F447" s="6"/>
      <c r="G447" s="13"/>
      <c r="H447" s="13"/>
      <c r="I447" s="13"/>
      <c r="J447" s="29"/>
      <c r="K447" s="4"/>
      <c r="L447" s="13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149"/>
      <c r="C448" s="4"/>
      <c r="D448" s="5"/>
      <c r="E448" s="17"/>
      <c r="F448" s="6"/>
      <c r="G448" s="13"/>
      <c r="H448" s="13"/>
      <c r="I448" s="13"/>
      <c r="J448" s="29"/>
      <c r="K448" s="4"/>
      <c r="L448" s="13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149"/>
      <c r="C449" s="4"/>
      <c r="D449" s="5"/>
      <c r="E449" s="17"/>
      <c r="F449" s="6"/>
      <c r="G449" s="13"/>
      <c r="H449" s="13"/>
      <c r="I449" s="13"/>
      <c r="J449" s="29"/>
      <c r="K449" s="4"/>
      <c r="L449" s="13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149"/>
      <c r="C450" s="4"/>
      <c r="D450" s="5"/>
      <c r="E450" s="17"/>
      <c r="F450" s="6"/>
      <c r="G450" s="13"/>
      <c r="H450" s="13"/>
      <c r="I450" s="13"/>
      <c r="J450" s="29"/>
      <c r="K450" s="4"/>
      <c r="L450" s="13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149"/>
      <c r="C451" s="4"/>
      <c r="D451" s="5"/>
      <c r="E451" s="17"/>
      <c r="F451" s="6"/>
      <c r="G451" s="13"/>
      <c r="H451" s="13"/>
      <c r="I451" s="13"/>
      <c r="J451" s="29"/>
      <c r="K451" s="4"/>
      <c r="L451" s="13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149"/>
      <c r="C452" s="4"/>
      <c r="D452" s="5"/>
      <c r="E452" s="17"/>
      <c r="F452" s="6"/>
      <c r="G452" s="13"/>
      <c r="H452" s="13"/>
      <c r="I452" s="13"/>
      <c r="J452" s="29"/>
      <c r="K452" s="4"/>
      <c r="L452" s="13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149"/>
      <c r="C453" s="4"/>
      <c r="D453" s="5"/>
      <c r="E453" s="17"/>
      <c r="F453" s="6"/>
      <c r="G453" s="13"/>
      <c r="H453" s="13"/>
      <c r="I453" s="13"/>
      <c r="J453" s="29"/>
      <c r="K453" s="4"/>
      <c r="L453" s="13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149"/>
      <c r="C454" s="4"/>
      <c r="D454" s="5"/>
      <c r="E454" s="17"/>
      <c r="F454" s="6"/>
      <c r="G454" s="13"/>
      <c r="H454" s="13"/>
      <c r="I454" s="13"/>
      <c r="J454" s="29"/>
      <c r="K454" s="4"/>
      <c r="L454" s="13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149"/>
      <c r="C455" s="4"/>
      <c r="D455" s="5"/>
      <c r="E455" s="17"/>
      <c r="F455" s="6"/>
      <c r="G455" s="13"/>
      <c r="H455" s="13"/>
      <c r="I455" s="13"/>
      <c r="J455" s="29"/>
      <c r="K455" s="4"/>
      <c r="L455" s="13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149"/>
      <c r="C456" s="4"/>
      <c r="D456" s="5"/>
      <c r="E456" s="17"/>
      <c r="F456" s="6"/>
      <c r="G456" s="13"/>
      <c r="H456" s="13"/>
      <c r="I456" s="13"/>
      <c r="J456" s="29"/>
      <c r="K456" s="4"/>
      <c r="L456" s="1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149"/>
      <c r="C457" s="4"/>
      <c r="D457" s="5"/>
      <c r="E457" s="17"/>
      <c r="F457" s="6"/>
      <c r="G457" s="13"/>
      <c r="H457" s="13"/>
      <c r="I457" s="13"/>
      <c r="J457" s="29"/>
      <c r="K457" s="4"/>
      <c r="L457" s="13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149"/>
      <c r="C458" s="4"/>
      <c r="D458" s="5"/>
      <c r="E458" s="17"/>
      <c r="F458" s="6"/>
      <c r="G458" s="13"/>
      <c r="H458" s="13"/>
      <c r="I458" s="13"/>
      <c r="J458" s="29"/>
      <c r="K458" s="4"/>
      <c r="L458" s="13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149"/>
      <c r="C459" s="4"/>
      <c r="D459" s="5"/>
      <c r="E459" s="17"/>
      <c r="F459" s="6"/>
      <c r="G459" s="13"/>
      <c r="H459" s="13"/>
      <c r="I459" s="13"/>
      <c r="J459" s="29"/>
      <c r="K459" s="4"/>
      <c r="L459" s="13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149"/>
      <c r="C460" s="4"/>
      <c r="D460" s="5"/>
      <c r="E460" s="17"/>
      <c r="F460" s="6"/>
      <c r="G460" s="13"/>
      <c r="H460" s="13"/>
      <c r="I460" s="13"/>
      <c r="J460" s="29"/>
      <c r="K460" s="4"/>
      <c r="L460" s="13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149"/>
      <c r="C461" s="4"/>
      <c r="D461" s="5"/>
      <c r="E461" s="17"/>
      <c r="F461" s="6"/>
      <c r="G461" s="13"/>
      <c r="H461" s="13"/>
      <c r="I461" s="13"/>
      <c r="J461" s="29"/>
      <c r="K461" s="4"/>
      <c r="L461" s="13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149"/>
      <c r="C462" s="4"/>
      <c r="D462" s="5"/>
      <c r="E462" s="17"/>
      <c r="F462" s="6"/>
      <c r="G462" s="13"/>
      <c r="H462" s="13"/>
      <c r="I462" s="13"/>
      <c r="J462" s="29"/>
      <c r="K462" s="4"/>
      <c r="L462" s="13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149"/>
      <c r="C463" s="4"/>
      <c r="D463" s="5"/>
      <c r="E463" s="17"/>
      <c r="F463" s="6"/>
      <c r="G463" s="13"/>
      <c r="H463" s="13"/>
      <c r="I463" s="13"/>
      <c r="J463" s="29"/>
      <c r="K463" s="4"/>
      <c r="L463" s="13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149"/>
      <c r="C464" s="4"/>
      <c r="D464" s="5"/>
      <c r="E464" s="17"/>
      <c r="F464" s="6"/>
      <c r="G464" s="13"/>
      <c r="H464" s="13"/>
      <c r="I464" s="13"/>
      <c r="J464" s="29"/>
      <c r="K464" s="4"/>
      <c r="L464" s="13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149"/>
      <c r="C465" s="4"/>
      <c r="D465" s="5"/>
      <c r="E465" s="17"/>
      <c r="F465" s="6"/>
      <c r="G465" s="13"/>
      <c r="H465" s="13"/>
      <c r="I465" s="13"/>
      <c r="J465" s="29"/>
      <c r="K465" s="4"/>
      <c r="L465" s="13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149"/>
      <c r="C466" s="4"/>
      <c r="D466" s="5"/>
      <c r="E466" s="17"/>
      <c r="F466" s="6"/>
      <c r="G466" s="13"/>
      <c r="H466" s="13"/>
      <c r="I466" s="13"/>
      <c r="J466" s="29"/>
      <c r="K466" s="4"/>
      <c r="L466" s="13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149"/>
      <c r="C467" s="4"/>
      <c r="D467" s="5"/>
      <c r="E467" s="17"/>
      <c r="F467" s="6"/>
      <c r="G467" s="13"/>
      <c r="H467" s="13"/>
      <c r="I467" s="13"/>
      <c r="J467" s="29"/>
      <c r="K467" s="4"/>
      <c r="L467" s="1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149"/>
      <c r="C468" s="4"/>
      <c r="D468" s="5"/>
      <c r="E468" s="17"/>
      <c r="F468" s="6"/>
      <c r="G468" s="13"/>
      <c r="H468" s="13"/>
      <c r="I468" s="13"/>
      <c r="J468" s="29"/>
      <c r="K468" s="4"/>
      <c r="L468" s="13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149"/>
      <c r="C469" s="4"/>
      <c r="D469" s="5"/>
      <c r="E469" s="17"/>
      <c r="F469" s="6"/>
      <c r="G469" s="13"/>
      <c r="H469" s="13"/>
      <c r="I469" s="13"/>
      <c r="J469" s="29"/>
      <c r="K469" s="4"/>
      <c r="L469" s="13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149"/>
      <c r="C470" s="4"/>
      <c r="D470" s="5"/>
      <c r="E470" s="17"/>
      <c r="F470" s="6"/>
      <c r="G470" s="13"/>
      <c r="H470" s="13"/>
      <c r="I470" s="13"/>
      <c r="J470" s="29"/>
      <c r="K470" s="4"/>
      <c r="L470" s="13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149"/>
      <c r="C471" s="4"/>
      <c r="D471" s="5"/>
      <c r="E471" s="17"/>
      <c r="F471" s="6"/>
      <c r="G471" s="13"/>
      <c r="H471" s="13"/>
      <c r="I471" s="13"/>
      <c r="J471" s="29"/>
      <c r="K471" s="4"/>
      <c r="L471" s="13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149"/>
      <c r="C472" s="4"/>
      <c r="D472" s="5"/>
      <c r="E472" s="17"/>
      <c r="F472" s="6"/>
      <c r="G472" s="13"/>
      <c r="H472" s="13"/>
      <c r="I472" s="13"/>
      <c r="J472" s="29"/>
      <c r="K472" s="4"/>
      <c r="L472" s="13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149"/>
      <c r="C473" s="4"/>
      <c r="D473" s="5"/>
      <c r="E473" s="17"/>
      <c r="F473" s="6"/>
      <c r="G473" s="13"/>
      <c r="H473" s="13"/>
      <c r="I473" s="13"/>
      <c r="J473" s="29"/>
      <c r="K473" s="4"/>
      <c r="L473" s="13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149"/>
      <c r="C474" s="4"/>
      <c r="D474" s="5"/>
      <c r="E474" s="17"/>
      <c r="F474" s="6"/>
      <c r="G474" s="13"/>
      <c r="H474" s="13"/>
      <c r="I474" s="13"/>
      <c r="J474" s="29"/>
      <c r="K474" s="4"/>
      <c r="L474" s="13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149"/>
      <c r="C475" s="4"/>
      <c r="D475" s="5"/>
      <c r="E475" s="17"/>
      <c r="F475" s="6"/>
      <c r="G475" s="13"/>
      <c r="H475" s="13"/>
      <c r="I475" s="13"/>
      <c r="J475" s="29"/>
      <c r="K475" s="4"/>
      <c r="L475" s="13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149"/>
      <c r="C476" s="4"/>
      <c r="D476" s="5"/>
      <c r="E476" s="17"/>
      <c r="F476" s="6"/>
      <c r="G476" s="13"/>
      <c r="H476" s="13"/>
      <c r="I476" s="13"/>
      <c r="J476" s="29"/>
      <c r="K476" s="4"/>
      <c r="L476" s="1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149"/>
      <c r="C477" s="4"/>
      <c r="D477" s="5"/>
      <c r="E477" s="17"/>
      <c r="F477" s="6"/>
      <c r="G477" s="13"/>
      <c r="H477" s="13"/>
      <c r="I477" s="13"/>
      <c r="J477" s="29"/>
      <c r="K477" s="4"/>
      <c r="L477" s="1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149"/>
      <c r="C478" s="4"/>
      <c r="D478" s="5"/>
      <c r="E478" s="17"/>
      <c r="F478" s="6"/>
      <c r="G478" s="13"/>
      <c r="H478" s="13"/>
      <c r="I478" s="13"/>
      <c r="J478" s="29"/>
      <c r="K478" s="4"/>
      <c r="L478" s="13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149"/>
      <c r="C479" s="4"/>
      <c r="D479" s="5"/>
      <c r="E479" s="17"/>
      <c r="F479" s="6"/>
      <c r="G479" s="13"/>
      <c r="H479" s="13"/>
      <c r="I479" s="13"/>
      <c r="J479" s="29"/>
      <c r="K479" s="4"/>
      <c r="L479" s="13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149"/>
      <c r="C480" s="4"/>
      <c r="D480" s="5"/>
      <c r="E480" s="17"/>
      <c r="F480" s="6"/>
      <c r="G480" s="13"/>
      <c r="H480" s="13"/>
      <c r="I480" s="13"/>
      <c r="J480" s="29"/>
      <c r="K480" s="4"/>
      <c r="L480" s="13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149"/>
      <c r="C481" s="4"/>
      <c r="D481" s="5"/>
      <c r="E481" s="17"/>
      <c r="F481" s="6"/>
      <c r="G481" s="13"/>
      <c r="H481" s="13"/>
      <c r="I481" s="13"/>
      <c r="J481" s="29"/>
      <c r="K481" s="4"/>
      <c r="L481" s="13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149"/>
      <c r="C482" s="4"/>
      <c r="D482" s="5"/>
      <c r="E482" s="17"/>
      <c r="F482" s="6"/>
      <c r="G482" s="13"/>
      <c r="H482" s="13"/>
      <c r="I482" s="13"/>
      <c r="J482" s="29"/>
      <c r="K482" s="4"/>
      <c r="L482" s="13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149"/>
      <c r="C483" s="4"/>
      <c r="D483" s="5"/>
      <c r="E483" s="17"/>
      <c r="F483" s="6"/>
      <c r="G483" s="13"/>
      <c r="H483" s="13"/>
      <c r="I483" s="13"/>
      <c r="J483" s="29"/>
      <c r="K483" s="4"/>
      <c r="L483" s="13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149"/>
      <c r="C484" s="4"/>
      <c r="D484" s="5"/>
      <c r="E484" s="17"/>
      <c r="F484" s="6"/>
      <c r="G484" s="13"/>
      <c r="H484" s="13"/>
      <c r="I484" s="13"/>
      <c r="J484" s="29"/>
      <c r="K484" s="4"/>
      <c r="L484" s="13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149"/>
      <c r="C485" s="4"/>
      <c r="D485" s="5"/>
      <c r="E485" s="17"/>
      <c r="F485" s="6"/>
      <c r="G485" s="13"/>
      <c r="H485" s="13"/>
      <c r="I485" s="13"/>
      <c r="J485" s="29"/>
      <c r="K485" s="4"/>
      <c r="L485" s="13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149"/>
      <c r="C486" s="4"/>
      <c r="D486" s="5"/>
      <c r="E486" s="17"/>
      <c r="F486" s="6"/>
      <c r="G486" s="13"/>
      <c r="H486" s="13"/>
      <c r="I486" s="13"/>
      <c r="J486" s="29"/>
      <c r="K486" s="4"/>
      <c r="L486" s="13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149"/>
      <c r="C487" s="4"/>
      <c r="D487" s="5"/>
      <c r="E487" s="17"/>
      <c r="F487" s="6"/>
      <c r="G487" s="13"/>
      <c r="H487" s="13"/>
      <c r="I487" s="13"/>
      <c r="J487" s="29"/>
      <c r="K487" s="4"/>
      <c r="L487" s="13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149"/>
      <c r="C488" s="4"/>
      <c r="D488" s="5"/>
      <c r="E488" s="17"/>
      <c r="F488" s="6"/>
      <c r="G488" s="13"/>
      <c r="H488" s="13"/>
      <c r="I488" s="13"/>
      <c r="J488" s="29"/>
      <c r="K488" s="4"/>
      <c r="L488" s="1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149"/>
      <c r="C489" s="4"/>
      <c r="D489" s="5"/>
      <c r="E489" s="17"/>
      <c r="F489" s="6"/>
      <c r="G489" s="13"/>
      <c r="H489" s="13"/>
      <c r="I489" s="13"/>
      <c r="J489" s="29"/>
      <c r="K489" s="4"/>
      <c r="L489" s="13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149"/>
      <c r="C490" s="4"/>
      <c r="D490" s="5"/>
      <c r="E490" s="17"/>
      <c r="F490" s="6"/>
      <c r="G490" s="13"/>
      <c r="H490" s="13"/>
      <c r="I490" s="13"/>
      <c r="J490" s="29"/>
      <c r="K490" s="4"/>
      <c r="L490" s="13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149"/>
      <c r="C491" s="4"/>
      <c r="D491" s="5"/>
      <c r="E491" s="17"/>
      <c r="F491" s="6"/>
      <c r="G491" s="13"/>
      <c r="H491" s="13"/>
      <c r="I491" s="13"/>
      <c r="J491" s="29"/>
      <c r="K491" s="4"/>
      <c r="L491" s="13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149"/>
      <c r="C492" s="4"/>
      <c r="D492" s="5"/>
      <c r="E492" s="17"/>
      <c r="F492" s="6"/>
      <c r="G492" s="13"/>
      <c r="H492" s="13"/>
      <c r="I492" s="13"/>
      <c r="J492" s="29"/>
      <c r="K492" s="4"/>
      <c r="L492" s="13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149"/>
      <c r="C493" s="4"/>
      <c r="D493" s="5"/>
      <c r="E493" s="17"/>
      <c r="F493" s="6"/>
      <c r="G493" s="13"/>
      <c r="H493" s="13"/>
      <c r="I493" s="13"/>
      <c r="J493" s="29"/>
      <c r="K493" s="4"/>
      <c r="L493" s="13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149"/>
      <c r="C494" s="4"/>
      <c r="D494" s="5"/>
      <c r="E494" s="17"/>
      <c r="F494" s="6"/>
      <c r="G494" s="13"/>
      <c r="H494" s="13"/>
      <c r="I494" s="13"/>
      <c r="J494" s="29"/>
      <c r="K494" s="4"/>
      <c r="L494" s="13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149"/>
      <c r="C495" s="4"/>
      <c r="D495" s="5"/>
      <c r="E495" s="17"/>
      <c r="F495" s="6"/>
      <c r="G495" s="13"/>
      <c r="H495" s="13"/>
      <c r="I495" s="13"/>
      <c r="J495" s="29"/>
      <c r="K495" s="4"/>
      <c r="L495" s="13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149"/>
      <c r="C496" s="4"/>
      <c r="D496" s="5"/>
      <c r="E496" s="17"/>
      <c r="F496" s="6"/>
      <c r="G496" s="13"/>
      <c r="H496" s="13"/>
      <c r="I496" s="13"/>
      <c r="J496" s="29"/>
      <c r="K496" s="4"/>
      <c r="L496" s="13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149"/>
      <c r="C497" s="4"/>
      <c r="D497" s="5"/>
      <c r="E497" s="17"/>
      <c r="F497" s="6"/>
      <c r="G497" s="13"/>
      <c r="H497" s="13"/>
      <c r="I497" s="13"/>
      <c r="J497" s="29"/>
      <c r="K497" s="4"/>
      <c r="L497" s="13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149"/>
      <c r="C498" s="4"/>
      <c r="D498" s="5"/>
      <c r="E498" s="17"/>
      <c r="F498" s="6"/>
      <c r="G498" s="13"/>
      <c r="H498" s="13"/>
      <c r="I498" s="13"/>
      <c r="J498" s="29"/>
      <c r="K498" s="4"/>
      <c r="L498" s="1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149"/>
      <c r="C499" s="4"/>
      <c r="D499" s="5"/>
      <c r="E499" s="17"/>
      <c r="F499" s="6"/>
      <c r="G499" s="13"/>
      <c r="H499" s="13"/>
      <c r="I499" s="13"/>
      <c r="J499" s="29"/>
      <c r="K499" s="4"/>
      <c r="L499" s="1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149"/>
      <c r="C500" s="4"/>
      <c r="D500" s="5"/>
      <c r="E500" s="17"/>
      <c r="F500" s="6"/>
      <c r="G500" s="13"/>
      <c r="H500" s="13"/>
      <c r="I500" s="13"/>
      <c r="J500" s="29"/>
      <c r="K500" s="4"/>
      <c r="L500" s="13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149"/>
      <c r="C501" s="4"/>
      <c r="D501" s="5"/>
      <c r="E501" s="17"/>
      <c r="F501" s="6"/>
      <c r="G501" s="13"/>
      <c r="H501" s="13"/>
      <c r="I501" s="13"/>
      <c r="J501" s="29"/>
      <c r="K501" s="4"/>
      <c r="L501" s="13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149"/>
      <c r="C502" s="4"/>
      <c r="D502" s="5"/>
      <c r="E502" s="17"/>
      <c r="F502" s="6"/>
      <c r="G502" s="13"/>
      <c r="H502" s="13"/>
      <c r="I502" s="13"/>
      <c r="J502" s="29"/>
      <c r="K502" s="4"/>
      <c r="L502" s="13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149"/>
      <c r="C503" s="4"/>
      <c r="D503" s="5"/>
      <c r="E503" s="17"/>
      <c r="F503" s="6"/>
      <c r="G503" s="13"/>
      <c r="H503" s="13"/>
      <c r="I503" s="13"/>
      <c r="J503" s="29"/>
      <c r="K503" s="4"/>
      <c r="L503" s="13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149"/>
      <c r="C504" s="4"/>
      <c r="D504" s="5"/>
      <c r="E504" s="17"/>
      <c r="F504" s="6"/>
      <c r="G504" s="13"/>
      <c r="H504" s="13"/>
      <c r="I504" s="13"/>
      <c r="J504" s="29"/>
      <c r="K504" s="4"/>
      <c r="L504" s="13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149"/>
      <c r="C505" s="4"/>
      <c r="D505" s="5"/>
      <c r="E505" s="17"/>
      <c r="F505" s="6"/>
      <c r="G505" s="13"/>
      <c r="H505" s="13"/>
      <c r="I505" s="13"/>
      <c r="J505" s="29"/>
      <c r="K505" s="4"/>
      <c r="L505" s="13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149"/>
      <c r="C506" s="4"/>
      <c r="D506" s="5"/>
      <c r="E506" s="17"/>
      <c r="F506" s="6"/>
      <c r="G506" s="13"/>
      <c r="H506" s="13"/>
      <c r="I506" s="13"/>
      <c r="J506" s="29"/>
      <c r="K506" s="4"/>
      <c r="L506" s="13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149"/>
      <c r="C507" s="4"/>
      <c r="D507" s="5"/>
      <c r="E507" s="17"/>
      <c r="F507" s="6"/>
      <c r="G507" s="13"/>
      <c r="H507" s="13"/>
      <c r="I507" s="13"/>
      <c r="J507" s="29"/>
      <c r="K507" s="4"/>
      <c r="L507" s="13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149"/>
      <c r="C508" s="4"/>
      <c r="D508" s="5"/>
      <c r="E508" s="17"/>
      <c r="F508" s="6"/>
      <c r="G508" s="13"/>
      <c r="H508" s="13"/>
      <c r="I508" s="13"/>
      <c r="J508" s="29"/>
      <c r="K508" s="4"/>
      <c r="L508" s="13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149"/>
      <c r="C509" s="4"/>
      <c r="D509" s="5"/>
      <c r="E509" s="17"/>
      <c r="F509" s="6"/>
      <c r="G509" s="13"/>
      <c r="H509" s="13"/>
      <c r="I509" s="13"/>
      <c r="J509" s="29"/>
      <c r="K509" s="4"/>
      <c r="L509" s="1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149"/>
      <c r="C510" s="4"/>
      <c r="D510" s="5"/>
      <c r="E510" s="17"/>
      <c r="F510" s="6"/>
      <c r="G510" s="13"/>
      <c r="H510" s="13"/>
      <c r="I510" s="13"/>
      <c r="J510" s="29"/>
      <c r="K510" s="4"/>
      <c r="L510" s="13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149"/>
      <c r="C511" s="4"/>
      <c r="D511" s="5"/>
      <c r="E511" s="17"/>
      <c r="F511" s="6"/>
      <c r="G511" s="13"/>
      <c r="H511" s="13"/>
      <c r="I511" s="13"/>
      <c r="J511" s="29"/>
      <c r="K511" s="4"/>
      <c r="L511" s="13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149"/>
      <c r="C512" s="4"/>
      <c r="D512" s="5"/>
      <c r="E512" s="17"/>
      <c r="F512" s="6"/>
      <c r="G512" s="13"/>
      <c r="H512" s="13"/>
      <c r="I512" s="13"/>
      <c r="J512" s="29"/>
      <c r="K512" s="4"/>
      <c r="L512" s="13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149"/>
      <c r="C513" s="4"/>
      <c r="D513" s="5"/>
      <c r="E513" s="17"/>
      <c r="F513" s="6"/>
      <c r="G513" s="13"/>
      <c r="H513" s="13"/>
      <c r="I513" s="13"/>
      <c r="J513" s="29"/>
      <c r="K513" s="4"/>
      <c r="L513" s="13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149"/>
      <c r="C514" s="4"/>
      <c r="D514" s="5"/>
      <c r="E514" s="17"/>
      <c r="F514" s="6"/>
      <c r="G514" s="13"/>
      <c r="H514" s="13"/>
      <c r="I514" s="13"/>
      <c r="J514" s="29"/>
      <c r="K514" s="4"/>
      <c r="L514" s="13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149"/>
      <c r="C515" s="4"/>
      <c r="D515" s="5"/>
      <c r="E515" s="17"/>
      <c r="F515" s="6"/>
      <c r="G515" s="13"/>
      <c r="H515" s="13"/>
      <c r="I515" s="13"/>
      <c r="J515" s="29"/>
      <c r="K515" s="4"/>
      <c r="L515" s="13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149"/>
      <c r="C516" s="4"/>
      <c r="D516" s="5"/>
      <c r="E516" s="17"/>
      <c r="F516" s="6"/>
      <c r="G516" s="13"/>
      <c r="H516" s="13"/>
      <c r="I516" s="13"/>
      <c r="J516" s="29"/>
      <c r="K516" s="4"/>
      <c r="L516" s="13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149"/>
      <c r="C517" s="4"/>
      <c r="D517" s="5"/>
      <c r="E517" s="17"/>
      <c r="F517" s="6"/>
      <c r="G517" s="13"/>
      <c r="H517" s="13"/>
      <c r="I517" s="13"/>
      <c r="J517" s="29"/>
      <c r="K517" s="4"/>
      <c r="L517" s="13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149"/>
      <c r="C518" s="4"/>
      <c r="D518" s="5"/>
      <c r="E518" s="17"/>
      <c r="F518" s="6"/>
      <c r="G518" s="13"/>
      <c r="H518" s="13"/>
      <c r="I518" s="13"/>
      <c r="J518" s="29"/>
      <c r="K518" s="4"/>
      <c r="L518" s="13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149"/>
      <c r="C519" s="4"/>
      <c r="D519" s="5"/>
      <c r="E519" s="17"/>
      <c r="F519" s="6"/>
      <c r="G519" s="13"/>
      <c r="H519" s="13"/>
      <c r="I519" s="13"/>
      <c r="J519" s="29"/>
      <c r="K519" s="4"/>
      <c r="L519" s="1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149"/>
      <c r="C520" s="4"/>
      <c r="D520" s="5"/>
      <c r="E520" s="17"/>
      <c r="F520" s="6"/>
      <c r="G520" s="13"/>
      <c r="H520" s="13"/>
      <c r="I520" s="13"/>
      <c r="J520" s="29"/>
      <c r="K520" s="4"/>
      <c r="L520" s="1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149"/>
      <c r="C521" s="4"/>
      <c r="D521" s="5"/>
      <c r="E521" s="17"/>
      <c r="F521" s="6"/>
      <c r="G521" s="13"/>
      <c r="H521" s="13"/>
      <c r="I521" s="13"/>
      <c r="J521" s="29"/>
      <c r="K521" s="4"/>
      <c r="L521" s="1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149"/>
      <c r="C522" s="4"/>
      <c r="D522" s="5"/>
      <c r="E522" s="17"/>
      <c r="F522" s="6"/>
      <c r="G522" s="13"/>
      <c r="H522" s="13"/>
      <c r="I522" s="13"/>
      <c r="J522" s="29"/>
      <c r="K522" s="4"/>
      <c r="L522" s="1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149"/>
      <c r="C523" s="4"/>
      <c r="D523" s="5"/>
      <c r="E523" s="17"/>
      <c r="F523" s="6"/>
      <c r="G523" s="13"/>
      <c r="H523" s="13"/>
      <c r="I523" s="13"/>
      <c r="J523" s="29"/>
      <c r="K523" s="4"/>
      <c r="L523" s="13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149"/>
      <c r="C524" s="4"/>
      <c r="D524" s="5"/>
      <c r="E524" s="17"/>
      <c r="F524" s="6"/>
      <c r="G524" s="13"/>
      <c r="H524" s="13"/>
      <c r="I524" s="13"/>
      <c r="J524" s="29"/>
      <c r="K524" s="4"/>
      <c r="L524" s="13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149"/>
      <c r="C525" s="4"/>
      <c r="D525" s="5"/>
      <c r="E525" s="17"/>
      <c r="F525" s="6"/>
      <c r="G525" s="13"/>
      <c r="H525" s="13"/>
      <c r="I525" s="13"/>
      <c r="J525" s="29"/>
      <c r="K525" s="4"/>
      <c r="L525" s="13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149"/>
      <c r="C526" s="4"/>
      <c r="D526" s="5"/>
      <c r="E526" s="17"/>
      <c r="F526" s="6"/>
      <c r="G526" s="13"/>
      <c r="H526" s="13"/>
      <c r="I526" s="13"/>
      <c r="J526" s="29"/>
      <c r="K526" s="4"/>
      <c r="L526" s="13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149"/>
      <c r="C527" s="4"/>
      <c r="D527" s="5"/>
      <c r="E527" s="17"/>
      <c r="F527" s="6"/>
      <c r="G527" s="13"/>
      <c r="H527" s="13"/>
      <c r="I527" s="13"/>
      <c r="J527" s="29"/>
      <c r="K527" s="4"/>
      <c r="L527" s="13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149"/>
      <c r="C528" s="4"/>
      <c r="D528" s="5"/>
      <c r="E528" s="17"/>
      <c r="F528" s="6"/>
      <c r="G528" s="13"/>
      <c r="H528" s="13"/>
      <c r="I528" s="13"/>
      <c r="J528" s="29"/>
      <c r="K528" s="4"/>
      <c r="L528" s="13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149"/>
      <c r="C529" s="4"/>
      <c r="D529" s="5"/>
      <c r="E529" s="17"/>
      <c r="F529" s="6"/>
      <c r="G529" s="13"/>
      <c r="H529" s="13"/>
      <c r="I529" s="13"/>
      <c r="J529" s="29"/>
      <c r="K529" s="4"/>
      <c r="L529" s="13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149"/>
      <c r="C530" s="4"/>
      <c r="D530" s="5"/>
      <c r="E530" s="17"/>
      <c r="F530" s="6"/>
      <c r="G530" s="13"/>
      <c r="H530" s="13"/>
      <c r="I530" s="13"/>
      <c r="J530" s="29"/>
      <c r="K530" s="4"/>
      <c r="L530" s="13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149"/>
      <c r="C531" s="4"/>
      <c r="D531" s="5"/>
      <c r="E531" s="17"/>
      <c r="F531" s="6"/>
      <c r="G531" s="13"/>
      <c r="H531" s="13"/>
      <c r="I531" s="13"/>
      <c r="J531" s="29"/>
      <c r="K531" s="4"/>
      <c r="L531" s="13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149"/>
      <c r="C532" s="4"/>
      <c r="D532" s="5"/>
      <c r="E532" s="17"/>
      <c r="F532" s="6"/>
      <c r="G532" s="13"/>
      <c r="H532" s="13"/>
      <c r="I532" s="13"/>
      <c r="J532" s="29"/>
      <c r="K532" s="4"/>
      <c r="L532" s="13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149"/>
      <c r="C533" s="4"/>
      <c r="D533" s="5"/>
      <c r="E533" s="17"/>
      <c r="F533" s="6"/>
      <c r="G533" s="13"/>
      <c r="H533" s="13"/>
      <c r="I533" s="13"/>
      <c r="J533" s="29"/>
      <c r="K533" s="4"/>
      <c r="L533" s="13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149"/>
      <c r="C534" s="4"/>
      <c r="D534" s="5"/>
      <c r="E534" s="17"/>
      <c r="F534" s="6"/>
      <c r="G534" s="13"/>
      <c r="H534" s="13"/>
      <c r="I534" s="13"/>
      <c r="J534" s="29"/>
      <c r="K534" s="4"/>
      <c r="L534" s="13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149"/>
      <c r="C535" s="4"/>
      <c r="D535" s="5"/>
      <c r="E535" s="17"/>
      <c r="F535" s="6"/>
      <c r="G535" s="13"/>
      <c r="H535" s="13"/>
      <c r="I535" s="13"/>
      <c r="J535" s="29"/>
      <c r="K535" s="4"/>
      <c r="L535" s="13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149"/>
      <c r="C536" s="4"/>
      <c r="D536" s="5"/>
      <c r="E536" s="17"/>
      <c r="F536" s="6"/>
      <c r="G536" s="13"/>
      <c r="H536" s="13"/>
      <c r="I536" s="13"/>
      <c r="J536" s="29"/>
      <c r="K536" s="4"/>
      <c r="L536" s="13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149"/>
      <c r="C537" s="4"/>
      <c r="D537" s="5"/>
      <c r="E537" s="17"/>
      <c r="F537" s="6"/>
      <c r="G537" s="13"/>
      <c r="H537" s="13"/>
      <c r="I537" s="13"/>
      <c r="J537" s="29"/>
      <c r="K537" s="4"/>
      <c r="L537" s="13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149"/>
      <c r="C538" s="4"/>
      <c r="D538" s="5"/>
      <c r="E538" s="17"/>
      <c r="F538" s="6"/>
      <c r="G538" s="13"/>
      <c r="H538" s="13"/>
      <c r="I538" s="13"/>
      <c r="J538" s="29"/>
      <c r="K538" s="4"/>
      <c r="L538" s="13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149"/>
      <c r="C539" s="4"/>
      <c r="D539" s="5"/>
      <c r="E539" s="17"/>
      <c r="F539" s="6"/>
      <c r="G539" s="13"/>
      <c r="H539" s="13"/>
      <c r="I539" s="13"/>
      <c r="J539" s="29"/>
      <c r="K539" s="4"/>
      <c r="L539" s="13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149"/>
      <c r="C540" s="4"/>
      <c r="D540" s="5"/>
      <c r="E540" s="17"/>
      <c r="F540" s="6"/>
      <c r="G540" s="13"/>
      <c r="H540" s="13"/>
      <c r="I540" s="13"/>
      <c r="J540" s="29"/>
      <c r="K540" s="4"/>
      <c r="L540" s="13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149"/>
      <c r="C541" s="4"/>
      <c r="D541" s="5"/>
      <c r="E541" s="17"/>
      <c r="F541" s="6"/>
      <c r="G541" s="13"/>
      <c r="H541" s="13"/>
      <c r="I541" s="13"/>
      <c r="J541" s="29"/>
      <c r="K541" s="4"/>
      <c r="L541" s="1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149"/>
      <c r="C542" s="4"/>
      <c r="D542" s="5"/>
      <c r="E542" s="17"/>
      <c r="F542" s="6"/>
      <c r="G542" s="13"/>
      <c r="H542" s="13"/>
      <c r="I542" s="13"/>
      <c r="J542" s="29"/>
      <c r="K542" s="4"/>
      <c r="L542" s="13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149"/>
      <c r="C543" s="4"/>
      <c r="D543" s="5"/>
      <c r="E543" s="17"/>
      <c r="F543" s="6"/>
      <c r="G543" s="13"/>
      <c r="H543" s="13"/>
      <c r="I543" s="13"/>
      <c r="J543" s="29"/>
      <c r="K543" s="4"/>
      <c r="L543" s="13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149"/>
      <c r="C544" s="4"/>
      <c r="D544" s="5"/>
      <c r="E544" s="17"/>
      <c r="F544" s="6"/>
      <c r="G544" s="13"/>
      <c r="H544" s="13"/>
      <c r="I544" s="13"/>
      <c r="J544" s="29"/>
      <c r="K544" s="4"/>
      <c r="L544" s="13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149"/>
      <c r="C545" s="4"/>
      <c r="D545" s="5"/>
      <c r="E545" s="17"/>
      <c r="F545" s="6"/>
      <c r="G545" s="13"/>
      <c r="H545" s="13"/>
      <c r="I545" s="13"/>
      <c r="J545" s="29"/>
      <c r="K545" s="4"/>
      <c r="L545" s="13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149"/>
      <c r="C546" s="4"/>
      <c r="D546" s="5"/>
      <c r="E546" s="17"/>
      <c r="F546" s="6"/>
      <c r="G546" s="13"/>
      <c r="H546" s="13"/>
      <c r="I546" s="13"/>
      <c r="J546" s="29"/>
      <c r="K546" s="4"/>
      <c r="L546" s="13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149"/>
      <c r="C547" s="4"/>
      <c r="D547" s="5"/>
      <c r="E547" s="17"/>
      <c r="F547" s="6"/>
      <c r="G547" s="13"/>
      <c r="H547" s="13"/>
      <c r="I547" s="13"/>
      <c r="J547" s="29"/>
      <c r="K547" s="4"/>
      <c r="L547" s="13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149"/>
      <c r="C548" s="4"/>
      <c r="D548" s="5"/>
      <c r="E548" s="17"/>
      <c r="F548" s="6"/>
      <c r="G548" s="13"/>
      <c r="H548" s="13"/>
      <c r="I548" s="13"/>
      <c r="J548" s="29"/>
      <c r="K548" s="4"/>
      <c r="L548" s="13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149"/>
      <c r="C549" s="4"/>
      <c r="D549" s="5"/>
      <c r="E549" s="17"/>
      <c r="F549" s="6"/>
      <c r="G549" s="13"/>
      <c r="H549" s="13"/>
      <c r="I549" s="13"/>
      <c r="J549" s="29"/>
      <c r="K549" s="4"/>
      <c r="L549" s="13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149"/>
      <c r="C550" s="4"/>
      <c r="D550" s="5"/>
      <c r="E550" s="17"/>
      <c r="F550" s="6"/>
      <c r="G550" s="13"/>
      <c r="H550" s="13"/>
      <c r="I550" s="13"/>
      <c r="J550" s="29"/>
      <c r="K550" s="4"/>
      <c r="L550" s="13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149"/>
      <c r="C551" s="4"/>
      <c r="D551" s="5"/>
      <c r="E551" s="17"/>
      <c r="F551" s="6"/>
      <c r="G551" s="13"/>
      <c r="H551" s="13"/>
      <c r="I551" s="13"/>
      <c r="J551" s="29"/>
      <c r="K551" s="4"/>
      <c r="L551" s="1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149"/>
      <c r="C552" s="4"/>
      <c r="D552" s="5"/>
      <c r="E552" s="17"/>
      <c r="F552" s="6"/>
      <c r="G552" s="13"/>
      <c r="H552" s="13"/>
      <c r="I552" s="13"/>
      <c r="J552" s="29"/>
      <c r="K552" s="4"/>
      <c r="L552" s="13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149"/>
      <c r="C553" s="4"/>
      <c r="D553" s="5"/>
      <c r="E553" s="17"/>
      <c r="F553" s="6"/>
      <c r="G553" s="13"/>
      <c r="H553" s="13"/>
      <c r="I553" s="13"/>
      <c r="J553" s="29"/>
      <c r="K553" s="4"/>
      <c r="L553" s="13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149"/>
      <c r="C554" s="4"/>
      <c r="D554" s="5"/>
      <c r="E554" s="17"/>
      <c r="F554" s="6"/>
      <c r="G554" s="13"/>
      <c r="H554" s="13"/>
      <c r="I554" s="13"/>
      <c r="J554" s="29"/>
      <c r="K554" s="4"/>
      <c r="L554" s="13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149"/>
      <c r="C555" s="4"/>
      <c r="D555" s="5"/>
      <c r="E555" s="17"/>
      <c r="F555" s="6"/>
      <c r="G555" s="13"/>
      <c r="H555" s="13"/>
      <c r="I555" s="13"/>
      <c r="J555" s="29"/>
      <c r="K555" s="4"/>
      <c r="L555" s="13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149"/>
      <c r="C556" s="4"/>
      <c r="D556" s="5"/>
      <c r="E556" s="17"/>
      <c r="F556" s="6"/>
      <c r="G556" s="13"/>
      <c r="H556" s="13"/>
      <c r="I556" s="13"/>
      <c r="J556" s="29"/>
      <c r="K556" s="4"/>
      <c r="L556" s="13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149"/>
      <c r="C557" s="4"/>
      <c r="D557" s="5"/>
      <c r="E557" s="17"/>
      <c r="F557" s="6"/>
      <c r="G557" s="13"/>
      <c r="H557" s="13"/>
      <c r="I557" s="13"/>
      <c r="J557" s="29"/>
      <c r="K557" s="4"/>
      <c r="L557" s="13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149"/>
      <c r="C558" s="4"/>
      <c r="D558" s="5"/>
      <c r="E558" s="17"/>
      <c r="F558" s="6"/>
      <c r="G558" s="13"/>
      <c r="H558" s="13"/>
      <c r="I558" s="13"/>
      <c r="J558" s="29"/>
      <c r="K558" s="4"/>
      <c r="L558" s="13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149"/>
      <c r="C559" s="4"/>
      <c r="D559" s="5"/>
      <c r="E559" s="17"/>
      <c r="F559" s="6"/>
      <c r="G559" s="13"/>
      <c r="H559" s="13"/>
      <c r="I559" s="13"/>
      <c r="J559" s="29"/>
      <c r="K559" s="4"/>
      <c r="L559" s="13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149"/>
      <c r="C560" s="4"/>
      <c r="D560" s="5"/>
      <c r="E560" s="17"/>
      <c r="F560" s="6"/>
      <c r="G560" s="13"/>
      <c r="H560" s="13"/>
      <c r="I560" s="13"/>
      <c r="J560" s="29"/>
      <c r="K560" s="4"/>
      <c r="L560" s="13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149"/>
      <c r="C561" s="4"/>
      <c r="D561" s="5"/>
      <c r="E561" s="17"/>
      <c r="F561" s="6"/>
      <c r="G561" s="13"/>
      <c r="H561" s="13"/>
      <c r="I561" s="13"/>
      <c r="J561" s="29"/>
      <c r="K561" s="4"/>
      <c r="L561" s="1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149"/>
      <c r="C562" s="4"/>
      <c r="D562" s="5"/>
      <c r="E562" s="17"/>
      <c r="F562" s="6"/>
      <c r="G562" s="13"/>
      <c r="H562" s="13"/>
      <c r="I562" s="13"/>
      <c r="J562" s="29"/>
      <c r="K562" s="4"/>
      <c r="L562" s="13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149"/>
      <c r="C563" s="4"/>
      <c r="D563" s="5"/>
      <c r="E563" s="17"/>
      <c r="F563" s="6"/>
      <c r="G563" s="13"/>
      <c r="H563" s="13"/>
      <c r="I563" s="13"/>
      <c r="J563" s="29"/>
      <c r="K563" s="4"/>
      <c r="L563" s="13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149"/>
      <c r="C564" s="4"/>
      <c r="D564" s="5"/>
      <c r="E564" s="17"/>
      <c r="F564" s="6"/>
      <c r="G564" s="13"/>
      <c r="H564" s="13"/>
      <c r="I564" s="13"/>
      <c r="J564" s="29"/>
      <c r="K564" s="4"/>
      <c r="L564" s="13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149"/>
      <c r="C565" s="4"/>
      <c r="D565" s="5"/>
      <c r="E565" s="17"/>
      <c r="F565" s="6"/>
      <c r="G565" s="13"/>
      <c r="H565" s="13"/>
      <c r="I565" s="13"/>
      <c r="J565" s="29"/>
      <c r="K565" s="4"/>
      <c r="L565" s="13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149"/>
      <c r="C566" s="4"/>
      <c r="D566" s="5"/>
      <c r="E566" s="17"/>
      <c r="F566" s="6"/>
      <c r="G566" s="13"/>
      <c r="H566" s="13"/>
      <c r="I566" s="13"/>
      <c r="J566" s="29"/>
      <c r="K566" s="4"/>
      <c r="L566" s="13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149"/>
      <c r="C567" s="4"/>
      <c r="D567" s="5"/>
      <c r="E567" s="17"/>
      <c r="F567" s="6"/>
      <c r="G567" s="13"/>
      <c r="H567" s="13"/>
      <c r="I567" s="13"/>
      <c r="J567" s="29"/>
      <c r="K567" s="4"/>
      <c r="L567" s="13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149"/>
      <c r="C568" s="4"/>
      <c r="D568" s="5"/>
      <c r="E568" s="17"/>
      <c r="F568" s="6"/>
      <c r="G568" s="13"/>
      <c r="H568" s="13"/>
      <c r="I568" s="13"/>
      <c r="J568" s="29"/>
      <c r="K568" s="4"/>
      <c r="L568" s="13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149"/>
      <c r="C569" s="4"/>
      <c r="D569" s="5"/>
      <c r="E569" s="17"/>
      <c r="F569" s="6"/>
      <c r="G569" s="13"/>
      <c r="H569" s="13"/>
      <c r="I569" s="13"/>
      <c r="J569" s="29"/>
      <c r="K569" s="4"/>
      <c r="L569" s="13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149"/>
      <c r="C570" s="4"/>
      <c r="D570" s="5"/>
      <c r="E570" s="17"/>
      <c r="F570" s="6"/>
      <c r="G570" s="13"/>
      <c r="H570" s="13"/>
      <c r="I570" s="13"/>
      <c r="J570" s="29"/>
      <c r="K570" s="4"/>
      <c r="L570" s="13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149"/>
      <c r="C571" s="4"/>
      <c r="D571" s="5"/>
      <c r="E571" s="17"/>
      <c r="F571" s="6"/>
      <c r="G571" s="13"/>
      <c r="H571" s="13"/>
      <c r="I571" s="13"/>
      <c r="J571" s="29"/>
      <c r="K571" s="4"/>
      <c r="L571" s="13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149"/>
      <c r="C572" s="4"/>
      <c r="D572" s="5"/>
      <c r="E572" s="17"/>
      <c r="F572" s="6"/>
      <c r="G572" s="13"/>
      <c r="H572" s="13"/>
      <c r="I572" s="13"/>
      <c r="J572" s="29"/>
      <c r="K572" s="4"/>
      <c r="L572" s="1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149"/>
      <c r="C573" s="4"/>
      <c r="D573" s="5"/>
      <c r="E573" s="17"/>
      <c r="F573" s="6"/>
      <c r="G573" s="13"/>
      <c r="H573" s="13"/>
      <c r="I573" s="13"/>
      <c r="J573" s="29"/>
      <c r="K573" s="4"/>
      <c r="L573" s="1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149"/>
      <c r="C574" s="4"/>
      <c r="D574" s="5"/>
      <c r="E574" s="17"/>
      <c r="F574" s="6"/>
      <c r="G574" s="13"/>
      <c r="H574" s="13"/>
      <c r="I574" s="13"/>
      <c r="J574" s="29"/>
      <c r="K574" s="4"/>
      <c r="L574" s="13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149"/>
      <c r="C575" s="4"/>
      <c r="D575" s="5"/>
      <c r="E575" s="17"/>
      <c r="F575" s="6"/>
      <c r="G575" s="13"/>
      <c r="H575" s="13"/>
      <c r="I575" s="13"/>
      <c r="J575" s="29"/>
      <c r="K575" s="4"/>
      <c r="L575" s="13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149"/>
      <c r="C576" s="4"/>
      <c r="D576" s="5"/>
      <c r="E576" s="17"/>
      <c r="F576" s="6"/>
      <c r="G576" s="13"/>
      <c r="H576" s="13"/>
      <c r="I576" s="13"/>
      <c r="J576" s="29"/>
      <c r="K576" s="4"/>
      <c r="L576" s="13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149"/>
      <c r="C577" s="4"/>
      <c r="D577" s="5"/>
      <c r="E577" s="17"/>
      <c r="F577" s="6"/>
      <c r="G577" s="13"/>
      <c r="H577" s="13"/>
      <c r="I577" s="13"/>
      <c r="J577" s="29"/>
      <c r="K577" s="4"/>
      <c r="L577" s="13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149"/>
      <c r="C578" s="4"/>
      <c r="D578" s="5"/>
      <c r="E578" s="17"/>
      <c r="F578" s="6"/>
      <c r="G578" s="13"/>
      <c r="H578" s="13"/>
      <c r="I578" s="13"/>
      <c r="J578" s="29"/>
      <c r="K578" s="4"/>
      <c r="L578" s="13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149"/>
      <c r="C579" s="4"/>
      <c r="D579" s="5"/>
      <c r="E579" s="17"/>
      <c r="F579" s="6"/>
      <c r="G579" s="13"/>
      <c r="H579" s="13"/>
      <c r="I579" s="13"/>
      <c r="J579" s="29"/>
      <c r="K579" s="4"/>
      <c r="L579" s="13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149"/>
      <c r="C580" s="4"/>
      <c r="D580" s="5"/>
      <c r="E580" s="17"/>
      <c r="F580" s="6"/>
      <c r="G580" s="13"/>
      <c r="H580" s="13"/>
      <c r="I580" s="13"/>
      <c r="J580" s="29"/>
      <c r="K580" s="4"/>
      <c r="L580" s="13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149"/>
      <c r="C581" s="4"/>
      <c r="D581" s="5"/>
      <c r="E581" s="17"/>
      <c r="F581" s="6"/>
      <c r="G581" s="13"/>
      <c r="H581" s="13"/>
      <c r="I581" s="13"/>
      <c r="J581" s="29"/>
      <c r="K581" s="4"/>
      <c r="L581" s="13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149"/>
      <c r="C582" s="4"/>
      <c r="D582" s="5"/>
      <c r="E582" s="17"/>
      <c r="F582" s="6"/>
      <c r="G582" s="13"/>
      <c r="H582" s="13"/>
      <c r="I582" s="13"/>
      <c r="J582" s="29"/>
      <c r="K582" s="4"/>
      <c r="L582" s="13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149"/>
      <c r="C583" s="4"/>
      <c r="D583" s="5"/>
      <c r="E583" s="17"/>
      <c r="F583" s="6"/>
      <c r="G583" s="13"/>
      <c r="H583" s="13"/>
      <c r="I583" s="13"/>
      <c r="J583" s="29"/>
      <c r="K583" s="4"/>
      <c r="L583" s="13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149"/>
      <c r="C584" s="4"/>
      <c r="D584" s="5"/>
      <c r="E584" s="17"/>
      <c r="F584" s="6"/>
      <c r="G584" s="13"/>
      <c r="H584" s="13"/>
      <c r="I584" s="13"/>
      <c r="J584" s="29"/>
      <c r="K584" s="4"/>
      <c r="L584" s="1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149"/>
      <c r="C585" s="4"/>
      <c r="D585" s="5"/>
      <c r="E585" s="17"/>
      <c r="F585" s="6"/>
      <c r="G585" s="13"/>
      <c r="H585" s="13"/>
      <c r="I585" s="13"/>
      <c r="J585" s="29"/>
      <c r="K585" s="4"/>
      <c r="L585" s="1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149"/>
      <c r="C586" s="4"/>
      <c r="D586" s="5"/>
      <c r="E586" s="17"/>
      <c r="F586" s="6"/>
      <c r="G586" s="13"/>
      <c r="H586" s="13"/>
      <c r="I586" s="13"/>
      <c r="J586" s="29"/>
      <c r="K586" s="4"/>
      <c r="L586" s="13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149"/>
      <c r="C587" s="4"/>
      <c r="D587" s="5"/>
      <c r="E587" s="17"/>
      <c r="F587" s="6"/>
      <c r="G587" s="13"/>
      <c r="H587" s="13"/>
      <c r="I587" s="13"/>
      <c r="J587" s="29"/>
      <c r="K587" s="4"/>
      <c r="L587" s="13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149"/>
      <c r="C588" s="4"/>
      <c r="D588" s="5"/>
      <c r="E588" s="17"/>
      <c r="F588" s="6"/>
      <c r="G588" s="13"/>
      <c r="H588" s="13"/>
      <c r="I588" s="13"/>
      <c r="J588" s="29"/>
      <c r="K588" s="4"/>
      <c r="L588" s="13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149"/>
      <c r="C589" s="4"/>
      <c r="D589" s="5"/>
      <c r="E589" s="17"/>
      <c r="F589" s="6"/>
      <c r="G589" s="13"/>
      <c r="H589" s="13"/>
      <c r="I589" s="13"/>
      <c r="J589" s="29"/>
      <c r="K589" s="4"/>
      <c r="L589" s="13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149"/>
      <c r="C590" s="4"/>
      <c r="D590" s="5"/>
      <c r="E590" s="17"/>
      <c r="F590" s="6"/>
      <c r="G590" s="13"/>
      <c r="H590" s="13"/>
      <c r="I590" s="13"/>
      <c r="J590" s="29"/>
      <c r="K590" s="4"/>
      <c r="L590" s="13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149"/>
      <c r="C591" s="4"/>
      <c r="D591" s="5"/>
      <c r="E591" s="17"/>
      <c r="F591" s="6"/>
      <c r="G591" s="13"/>
      <c r="H591" s="13"/>
      <c r="I591" s="13"/>
      <c r="J591" s="29"/>
      <c r="K591" s="4"/>
      <c r="L591" s="13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149"/>
      <c r="C592" s="4"/>
      <c r="D592" s="5"/>
      <c r="E592" s="17"/>
      <c r="F592" s="6"/>
      <c r="G592" s="13"/>
      <c r="H592" s="13"/>
      <c r="I592" s="13"/>
      <c r="J592" s="29"/>
      <c r="K592" s="4"/>
      <c r="L592" s="13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149"/>
      <c r="C593" s="4"/>
      <c r="D593" s="5"/>
      <c r="E593" s="17"/>
      <c r="F593" s="6"/>
      <c r="G593" s="13"/>
      <c r="H593" s="13"/>
      <c r="I593" s="13"/>
      <c r="J593" s="29"/>
      <c r="K593" s="4"/>
      <c r="L593" s="13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149"/>
      <c r="C594" s="4"/>
      <c r="D594" s="5"/>
      <c r="E594" s="17"/>
      <c r="F594" s="6"/>
      <c r="G594" s="13"/>
      <c r="H594" s="13"/>
      <c r="I594" s="13"/>
      <c r="J594" s="29"/>
      <c r="K594" s="4"/>
      <c r="L594" s="13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149"/>
      <c r="C595" s="4"/>
      <c r="D595" s="5"/>
      <c r="E595" s="17"/>
      <c r="F595" s="6"/>
      <c r="G595" s="13"/>
      <c r="H595" s="13"/>
      <c r="I595" s="13"/>
      <c r="J595" s="29"/>
      <c r="K595" s="4"/>
      <c r="L595" s="1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149"/>
      <c r="C596" s="4"/>
      <c r="D596" s="5"/>
      <c r="E596" s="17"/>
      <c r="F596" s="6"/>
      <c r="G596" s="13"/>
      <c r="H596" s="13"/>
      <c r="I596" s="13"/>
      <c r="J596" s="29"/>
      <c r="K596" s="4"/>
      <c r="L596" s="13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149"/>
      <c r="C597" s="4"/>
      <c r="D597" s="5"/>
      <c r="E597" s="17"/>
      <c r="F597" s="6"/>
      <c r="G597" s="13"/>
      <c r="H597" s="13"/>
      <c r="I597" s="13"/>
      <c r="J597" s="29"/>
      <c r="K597" s="4"/>
      <c r="L597" s="13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149"/>
      <c r="C598" s="4"/>
      <c r="D598" s="5"/>
      <c r="E598" s="17"/>
      <c r="F598" s="6"/>
      <c r="G598" s="13"/>
      <c r="H598" s="13"/>
      <c r="I598" s="13"/>
      <c r="J598" s="29"/>
      <c r="K598" s="4"/>
      <c r="L598" s="13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149"/>
      <c r="C599" s="4"/>
      <c r="D599" s="5"/>
      <c r="E599" s="17"/>
      <c r="F599" s="6"/>
      <c r="G599" s="13"/>
      <c r="H599" s="13"/>
      <c r="I599" s="13"/>
      <c r="J599" s="29"/>
      <c r="K599" s="4"/>
      <c r="L599" s="13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149"/>
      <c r="C600" s="4"/>
      <c r="D600" s="5"/>
      <c r="E600" s="17"/>
      <c r="F600" s="6"/>
      <c r="G600" s="13"/>
      <c r="H600" s="13"/>
      <c r="I600" s="13"/>
      <c r="J600" s="29"/>
      <c r="K600" s="4"/>
      <c r="L600" s="13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149"/>
      <c r="C601" s="4"/>
      <c r="D601" s="5"/>
      <c r="E601" s="17"/>
      <c r="F601" s="6"/>
      <c r="G601" s="13"/>
      <c r="H601" s="13"/>
      <c r="I601" s="13"/>
      <c r="J601" s="29"/>
      <c r="K601" s="4"/>
      <c r="L601" s="13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149"/>
      <c r="C602" s="4"/>
      <c r="D602" s="5"/>
      <c r="E602" s="17"/>
      <c r="F602" s="6"/>
      <c r="G602" s="13"/>
      <c r="H602" s="13"/>
      <c r="I602" s="13"/>
      <c r="J602" s="29"/>
      <c r="K602" s="4"/>
      <c r="L602" s="1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149"/>
      <c r="C603" s="4"/>
      <c r="D603" s="5"/>
      <c r="E603" s="17"/>
      <c r="F603" s="6"/>
      <c r="G603" s="13"/>
      <c r="H603" s="13"/>
      <c r="I603" s="13"/>
      <c r="J603" s="29"/>
      <c r="K603" s="4"/>
      <c r="L603" s="13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149"/>
      <c r="C604" s="4"/>
      <c r="D604" s="5"/>
      <c r="E604" s="17"/>
      <c r="F604" s="6"/>
      <c r="G604" s="13"/>
      <c r="H604" s="13"/>
      <c r="I604" s="13"/>
      <c r="J604" s="29"/>
      <c r="K604" s="4"/>
      <c r="L604" s="13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149"/>
      <c r="C605" s="4"/>
      <c r="D605" s="5"/>
      <c r="E605" s="17"/>
      <c r="F605" s="6"/>
      <c r="G605" s="13"/>
      <c r="H605" s="13"/>
      <c r="I605" s="13"/>
      <c r="J605" s="29"/>
      <c r="K605" s="4"/>
      <c r="L605" s="13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149"/>
      <c r="C606" s="4"/>
      <c r="D606" s="5"/>
      <c r="E606" s="17"/>
      <c r="F606" s="6"/>
      <c r="G606" s="13"/>
      <c r="H606" s="13"/>
      <c r="I606" s="13"/>
      <c r="J606" s="29"/>
      <c r="K606" s="4"/>
      <c r="L606" s="13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149"/>
      <c r="C607" s="4"/>
      <c r="D607" s="5"/>
      <c r="E607" s="17"/>
      <c r="F607" s="6"/>
      <c r="G607" s="13"/>
      <c r="H607" s="13"/>
      <c r="I607" s="13"/>
      <c r="J607" s="29"/>
      <c r="K607" s="4"/>
      <c r="L607" s="13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149"/>
      <c r="C608" s="4"/>
      <c r="D608" s="5"/>
      <c r="E608" s="17"/>
      <c r="F608" s="6"/>
      <c r="G608" s="13"/>
      <c r="H608" s="13"/>
      <c r="I608" s="13"/>
      <c r="J608" s="29"/>
      <c r="K608" s="4"/>
      <c r="L608" s="13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149"/>
      <c r="C609" s="4"/>
      <c r="D609" s="5"/>
      <c r="E609" s="17"/>
      <c r="F609" s="6"/>
      <c r="G609" s="13"/>
      <c r="H609" s="13"/>
      <c r="I609" s="13"/>
      <c r="J609" s="29"/>
      <c r="K609" s="4"/>
      <c r="L609" s="1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149"/>
      <c r="C610" s="4"/>
      <c r="D610" s="5"/>
      <c r="E610" s="17"/>
      <c r="F610" s="6"/>
      <c r="G610" s="13"/>
      <c r="H610" s="13"/>
      <c r="I610" s="13"/>
      <c r="J610" s="29"/>
      <c r="K610" s="4"/>
      <c r="L610" s="1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149"/>
      <c r="C611" s="4"/>
      <c r="D611" s="5"/>
      <c r="E611" s="17"/>
      <c r="F611" s="6"/>
      <c r="G611" s="13"/>
      <c r="H611" s="13"/>
      <c r="I611" s="13"/>
      <c r="J611" s="29"/>
      <c r="K611" s="4"/>
      <c r="L611" s="1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149"/>
      <c r="C612" s="4"/>
      <c r="D612" s="5"/>
      <c r="E612" s="17"/>
      <c r="F612" s="6"/>
      <c r="G612" s="13"/>
      <c r="H612" s="13"/>
      <c r="I612" s="13"/>
      <c r="J612" s="29"/>
      <c r="K612" s="4"/>
      <c r="L612" s="13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149"/>
      <c r="C613" s="4"/>
      <c r="D613" s="5"/>
      <c r="E613" s="17"/>
      <c r="F613" s="6"/>
      <c r="G613" s="13"/>
      <c r="H613" s="13"/>
      <c r="I613" s="13"/>
      <c r="J613" s="29"/>
      <c r="K613" s="4"/>
      <c r="L613" s="13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149"/>
      <c r="C614" s="4"/>
      <c r="D614" s="5"/>
      <c r="E614" s="17"/>
      <c r="F614" s="6"/>
      <c r="G614" s="13"/>
      <c r="H614" s="13"/>
      <c r="I614" s="13"/>
      <c r="J614" s="29"/>
      <c r="K614" s="4"/>
      <c r="L614" s="13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149"/>
      <c r="C615" s="4"/>
      <c r="D615" s="5"/>
      <c r="E615" s="17"/>
      <c r="F615" s="6"/>
      <c r="G615" s="13"/>
      <c r="H615" s="13"/>
      <c r="I615" s="13"/>
      <c r="J615" s="29"/>
      <c r="K615" s="4"/>
      <c r="L615" s="13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149"/>
      <c r="C616" s="4"/>
      <c r="D616" s="5"/>
      <c r="E616" s="17"/>
      <c r="F616" s="6"/>
      <c r="G616" s="13"/>
      <c r="H616" s="13"/>
      <c r="I616" s="13"/>
      <c r="J616" s="29"/>
      <c r="K616" s="4"/>
      <c r="L616" s="13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149"/>
      <c r="C617" s="4"/>
      <c r="D617" s="5"/>
      <c r="E617" s="17"/>
      <c r="F617" s="6"/>
      <c r="G617" s="13"/>
      <c r="H617" s="13"/>
      <c r="I617" s="13"/>
      <c r="J617" s="29"/>
      <c r="K617" s="4"/>
      <c r="L617" s="13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149"/>
      <c r="C618" s="4"/>
      <c r="D618" s="5"/>
      <c r="E618" s="17"/>
      <c r="F618" s="6"/>
      <c r="G618" s="13"/>
      <c r="H618" s="13"/>
      <c r="I618" s="13"/>
      <c r="J618" s="29"/>
      <c r="K618" s="4"/>
      <c r="L618" s="13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149"/>
      <c r="C619" s="4"/>
      <c r="D619" s="5"/>
      <c r="E619" s="17"/>
      <c r="F619" s="6"/>
      <c r="G619" s="13"/>
      <c r="H619" s="13"/>
      <c r="I619" s="13"/>
      <c r="J619" s="29"/>
      <c r="K619" s="4"/>
      <c r="L619" s="13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149"/>
      <c r="C620" s="4"/>
      <c r="D620" s="5"/>
      <c r="E620" s="17"/>
      <c r="F620" s="6"/>
      <c r="G620" s="13"/>
      <c r="H620" s="13"/>
      <c r="I620" s="13"/>
      <c r="J620" s="29"/>
      <c r="K620" s="4"/>
      <c r="L620" s="13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149"/>
      <c r="C621" s="4"/>
      <c r="D621" s="5"/>
      <c r="E621" s="17"/>
      <c r="F621" s="6"/>
      <c r="G621" s="13"/>
      <c r="H621" s="13"/>
      <c r="I621" s="13"/>
      <c r="J621" s="29"/>
      <c r="K621" s="4"/>
      <c r="L621" s="1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149"/>
      <c r="C622" s="4"/>
      <c r="D622" s="5"/>
      <c r="E622" s="17"/>
      <c r="F622" s="6"/>
      <c r="G622" s="13"/>
      <c r="H622" s="13"/>
      <c r="I622" s="13"/>
      <c r="J622" s="29"/>
      <c r="K622" s="4"/>
      <c r="L622" s="13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149"/>
      <c r="C623" s="4"/>
      <c r="D623" s="5"/>
      <c r="E623" s="17"/>
      <c r="F623" s="6"/>
      <c r="G623" s="13"/>
      <c r="H623" s="13"/>
      <c r="I623" s="13"/>
      <c r="J623" s="29"/>
      <c r="K623" s="4"/>
      <c r="L623" s="13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149"/>
      <c r="C624" s="4"/>
      <c r="D624" s="5"/>
      <c r="E624" s="17"/>
      <c r="F624" s="6"/>
      <c r="G624" s="13"/>
      <c r="H624" s="13"/>
      <c r="I624" s="13"/>
      <c r="J624" s="29"/>
      <c r="K624" s="4"/>
      <c r="L624" s="13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149"/>
      <c r="C625" s="4"/>
      <c r="D625" s="5"/>
      <c r="E625" s="17"/>
      <c r="F625" s="6"/>
      <c r="G625" s="13"/>
      <c r="H625" s="13"/>
      <c r="I625" s="13"/>
      <c r="J625" s="29"/>
      <c r="K625" s="4"/>
      <c r="L625" s="13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149"/>
      <c r="C626" s="4"/>
      <c r="D626" s="5"/>
      <c r="E626" s="17"/>
      <c r="F626" s="6"/>
      <c r="G626" s="13"/>
      <c r="H626" s="13"/>
      <c r="I626" s="13"/>
      <c r="J626" s="29"/>
      <c r="K626" s="4"/>
      <c r="L626" s="13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149"/>
      <c r="C627" s="4"/>
      <c r="D627" s="5"/>
      <c r="E627" s="17"/>
      <c r="F627" s="6"/>
      <c r="G627" s="13"/>
      <c r="H627" s="13"/>
      <c r="I627" s="13"/>
      <c r="J627" s="29"/>
      <c r="K627" s="4"/>
      <c r="L627" s="13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149"/>
      <c r="C628" s="4"/>
      <c r="D628" s="5"/>
      <c r="E628" s="17"/>
      <c r="F628" s="6"/>
      <c r="G628" s="13"/>
      <c r="H628" s="13"/>
      <c r="I628" s="13"/>
      <c r="J628" s="29"/>
      <c r="K628" s="4"/>
      <c r="L628" s="13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149"/>
      <c r="C629" s="4"/>
      <c r="D629" s="5"/>
      <c r="E629" s="17"/>
      <c r="F629" s="6"/>
      <c r="G629" s="13"/>
      <c r="H629" s="13"/>
      <c r="I629" s="13"/>
      <c r="J629" s="29"/>
      <c r="K629" s="4"/>
      <c r="L629" s="13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149"/>
      <c r="C630" s="4"/>
      <c r="D630" s="5"/>
      <c r="E630" s="17"/>
      <c r="F630" s="6"/>
      <c r="G630" s="13"/>
      <c r="H630" s="13"/>
      <c r="I630" s="13"/>
      <c r="J630" s="29"/>
      <c r="K630" s="4"/>
      <c r="L630" s="13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149"/>
      <c r="C631" s="4"/>
      <c r="D631" s="5"/>
      <c r="E631" s="17"/>
      <c r="F631" s="6"/>
      <c r="G631" s="13"/>
      <c r="H631" s="13"/>
      <c r="I631" s="13"/>
      <c r="J631" s="29"/>
      <c r="K631" s="4"/>
      <c r="L631" s="1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149"/>
      <c r="C632" s="4"/>
      <c r="D632" s="5"/>
      <c r="E632" s="17"/>
      <c r="F632" s="6"/>
      <c r="G632" s="13"/>
      <c r="H632" s="13"/>
      <c r="I632" s="13"/>
      <c r="J632" s="29"/>
      <c r="K632" s="4"/>
      <c r="L632" s="1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149"/>
      <c r="C633" s="4"/>
      <c r="D633" s="5"/>
      <c r="E633" s="17"/>
      <c r="F633" s="6"/>
      <c r="G633" s="13"/>
      <c r="H633" s="13"/>
      <c r="I633" s="13"/>
      <c r="J633" s="29"/>
      <c r="K633" s="4"/>
      <c r="L633" s="13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149"/>
      <c r="C634" s="4"/>
      <c r="D634" s="5"/>
      <c r="E634" s="17"/>
      <c r="F634" s="6"/>
      <c r="G634" s="13"/>
      <c r="H634" s="13"/>
      <c r="I634" s="13"/>
      <c r="J634" s="29"/>
      <c r="K634" s="4"/>
      <c r="L634" s="13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149"/>
      <c r="C635" s="4"/>
      <c r="D635" s="5"/>
      <c r="E635" s="17"/>
      <c r="F635" s="6"/>
      <c r="G635" s="13"/>
      <c r="H635" s="13"/>
      <c r="I635" s="13"/>
      <c r="J635" s="29"/>
      <c r="K635" s="4"/>
      <c r="L635" s="13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149"/>
      <c r="C636" s="4"/>
      <c r="D636" s="5"/>
      <c r="E636" s="17"/>
      <c r="F636" s="6"/>
      <c r="G636" s="13"/>
      <c r="H636" s="13"/>
      <c r="I636" s="13"/>
      <c r="J636" s="29"/>
      <c r="K636" s="4"/>
      <c r="L636" s="13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149"/>
      <c r="C637" s="4"/>
      <c r="D637" s="5"/>
      <c r="E637" s="17"/>
      <c r="F637" s="6"/>
      <c r="G637" s="13"/>
      <c r="H637" s="13"/>
      <c r="I637" s="13"/>
      <c r="J637" s="29"/>
      <c r="K637" s="4"/>
      <c r="L637" s="13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149"/>
      <c r="C638" s="4"/>
      <c r="D638" s="5"/>
      <c r="E638" s="17"/>
      <c r="F638" s="6"/>
      <c r="G638" s="13"/>
      <c r="H638" s="13"/>
      <c r="I638" s="13"/>
      <c r="J638" s="29"/>
      <c r="K638" s="4"/>
      <c r="L638" s="13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149"/>
      <c r="C639" s="4"/>
      <c r="D639" s="5"/>
      <c r="E639" s="17"/>
      <c r="F639" s="6"/>
      <c r="G639" s="13"/>
      <c r="H639" s="13"/>
      <c r="I639" s="13"/>
      <c r="J639" s="29"/>
      <c r="K639" s="4"/>
      <c r="L639" s="13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149"/>
      <c r="C640" s="4"/>
      <c r="D640" s="5"/>
      <c r="E640" s="17"/>
      <c r="F640" s="6"/>
      <c r="G640" s="13"/>
      <c r="H640" s="13"/>
      <c r="I640" s="13"/>
      <c r="J640" s="29"/>
      <c r="K640" s="4"/>
      <c r="L640" s="13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149"/>
      <c r="C641" s="4"/>
      <c r="D641" s="5"/>
      <c r="E641" s="17"/>
      <c r="F641" s="6"/>
      <c r="G641" s="13"/>
      <c r="H641" s="13"/>
      <c r="I641" s="13"/>
      <c r="J641" s="29"/>
      <c r="K641" s="4"/>
      <c r="L641" s="13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149"/>
      <c r="C642" s="4"/>
      <c r="D642" s="5"/>
      <c r="E642" s="17"/>
      <c r="F642" s="6"/>
      <c r="G642" s="13"/>
      <c r="H642" s="13"/>
      <c r="I642" s="13"/>
      <c r="J642" s="29"/>
      <c r="K642" s="4"/>
      <c r="L642" s="13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149"/>
      <c r="C643" s="4"/>
      <c r="D643" s="5"/>
      <c r="E643" s="17"/>
      <c r="F643" s="6"/>
      <c r="G643" s="13"/>
      <c r="H643" s="13"/>
      <c r="I643" s="13"/>
      <c r="J643" s="29"/>
      <c r="K643" s="4"/>
      <c r="L643" s="13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149"/>
      <c r="C644" s="4"/>
      <c r="D644" s="5"/>
      <c r="E644" s="17"/>
      <c r="F644" s="6"/>
      <c r="G644" s="13"/>
      <c r="H644" s="13"/>
      <c r="I644" s="13"/>
      <c r="J644" s="29"/>
      <c r="K644" s="4"/>
      <c r="L644" s="13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149"/>
      <c r="C645" s="4"/>
      <c r="D645" s="5"/>
      <c r="E645" s="17"/>
      <c r="F645" s="6"/>
      <c r="G645" s="13"/>
      <c r="H645" s="13"/>
      <c r="I645" s="13"/>
      <c r="J645" s="29"/>
      <c r="K645" s="4"/>
      <c r="L645" s="13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149"/>
      <c r="C646" s="4"/>
      <c r="D646" s="5"/>
      <c r="E646" s="17"/>
      <c r="F646" s="6"/>
      <c r="G646" s="13"/>
      <c r="H646" s="13"/>
      <c r="I646" s="13"/>
      <c r="J646" s="29"/>
      <c r="K646" s="4"/>
      <c r="L646" s="13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149"/>
      <c r="C647" s="4"/>
      <c r="D647" s="5"/>
      <c r="E647" s="17"/>
      <c r="F647" s="6"/>
      <c r="G647" s="13"/>
      <c r="H647" s="13"/>
      <c r="I647" s="13"/>
      <c r="J647" s="29"/>
      <c r="K647" s="4"/>
      <c r="L647" s="13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149"/>
      <c r="C648" s="4"/>
      <c r="D648" s="5"/>
      <c r="E648" s="17"/>
      <c r="F648" s="6"/>
      <c r="G648" s="13"/>
      <c r="H648" s="13"/>
      <c r="I648" s="13"/>
      <c r="J648" s="29"/>
      <c r="K648" s="4"/>
      <c r="L648" s="13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149"/>
      <c r="C649" s="4"/>
      <c r="D649" s="5"/>
      <c r="E649" s="17"/>
      <c r="F649" s="6"/>
      <c r="G649" s="13"/>
      <c r="H649" s="13"/>
      <c r="I649" s="13"/>
      <c r="J649" s="29"/>
      <c r="K649" s="4"/>
      <c r="L649" s="13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149"/>
      <c r="C650" s="4"/>
      <c r="D650" s="5"/>
      <c r="E650" s="17"/>
      <c r="F650" s="6"/>
      <c r="G650" s="13"/>
      <c r="H650" s="13"/>
      <c r="I650" s="13"/>
      <c r="J650" s="29"/>
      <c r="K650" s="4"/>
      <c r="L650" s="13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149"/>
      <c r="C651" s="4"/>
      <c r="D651" s="5"/>
      <c r="E651" s="17"/>
      <c r="F651" s="6"/>
      <c r="G651" s="13"/>
      <c r="H651" s="13"/>
      <c r="I651" s="13"/>
      <c r="J651" s="29"/>
      <c r="K651" s="4"/>
      <c r="L651" s="1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149"/>
      <c r="C652" s="4"/>
      <c r="D652" s="5"/>
      <c r="E652" s="17"/>
      <c r="F652" s="6"/>
      <c r="G652" s="13"/>
      <c r="H652" s="13"/>
      <c r="I652" s="13"/>
      <c r="J652" s="29"/>
      <c r="K652" s="4"/>
      <c r="L652" s="13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149"/>
      <c r="C653" s="4"/>
      <c r="D653" s="5"/>
      <c r="E653" s="17"/>
      <c r="F653" s="6"/>
      <c r="G653" s="13"/>
      <c r="H653" s="13"/>
      <c r="I653" s="13"/>
      <c r="J653" s="29"/>
      <c r="K653" s="4"/>
      <c r="L653" s="13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149"/>
      <c r="C654" s="4"/>
      <c r="D654" s="5"/>
      <c r="E654" s="17"/>
      <c r="F654" s="6"/>
      <c r="G654" s="13"/>
      <c r="H654" s="13"/>
      <c r="I654" s="13"/>
      <c r="J654" s="29"/>
      <c r="K654" s="4"/>
      <c r="L654" s="13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149"/>
      <c r="C655" s="4"/>
      <c r="D655" s="5"/>
      <c r="E655" s="17"/>
      <c r="F655" s="6"/>
      <c r="G655" s="13"/>
      <c r="H655" s="13"/>
      <c r="I655" s="13"/>
      <c r="J655" s="29"/>
      <c r="K655" s="4"/>
      <c r="L655" s="13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149"/>
      <c r="C656" s="4"/>
      <c r="D656" s="5"/>
      <c r="E656" s="17"/>
      <c r="F656" s="6"/>
      <c r="G656" s="13"/>
      <c r="H656" s="13"/>
      <c r="I656" s="13"/>
      <c r="J656" s="29"/>
      <c r="K656" s="4"/>
      <c r="L656" s="13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149"/>
      <c r="C657" s="4"/>
      <c r="D657" s="5"/>
      <c r="E657" s="17"/>
      <c r="F657" s="6"/>
      <c r="G657" s="13"/>
      <c r="H657" s="13"/>
      <c r="I657" s="13"/>
      <c r="J657" s="29"/>
      <c r="K657" s="4"/>
      <c r="L657" s="13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149"/>
      <c r="C658" s="4"/>
      <c r="D658" s="5"/>
      <c r="E658" s="17"/>
      <c r="F658" s="6"/>
      <c r="G658" s="13"/>
      <c r="H658" s="13"/>
      <c r="I658" s="13"/>
      <c r="J658" s="29"/>
      <c r="K658" s="4"/>
      <c r="L658" s="1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149"/>
      <c r="C659" s="4"/>
      <c r="D659" s="5"/>
      <c r="E659" s="17"/>
      <c r="F659" s="6"/>
      <c r="G659" s="13"/>
      <c r="H659" s="13"/>
      <c r="I659" s="13"/>
      <c r="J659" s="29"/>
      <c r="K659" s="4"/>
      <c r="L659" s="1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149"/>
      <c r="C660" s="4"/>
      <c r="D660" s="5"/>
      <c r="E660" s="17"/>
      <c r="F660" s="6"/>
      <c r="G660" s="13"/>
      <c r="H660" s="13"/>
      <c r="I660" s="13"/>
      <c r="J660" s="29"/>
      <c r="K660" s="4"/>
      <c r="L660" s="1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149"/>
      <c r="C661" s="4"/>
      <c r="D661" s="5"/>
      <c r="E661" s="17"/>
      <c r="F661" s="6"/>
      <c r="G661" s="13"/>
      <c r="H661" s="13"/>
      <c r="I661" s="13"/>
      <c r="J661" s="29"/>
      <c r="K661" s="4"/>
      <c r="L661" s="13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149"/>
      <c r="C662" s="4"/>
      <c r="D662" s="5"/>
      <c r="E662" s="17"/>
      <c r="F662" s="6"/>
      <c r="G662" s="13"/>
      <c r="H662" s="13"/>
      <c r="I662" s="13"/>
      <c r="J662" s="29"/>
      <c r="K662" s="4"/>
      <c r="L662" s="13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149"/>
      <c r="C663" s="4"/>
      <c r="D663" s="5"/>
      <c r="E663" s="17"/>
      <c r="F663" s="6"/>
      <c r="G663" s="13"/>
      <c r="H663" s="13"/>
      <c r="I663" s="13"/>
      <c r="J663" s="29"/>
      <c r="K663" s="4"/>
      <c r="L663" s="13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149"/>
      <c r="C664" s="4"/>
      <c r="D664" s="5"/>
      <c r="E664" s="17"/>
      <c r="F664" s="6"/>
      <c r="G664" s="13"/>
      <c r="H664" s="13"/>
      <c r="I664" s="13"/>
      <c r="J664" s="29"/>
      <c r="K664" s="4"/>
      <c r="L664" s="13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149"/>
      <c r="C665" s="4"/>
      <c r="D665" s="5"/>
      <c r="E665" s="17"/>
      <c r="F665" s="6"/>
      <c r="G665" s="13"/>
      <c r="H665" s="13"/>
      <c r="I665" s="13"/>
      <c r="J665" s="29"/>
      <c r="K665" s="4"/>
      <c r="L665" s="13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149"/>
      <c r="C666" s="4"/>
      <c r="D666" s="5"/>
      <c r="E666" s="17"/>
      <c r="F666" s="6"/>
      <c r="G666" s="13"/>
      <c r="H666" s="13"/>
      <c r="I666" s="13"/>
      <c r="J666" s="29"/>
      <c r="K666" s="4"/>
      <c r="L666" s="13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149"/>
      <c r="C667" s="4"/>
      <c r="D667" s="5"/>
      <c r="E667" s="17"/>
      <c r="F667" s="6"/>
      <c r="G667" s="13"/>
      <c r="H667" s="13"/>
      <c r="I667" s="13"/>
      <c r="J667" s="29"/>
      <c r="K667" s="4"/>
      <c r="L667" s="13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149"/>
      <c r="C668" s="4"/>
      <c r="D668" s="5"/>
      <c r="E668" s="17"/>
      <c r="F668" s="6"/>
      <c r="G668" s="13"/>
      <c r="H668" s="13"/>
      <c r="I668" s="13"/>
      <c r="J668" s="29"/>
      <c r="K668" s="4"/>
      <c r="L668" s="13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149"/>
      <c r="C669" s="4"/>
      <c r="D669" s="5"/>
      <c r="E669" s="17"/>
      <c r="F669" s="6"/>
      <c r="G669" s="13"/>
      <c r="H669" s="13"/>
      <c r="I669" s="13"/>
      <c r="J669" s="29"/>
      <c r="K669" s="4"/>
      <c r="L669" s="13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149"/>
      <c r="C670" s="4"/>
      <c r="D670" s="5"/>
      <c r="E670" s="17"/>
      <c r="F670" s="6"/>
      <c r="G670" s="13"/>
      <c r="H670" s="13"/>
      <c r="I670" s="13"/>
      <c r="J670" s="29"/>
      <c r="K670" s="4"/>
      <c r="L670" s="13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149"/>
      <c r="C671" s="4"/>
      <c r="D671" s="5"/>
      <c r="E671" s="17"/>
      <c r="F671" s="6"/>
      <c r="G671" s="13"/>
      <c r="H671" s="13"/>
      <c r="I671" s="13"/>
      <c r="J671" s="29"/>
      <c r="K671" s="4"/>
      <c r="L671" s="1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149"/>
      <c r="C672" s="4"/>
      <c r="D672" s="5"/>
      <c r="E672" s="17"/>
      <c r="F672" s="6"/>
      <c r="G672" s="13"/>
      <c r="H672" s="13"/>
      <c r="I672" s="13"/>
      <c r="J672" s="29"/>
      <c r="K672" s="4"/>
      <c r="L672" s="13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149"/>
      <c r="C673" s="4"/>
      <c r="D673" s="5"/>
      <c r="E673" s="17"/>
      <c r="F673" s="6"/>
      <c r="G673" s="13"/>
      <c r="H673" s="13"/>
      <c r="I673" s="13"/>
      <c r="J673" s="29"/>
      <c r="K673" s="4"/>
      <c r="L673" s="13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149"/>
      <c r="C674" s="4"/>
      <c r="D674" s="5"/>
      <c r="E674" s="17"/>
      <c r="F674" s="6"/>
      <c r="G674" s="13"/>
      <c r="H674" s="13"/>
      <c r="I674" s="13"/>
      <c r="J674" s="29"/>
      <c r="K674" s="4"/>
      <c r="L674" s="13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149"/>
      <c r="C675" s="4"/>
      <c r="D675" s="5"/>
      <c r="E675" s="17"/>
      <c r="F675" s="6"/>
      <c r="G675" s="13"/>
      <c r="H675" s="13"/>
      <c r="I675" s="13"/>
      <c r="J675" s="29"/>
      <c r="K675" s="4"/>
      <c r="L675" s="13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149"/>
      <c r="C676" s="4"/>
      <c r="D676" s="5"/>
      <c r="E676" s="17"/>
      <c r="F676" s="6"/>
      <c r="G676" s="13"/>
      <c r="H676" s="13"/>
      <c r="I676" s="13"/>
      <c r="J676" s="29"/>
      <c r="K676" s="4"/>
      <c r="L676" s="13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149"/>
      <c r="C677" s="4"/>
      <c r="D677" s="5"/>
      <c r="E677" s="17"/>
      <c r="F677" s="6"/>
      <c r="G677" s="13"/>
      <c r="H677" s="13"/>
      <c r="I677" s="13"/>
      <c r="J677" s="29"/>
      <c r="K677" s="4"/>
      <c r="L677" s="13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149"/>
      <c r="C678" s="4"/>
      <c r="D678" s="5"/>
      <c r="E678" s="17"/>
      <c r="F678" s="6"/>
      <c r="G678" s="13"/>
      <c r="H678" s="13"/>
      <c r="I678" s="13"/>
      <c r="J678" s="29"/>
      <c r="K678" s="4"/>
      <c r="L678" s="13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149"/>
      <c r="C679" s="4"/>
      <c r="D679" s="5"/>
      <c r="E679" s="17"/>
      <c r="F679" s="6"/>
      <c r="G679" s="13"/>
      <c r="H679" s="13"/>
      <c r="I679" s="13"/>
      <c r="J679" s="29"/>
      <c r="K679" s="4"/>
      <c r="L679" s="13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149"/>
      <c r="C680" s="4"/>
      <c r="D680" s="5"/>
      <c r="E680" s="17"/>
      <c r="F680" s="6"/>
      <c r="G680" s="13"/>
      <c r="H680" s="13"/>
      <c r="I680" s="13"/>
      <c r="J680" s="29"/>
      <c r="K680" s="4"/>
      <c r="L680" s="13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149"/>
      <c r="C681" s="4"/>
      <c r="D681" s="5"/>
      <c r="E681" s="17"/>
      <c r="F681" s="6"/>
      <c r="G681" s="13"/>
      <c r="H681" s="13"/>
      <c r="I681" s="13"/>
      <c r="J681" s="29"/>
      <c r="K681" s="4"/>
      <c r="L681" s="13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149"/>
      <c r="C682" s="4"/>
      <c r="D682" s="5"/>
      <c r="E682" s="17"/>
      <c r="F682" s="6"/>
      <c r="G682" s="13"/>
      <c r="H682" s="13"/>
      <c r="I682" s="13"/>
      <c r="J682" s="29"/>
      <c r="K682" s="4"/>
      <c r="L682" s="1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149"/>
      <c r="C683" s="4"/>
      <c r="D683" s="5"/>
      <c r="E683" s="17"/>
      <c r="F683" s="6"/>
      <c r="G683" s="13"/>
      <c r="H683" s="13"/>
      <c r="I683" s="13"/>
      <c r="J683" s="29"/>
      <c r="K683" s="4"/>
      <c r="L683" s="13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149"/>
      <c r="C684" s="4"/>
      <c r="D684" s="5"/>
      <c r="E684" s="17"/>
      <c r="F684" s="6"/>
      <c r="G684" s="13"/>
      <c r="H684" s="13"/>
      <c r="I684" s="13"/>
      <c r="J684" s="29"/>
      <c r="K684" s="4"/>
      <c r="L684" s="13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149"/>
      <c r="C685" s="4"/>
      <c r="D685" s="5"/>
      <c r="E685" s="17"/>
      <c r="F685" s="6"/>
      <c r="G685" s="13"/>
      <c r="H685" s="13"/>
      <c r="I685" s="13"/>
      <c r="J685" s="29"/>
      <c r="K685" s="4"/>
      <c r="L685" s="13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149"/>
      <c r="C686" s="4"/>
      <c r="D686" s="5"/>
      <c r="E686" s="17"/>
      <c r="F686" s="6"/>
      <c r="G686" s="13"/>
      <c r="H686" s="13"/>
      <c r="I686" s="13"/>
      <c r="J686" s="29"/>
      <c r="K686" s="4"/>
      <c r="L686" s="13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149"/>
      <c r="C687" s="4"/>
      <c r="D687" s="5"/>
      <c r="E687" s="17"/>
      <c r="F687" s="6"/>
      <c r="G687" s="13"/>
      <c r="H687" s="13"/>
      <c r="I687" s="13"/>
      <c r="J687" s="29"/>
      <c r="K687" s="4"/>
      <c r="L687" s="13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149"/>
      <c r="C688" s="4"/>
      <c r="D688" s="5"/>
      <c r="E688" s="17"/>
      <c r="F688" s="6"/>
      <c r="G688" s="13"/>
      <c r="H688" s="13"/>
      <c r="I688" s="13"/>
      <c r="J688" s="29"/>
      <c r="K688" s="4"/>
      <c r="L688" s="13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149"/>
      <c r="C689" s="4"/>
      <c r="D689" s="5"/>
      <c r="E689" s="17"/>
      <c r="F689" s="6"/>
      <c r="G689" s="13"/>
      <c r="H689" s="13"/>
      <c r="I689" s="13"/>
      <c r="J689" s="29"/>
      <c r="K689" s="4"/>
      <c r="L689" s="13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149"/>
      <c r="C690" s="4"/>
      <c r="D690" s="5"/>
      <c r="E690" s="17"/>
      <c r="F690" s="6"/>
      <c r="G690" s="13"/>
      <c r="H690" s="13"/>
      <c r="I690" s="13"/>
      <c r="J690" s="29"/>
      <c r="K690" s="4"/>
      <c r="L690" s="13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149"/>
      <c r="C691" s="4"/>
      <c r="D691" s="5"/>
      <c r="E691" s="17"/>
      <c r="F691" s="6"/>
      <c r="G691" s="13"/>
      <c r="H691" s="13"/>
      <c r="I691" s="13"/>
      <c r="J691" s="29"/>
      <c r="K691" s="4"/>
      <c r="L691" s="13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149"/>
      <c r="C692" s="4"/>
      <c r="D692" s="5"/>
      <c r="E692" s="17"/>
      <c r="F692" s="6"/>
      <c r="G692" s="13"/>
      <c r="H692" s="13"/>
      <c r="I692" s="13"/>
      <c r="J692" s="29"/>
      <c r="K692" s="4"/>
      <c r="L692" s="1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149"/>
      <c r="C693" s="4"/>
      <c r="D693" s="5"/>
      <c r="E693" s="17"/>
      <c r="F693" s="6"/>
      <c r="G693" s="13"/>
      <c r="H693" s="13"/>
      <c r="I693" s="13"/>
      <c r="J693" s="29"/>
      <c r="K693" s="4"/>
      <c r="L693" s="1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149"/>
      <c r="C694" s="4"/>
      <c r="D694" s="5"/>
      <c r="E694" s="17"/>
      <c r="F694" s="6"/>
      <c r="G694" s="13"/>
      <c r="H694" s="13"/>
      <c r="I694" s="13"/>
      <c r="J694" s="29"/>
      <c r="K694" s="4"/>
      <c r="L694" s="13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149"/>
      <c r="C695" s="4"/>
      <c r="D695" s="5"/>
      <c r="E695" s="17"/>
      <c r="F695" s="6"/>
      <c r="G695" s="13"/>
      <c r="H695" s="13"/>
      <c r="I695" s="13"/>
      <c r="J695" s="29"/>
      <c r="K695" s="4"/>
      <c r="L695" s="13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149"/>
      <c r="C696" s="4"/>
      <c r="D696" s="5"/>
      <c r="E696" s="17"/>
      <c r="F696" s="6"/>
      <c r="G696" s="13"/>
      <c r="H696" s="13"/>
      <c r="I696" s="13"/>
      <c r="J696" s="29"/>
      <c r="K696" s="4"/>
      <c r="L696" s="13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149"/>
      <c r="C697" s="4"/>
      <c r="D697" s="5"/>
      <c r="E697" s="17"/>
      <c r="F697" s="6"/>
      <c r="G697" s="13"/>
      <c r="H697" s="13"/>
      <c r="I697" s="13"/>
      <c r="J697" s="29"/>
      <c r="K697" s="4"/>
      <c r="L697" s="13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149"/>
      <c r="C698" s="4"/>
      <c r="D698" s="5"/>
      <c r="E698" s="17"/>
      <c r="F698" s="6"/>
      <c r="G698" s="13"/>
      <c r="H698" s="13"/>
      <c r="I698" s="13"/>
      <c r="J698" s="29"/>
      <c r="K698" s="4"/>
      <c r="L698" s="13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149"/>
      <c r="C699" s="4"/>
      <c r="D699" s="5"/>
      <c r="E699" s="17"/>
      <c r="F699" s="6"/>
      <c r="G699" s="13"/>
      <c r="H699" s="13"/>
      <c r="I699" s="13"/>
      <c r="J699" s="29"/>
      <c r="K699" s="4"/>
      <c r="L699" s="13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149"/>
      <c r="C700" s="4"/>
      <c r="D700" s="5"/>
      <c r="E700" s="17"/>
      <c r="F700" s="6"/>
      <c r="G700" s="13"/>
      <c r="H700" s="13"/>
      <c r="I700" s="13"/>
      <c r="J700" s="29"/>
      <c r="K700" s="4"/>
      <c r="L700" s="13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149"/>
      <c r="C701" s="4"/>
      <c r="D701" s="5"/>
      <c r="E701" s="17"/>
      <c r="F701" s="6"/>
      <c r="G701" s="13"/>
      <c r="H701" s="13"/>
      <c r="I701" s="13"/>
      <c r="J701" s="29"/>
      <c r="K701" s="4"/>
      <c r="L701" s="13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149"/>
      <c r="C702" s="4"/>
      <c r="D702" s="5"/>
      <c r="E702" s="17"/>
      <c r="F702" s="6"/>
      <c r="G702" s="13"/>
      <c r="H702" s="13"/>
      <c r="I702" s="13"/>
      <c r="J702" s="29"/>
      <c r="K702" s="4"/>
      <c r="L702" s="13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149"/>
      <c r="C703" s="4"/>
      <c r="D703" s="5"/>
      <c r="E703" s="17"/>
      <c r="F703" s="6"/>
      <c r="G703" s="13"/>
      <c r="H703" s="13"/>
      <c r="I703" s="13"/>
      <c r="J703" s="29"/>
      <c r="K703" s="4"/>
      <c r="L703" s="13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149"/>
      <c r="C704" s="4"/>
      <c r="D704" s="5"/>
      <c r="E704" s="17"/>
      <c r="F704" s="6"/>
      <c r="G704" s="13"/>
      <c r="H704" s="13"/>
      <c r="I704" s="13"/>
      <c r="J704" s="29"/>
      <c r="K704" s="4"/>
      <c r="L704" s="1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149"/>
      <c r="C705" s="4"/>
      <c r="D705" s="5"/>
      <c r="E705" s="17"/>
      <c r="F705" s="6"/>
      <c r="G705" s="13"/>
      <c r="H705" s="13"/>
      <c r="I705" s="13"/>
      <c r="J705" s="29"/>
      <c r="K705" s="4"/>
      <c r="L705" s="1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149"/>
      <c r="C706" s="4"/>
      <c r="D706" s="5"/>
      <c r="E706" s="17"/>
      <c r="F706" s="6"/>
      <c r="G706" s="13"/>
      <c r="H706" s="13"/>
      <c r="I706" s="13"/>
      <c r="J706" s="29"/>
      <c r="K706" s="4"/>
      <c r="L706" s="13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149"/>
      <c r="C707" s="4"/>
      <c r="D707" s="5"/>
      <c r="E707" s="17"/>
      <c r="F707" s="6"/>
      <c r="G707" s="13"/>
      <c r="H707" s="13"/>
      <c r="I707" s="13"/>
      <c r="J707" s="29"/>
      <c r="K707" s="4"/>
      <c r="L707" s="13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149"/>
      <c r="C708" s="4"/>
      <c r="D708" s="5"/>
      <c r="E708" s="17"/>
      <c r="F708" s="6"/>
      <c r="G708" s="13"/>
      <c r="H708" s="13"/>
      <c r="I708" s="13"/>
      <c r="J708" s="29"/>
      <c r="K708" s="4"/>
      <c r="L708" s="13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149"/>
      <c r="C709" s="4"/>
      <c r="D709" s="5"/>
      <c r="E709" s="17"/>
      <c r="F709" s="6"/>
      <c r="G709" s="13"/>
      <c r="H709" s="13"/>
      <c r="I709" s="13"/>
      <c r="J709" s="29"/>
      <c r="K709" s="4"/>
      <c r="L709" s="13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149"/>
      <c r="C710" s="4"/>
      <c r="D710" s="5"/>
      <c r="E710" s="17"/>
      <c r="F710" s="6"/>
      <c r="G710" s="13"/>
      <c r="H710" s="13"/>
      <c r="I710" s="13"/>
      <c r="J710" s="29"/>
      <c r="K710" s="4"/>
      <c r="L710" s="13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149"/>
      <c r="C711" s="4"/>
      <c r="D711" s="5"/>
      <c r="E711" s="17"/>
      <c r="F711" s="6"/>
      <c r="G711" s="13"/>
      <c r="H711" s="13"/>
      <c r="I711" s="13"/>
      <c r="J711" s="29"/>
      <c r="K711" s="4"/>
      <c r="L711" s="13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149"/>
      <c r="C712" s="4"/>
      <c r="D712" s="5"/>
      <c r="E712" s="17"/>
      <c r="F712" s="6"/>
      <c r="G712" s="13"/>
      <c r="H712" s="13"/>
      <c r="I712" s="13"/>
      <c r="J712" s="29"/>
      <c r="K712" s="4"/>
      <c r="L712" s="13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149"/>
      <c r="C713" s="4"/>
      <c r="D713" s="5"/>
      <c r="E713" s="17"/>
      <c r="F713" s="6"/>
      <c r="G713" s="13"/>
      <c r="H713" s="13"/>
      <c r="I713" s="13"/>
      <c r="J713" s="29"/>
      <c r="K713" s="4"/>
      <c r="L713" s="13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149"/>
      <c r="C714" s="4"/>
      <c r="D714" s="5"/>
      <c r="E714" s="17"/>
      <c r="F714" s="6"/>
      <c r="G714" s="13"/>
      <c r="H714" s="13"/>
      <c r="I714" s="13"/>
      <c r="J714" s="29"/>
      <c r="K714" s="4"/>
      <c r="L714" s="13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149"/>
      <c r="C715" s="4"/>
      <c r="D715" s="5"/>
      <c r="E715" s="17"/>
      <c r="F715" s="6"/>
      <c r="G715" s="13"/>
      <c r="H715" s="13"/>
      <c r="I715" s="13"/>
      <c r="J715" s="29"/>
      <c r="K715" s="4"/>
      <c r="L715" s="1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149"/>
      <c r="C716" s="4"/>
      <c r="D716" s="5"/>
      <c r="E716" s="17"/>
      <c r="F716" s="6"/>
      <c r="G716" s="13"/>
      <c r="H716" s="13"/>
      <c r="I716" s="13"/>
      <c r="J716" s="29"/>
      <c r="K716" s="4"/>
      <c r="L716" s="1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149"/>
      <c r="C717" s="4"/>
      <c r="D717" s="5"/>
      <c r="E717" s="17"/>
      <c r="F717" s="6"/>
      <c r="G717" s="13"/>
      <c r="H717" s="13"/>
      <c r="I717" s="13"/>
      <c r="J717" s="29"/>
      <c r="K717" s="4"/>
      <c r="L717" s="13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149"/>
      <c r="C718" s="4"/>
      <c r="D718" s="5"/>
      <c r="E718" s="17"/>
      <c r="F718" s="6"/>
      <c r="G718" s="13"/>
      <c r="H718" s="13"/>
      <c r="I718" s="13"/>
      <c r="J718" s="29"/>
      <c r="K718" s="4"/>
      <c r="L718" s="13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149"/>
      <c r="C719" s="4"/>
      <c r="D719" s="5"/>
      <c r="E719" s="17"/>
      <c r="F719" s="6"/>
      <c r="G719" s="13"/>
      <c r="H719" s="13"/>
      <c r="I719" s="13"/>
      <c r="J719" s="29"/>
      <c r="K719" s="4"/>
      <c r="L719" s="13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149"/>
      <c r="C720" s="4"/>
      <c r="D720" s="5"/>
      <c r="E720" s="17"/>
      <c r="F720" s="6"/>
      <c r="G720" s="13"/>
      <c r="H720" s="13"/>
      <c r="I720" s="13"/>
      <c r="J720" s="29"/>
      <c r="K720" s="4"/>
      <c r="L720" s="13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149"/>
      <c r="C721" s="4"/>
      <c r="D721" s="5"/>
      <c r="E721" s="17"/>
      <c r="F721" s="6"/>
      <c r="G721" s="13"/>
      <c r="H721" s="13"/>
      <c r="I721" s="13"/>
      <c r="J721" s="29"/>
      <c r="K721" s="4"/>
      <c r="L721" s="13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149"/>
      <c r="C722" s="4"/>
      <c r="D722" s="5"/>
      <c r="E722" s="17"/>
      <c r="F722" s="6"/>
      <c r="G722" s="13"/>
      <c r="H722" s="13"/>
      <c r="I722" s="13"/>
      <c r="J722" s="29"/>
      <c r="K722" s="4"/>
      <c r="L722" s="13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149"/>
      <c r="C723" s="4"/>
      <c r="D723" s="5"/>
      <c r="E723" s="17"/>
      <c r="F723" s="6"/>
      <c r="G723" s="13"/>
      <c r="H723" s="13"/>
      <c r="I723" s="13"/>
      <c r="J723" s="29"/>
      <c r="K723" s="4"/>
      <c r="L723" s="13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149"/>
      <c r="C724" s="4"/>
      <c r="D724" s="5"/>
      <c r="E724" s="17"/>
      <c r="F724" s="6"/>
      <c r="G724" s="13"/>
      <c r="H724" s="13"/>
      <c r="I724" s="13"/>
      <c r="J724" s="29"/>
      <c r="K724" s="4"/>
      <c r="L724" s="13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149"/>
      <c r="C725" s="4"/>
      <c r="D725" s="5"/>
      <c r="E725" s="17"/>
      <c r="F725" s="6"/>
      <c r="G725" s="13"/>
      <c r="H725" s="13"/>
      <c r="I725" s="13"/>
      <c r="J725" s="29"/>
      <c r="K725" s="4"/>
      <c r="L725" s="13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149"/>
      <c r="C726" s="4"/>
      <c r="D726" s="5"/>
      <c r="E726" s="17"/>
      <c r="F726" s="6"/>
      <c r="G726" s="13"/>
      <c r="H726" s="13"/>
      <c r="I726" s="13"/>
      <c r="J726" s="29"/>
      <c r="K726" s="4"/>
      <c r="L726" s="1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149"/>
      <c r="C727" s="4"/>
      <c r="D727" s="5"/>
      <c r="E727" s="17"/>
      <c r="F727" s="6"/>
      <c r="G727" s="13"/>
      <c r="H727" s="13"/>
      <c r="I727" s="13"/>
      <c r="J727" s="29"/>
      <c r="K727" s="4"/>
      <c r="L727" s="13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149"/>
      <c r="C728" s="4"/>
      <c r="D728" s="5"/>
      <c r="E728" s="17"/>
      <c r="F728" s="6"/>
      <c r="G728" s="13"/>
      <c r="H728" s="13"/>
      <c r="I728" s="13"/>
      <c r="J728" s="29"/>
      <c r="K728" s="4"/>
      <c r="L728" s="13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149"/>
      <c r="C729" s="4"/>
      <c r="D729" s="5"/>
      <c r="E729" s="17"/>
      <c r="F729" s="6"/>
      <c r="G729" s="13"/>
      <c r="H729" s="13"/>
      <c r="I729" s="13"/>
      <c r="J729" s="29"/>
      <c r="K729" s="4"/>
      <c r="L729" s="13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149"/>
      <c r="C730" s="4"/>
      <c r="D730" s="5"/>
      <c r="E730" s="17"/>
      <c r="F730" s="6"/>
      <c r="G730" s="13"/>
      <c r="H730" s="13"/>
      <c r="I730" s="13"/>
      <c r="J730" s="29"/>
      <c r="K730" s="4"/>
      <c r="L730" s="13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149"/>
      <c r="C731" s="4"/>
      <c r="D731" s="5"/>
      <c r="E731" s="17"/>
      <c r="F731" s="6"/>
      <c r="G731" s="13"/>
      <c r="H731" s="13"/>
      <c r="I731" s="13"/>
      <c r="J731" s="29"/>
      <c r="K731" s="4"/>
      <c r="L731" s="13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149"/>
      <c r="C732" s="4"/>
      <c r="D732" s="5"/>
      <c r="E732" s="17"/>
      <c r="F732" s="6"/>
      <c r="G732" s="13"/>
      <c r="H732" s="13"/>
      <c r="I732" s="13"/>
      <c r="J732" s="29"/>
      <c r="K732" s="4"/>
      <c r="L732" s="13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149"/>
      <c r="C733" s="4"/>
      <c r="D733" s="5"/>
      <c r="E733" s="17"/>
      <c r="F733" s="6"/>
      <c r="G733" s="13"/>
      <c r="H733" s="13"/>
      <c r="I733" s="13"/>
      <c r="J733" s="29"/>
      <c r="K733" s="4"/>
      <c r="L733" s="13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149"/>
      <c r="C734" s="4"/>
      <c r="D734" s="5"/>
      <c r="E734" s="17"/>
      <c r="F734" s="6"/>
      <c r="G734" s="13"/>
      <c r="H734" s="13"/>
      <c r="I734" s="13"/>
      <c r="J734" s="29"/>
      <c r="K734" s="4"/>
      <c r="L734" s="13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149"/>
      <c r="C735" s="4"/>
      <c r="D735" s="5"/>
      <c r="E735" s="17"/>
      <c r="F735" s="6"/>
      <c r="G735" s="13"/>
      <c r="H735" s="13"/>
      <c r="I735" s="13"/>
      <c r="J735" s="29"/>
      <c r="K735" s="4"/>
      <c r="L735" s="13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149"/>
      <c r="C736" s="4"/>
      <c r="D736" s="5"/>
      <c r="E736" s="17"/>
      <c r="F736" s="6"/>
      <c r="G736" s="13"/>
      <c r="H736" s="13"/>
      <c r="I736" s="13"/>
      <c r="J736" s="29"/>
      <c r="K736" s="4"/>
      <c r="L736" s="13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149"/>
      <c r="C737" s="4"/>
      <c r="D737" s="5"/>
      <c r="E737" s="17"/>
      <c r="F737" s="6"/>
      <c r="G737" s="13"/>
      <c r="H737" s="13"/>
      <c r="I737" s="13"/>
      <c r="J737" s="29"/>
      <c r="K737" s="4"/>
      <c r="L737" s="13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149"/>
      <c r="C738" s="4"/>
      <c r="D738" s="5"/>
      <c r="E738" s="17"/>
      <c r="F738" s="6"/>
      <c r="G738" s="13"/>
      <c r="H738" s="13"/>
      <c r="I738" s="13"/>
      <c r="J738" s="29"/>
      <c r="K738" s="4"/>
      <c r="L738" s="13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149"/>
      <c r="C739" s="4"/>
      <c r="D739" s="5"/>
      <c r="E739" s="17"/>
      <c r="F739" s="6"/>
      <c r="G739" s="13"/>
      <c r="H739" s="13"/>
      <c r="I739" s="13"/>
      <c r="J739" s="29"/>
      <c r="K739" s="4"/>
      <c r="L739" s="13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149"/>
      <c r="C740" s="4"/>
      <c r="D740" s="5"/>
      <c r="E740" s="17"/>
      <c r="F740" s="6"/>
      <c r="G740" s="13"/>
      <c r="H740" s="13"/>
      <c r="I740" s="13"/>
      <c r="J740" s="29"/>
      <c r="K740" s="4"/>
      <c r="L740" s="13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149"/>
      <c r="C741" s="4"/>
      <c r="D741" s="5"/>
      <c r="E741" s="17"/>
      <c r="F741" s="6"/>
      <c r="G741" s="13"/>
      <c r="H741" s="13"/>
      <c r="I741" s="13"/>
      <c r="J741" s="29"/>
      <c r="K741" s="4"/>
      <c r="L741" s="13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149"/>
      <c r="C742" s="4"/>
      <c r="D742" s="5"/>
      <c r="E742" s="17"/>
      <c r="F742" s="6"/>
      <c r="G742" s="13"/>
      <c r="H742" s="13"/>
      <c r="I742" s="13"/>
      <c r="J742" s="29"/>
      <c r="K742" s="4"/>
      <c r="L742" s="13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149"/>
      <c r="C743" s="4"/>
      <c r="D743" s="5"/>
      <c r="E743" s="17"/>
      <c r="F743" s="6"/>
      <c r="G743" s="13"/>
      <c r="H743" s="13"/>
      <c r="I743" s="13"/>
      <c r="J743" s="29"/>
      <c r="K743" s="4"/>
      <c r="L743" s="13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149"/>
      <c r="C744" s="4"/>
      <c r="D744" s="5"/>
      <c r="E744" s="17"/>
      <c r="F744" s="6"/>
      <c r="G744" s="13"/>
      <c r="H744" s="13"/>
      <c r="I744" s="13"/>
      <c r="J744" s="29"/>
      <c r="K744" s="4"/>
      <c r="L744" s="13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149"/>
      <c r="C745" s="4"/>
      <c r="D745" s="5"/>
      <c r="E745" s="17"/>
      <c r="F745" s="6"/>
      <c r="G745" s="13"/>
      <c r="H745" s="13"/>
      <c r="I745" s="13"/>
      <c r="J745" s="29"/>
      <c r="K745" s="4"/>
      <c r="L745" s="13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149"/>
      <c r="C746" s="4"/>
      <c r="D746" s="5"/>
      <c r="E746" s="17"/>
      <c r="F746" s="6"/>
      <c r="G746" s="13"/>
      <c r="H746" s="13"/>
      <c r="I746" s="13"/>
      <c r="J746" s="29"/>
      <c r="K746" s="4"/>
      <c r="L746" s="1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149"/>
      <c r="C747" s="4"/>
      <c r="D747" s="5"/>
      <c r="E747" s="17"/>
      <c r="F747" s="6"/>
      <c r="G747" s="13"/>
      <c r="H747" s="13"/>
      <c r="I747" s="13"/>
      <c r="J747" s="29"/>
      <c r="K747" s="4"/>
      <c r="L747" s="13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149"/>
      <c r="C748" s="4"/>
      <c r="D748" s="5"/>
      <c r="E748" s="17"/>
      <c r="F748" s="6"/>
      <c r="G748" s="13"/>
      <c r="H748" s="13"/>
      <c r="I748" s="13"/>
      <c r="J748" s="29"/>
      <c r="K748" s="4"/>
      <c r="L748" s="13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149"/>
      <c r="C749" s="4"/>
      <c r="D749" s="5"/>
      <c r="E749" s="17"/>
      <c r="F749" s="6"/>
      <c r="G749" s="13"/>
      <c r="H749" s="13"/>
      <c r="I749" s="13"/>
      <c r="J749" s="29"/>
      <c r="K749" s="4"/>
      <c r="L749" s="1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149"/>
      <c r="C750" s="4"/>
      <c r="D750" s="5"/>
      <c r="E750" s="17"/>
      <c r="F750" s="6"/>
      <c r="G750" s="13"/>
      <c r="H750" s="13"/>
      <c r="I750" s="13"/>
      <c r="J750" s="29"/>
      <c r="K750" s="4"/>
      <c r="L750" s="13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149"/>
      <c r="C751" s="4"/>
      <c r="D751" s="5"/>
      <c r="E751" s="17"/>
      <c r="F751" s="6"/>
      <c r="G751" s="13"/>
      <c r="H751" s="13"/>
      <c r="I751" s="13"/>
      <c r="J751" s="29"/>
      <c r="K751" s="4"/>
      <c r="L751" s="13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149"/>
      <c r="C752" s="4"/>
      <c r="D752" s="5"/>
      <c r="E752" s="17"/>
      <c r="F752" s="6"/>
      <c r="G752" s="13"/>
      <c r="H752" s="13"/>
      <c r="I752" s="13"/>
      <c r="J752" s="29"/>
      <c r="K752" s="4"/>
      <c r="L752" s="13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149"/>
      <c r="C753" s="4"/>
      <c r="D753" s="5"/>
      <c r="E753" s="17"/>
      <c r="F753" s="6"/>
      <c r="G753" s="13"/>
      <c r="H753" s="13"/>
      <c r="I753" s="13"/>
      <c r="J753" s="29"/>
      <c r="K753" s="4"/>
      <c r="L753" s="13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149"/>
      <c r="C754" s="4"/>
      <c r="D754" s="5"/>
      <c r="E754" s="17"/>
      <c r="F754" s="6"/>
      <c r="G754" s="13"/>
      <c r="H754" s="13"/>
      <c r="I754" s="13"/>
      <c r="J754" s="29"/>
      <c r="K754" s="4"/>
      <c r="L754" s="13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149"/>
      <c r="C755" s="4"/>
      <c r="D755" s="5"/>
      <c r="E755" s="17"/>
      <c r="F755" s="6"/>
      <c r="G755" s="13"/>
      <c r="H755" s="13"/>
      <c r="I755" s="13"/>
      <c r="J755" s="29"/>
      <c r="K755" s="4"/>
      <c r="L755" s="1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149"/>
      <c r="C756" s="4"/>
      <c r="D756" s="5"/>
      <c r="E756" s="17"/>
      <c r="F756" s="6"/>
      <c r="G756" s="13"/>
      <c r="H756" s="13"/>
      <c r="I756" s="13"/>
      <c r="J756" s="29"/>
      <c r="K756" s="4"/>
      <c r="L756" s="1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149"/>
      <c r="C757" s="4"/>
      <c r="D757" s="5"/>
      <c r="E757" s="17"/>
      <c r="F757" s="6"/>
      <c r="G757" s="13"/>
      <c r="H757" s="13"/>
      <c r="I757" s="13"/>
      <c r="J757" s="29"/>
      <c r="K757" s="4"/>
      <c r="L757" s="13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149"/>
      <c r="C758" s="4"/>
      <c r="D758" s="5"/>
      <c r="E758" s="17"/>
      <c r="F758" s="6"/>
      <c r="G758" s="13"/>
      <c r="H758" s="13"/>
      <c r="I758" s="13"/>
      <c r="J758" s="29"/>
      <c r="K758" s="4"/>
      <c r="L758" s="13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149"/>
      <c r="C759" s="4"/>
      <c r="D759" s="5"/>
      <c r="E759" s="17"/>
      <c r="F759" s="6"/>
      <c r="G759" s="13"/>
      <c r="H759" s="13"/>
      <c r="I759" s="13"/>
      <c r="J759" s="29"/>
      <c r="K759" s="4"/>
      <c r="L759" s="13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149"/>
      <c r="C760" s="4"/>
      <c r="D760" s="5"/>
      <c r="E760" s="17"/>
      <c r="F760" s="6"/>
      <c r="G760" s="13"/>
      <c r="H760" s="13"/>
      <c r="I760" s="13"/>
      <c r="J760" s="29"/>
      <c r="K760" s="4"/>
      <c r="L760" s="13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149"/>
      <c r="C761" s="4"/>
      <c r="D761" s="5"/>
      <c r="E761" s="17"/>
      <c r="F761" s="6"/>
      <c r="G761" s="13"/>
      <c r="H761" s="13"/>
      <c r="I761" s="13"/>
      <c r="J761" s="29"/>
      <c r="K761" s="4"/>
      <c r="L761" s="13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149"/>
      <c r="C762" s="4"/>
      <c r="D762" s="5"/>
      <c r="E762" s="17"/>
      <c r="F762" s="6"/>
      <c r="G762" s="13"/>
      <c r="H762" s="13"/>
      <c r="I762" s="13"/>
      <c r="J762" s="29"/>
      <c r="K762" s="4"/>
      <c r="L762" s="13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149"/>
      <c r="C763" s="4"/>
      <c r="D763" s="5"/>
      <c r="E763" s="17"/>
      <c r="F763" s="6"/>
      <c r="G763" s="13"/>
      <c r="H763" s="13"/>
      <c r="I763" s="13"/>
      <c r="J763" s="29"/>
      <c r="K763" s="4"/>
      <c r="L763" s="13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149"/>
      <c r="C764" s="4"/>
      <c r="D764" s="5"/>
      <c r="E764" s="17"/>
      <c r="F764" s="6"/>
      <c r="G764" s="13"/>
      <c r="H764" s="13"/>
      <c r="I764" s="13"/>
      <c r="J764" s="29"/>
      <c r="K764" s="4"/>
      <c r="L764" s="1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149"/>
      <c r="C765" s="4"/>
      <c r="D765" s="5"/>
      <c r="E765" s="17"/>
      <c r="F765" s="6"/>
      <c r="G765" s="13"/>
      <c r="H765" s="13"/>
      <c r="I765" s="13"/>
      <c r="J765" s="29"/>
      <c r="K765" s="4"/>
      <c r="L765" s="1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149"/>
      <c r="C766" s="4"/>
      <c r="D766" s="5"/>
      <c r="E766" s="17"/>
      <c r="F766" s="6"/>
      <c r="G766" s="13"/>
      <c r="H766" s="13"/>
      <c r="I766" s="13"/>
      <c r="J766" s="29"/>
      <c r="K766" s="4"/>
      <c r="L766" s="13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149"/>
      <c r="C767" s="4"/>
      <c r="D767" s="5"/>
      <c r="E767" s="17"/>
      <c r="F767" s="6"/>
      <c r="G767" s="13"/>
      <c r="H767" s="13"/>
      <c r="I767" s="13"/>
      <c r="J767" s="29"/>
      <c r="K767" s="4"/>
      <c r="L767" s="13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149"/>
      <c r="C768" s="4"/>
      <c r="D768" s="5"/>
      <c r="E768" s="17"/>
      <c r="F768" s="6"/>
      <c r="G768" s="13"/>
      <c r="H768" s="13"/>
      <c r="I768" s="13"/>
      <c r="J768" s="29"/>
      <c r="K768" s="4"/>
      <c r="L768" s="13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149"/>
      <c r="C769" s="4"/>
      <c r="D769" s="5"/>
      <c r="E769" s="17"/>
      <c r="F769" s="6"/>
      <c r="G769" s="13"/>
      <c r="H769" s="13"/>
      <c r="I769" s="13"/>
      <c r="J769" s="29"/>
      <c r="K769" s="4"/>
      <c r="L769" s="13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149"/>
      <c r="C770" s="4"/>
      <c r="D770" s="5"/>
      <c r="E770" s="17"/>
      <c r="F770" s="6"/>
      <c r="G770" s="13"/>
      <c r="H770" s="13"/>
      <c r="I770" s="13"/>
      <c r="J770" s="29"/>
      <c r="K770" s="4"/>
      <c r="L770" s="13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149"/>
      <c r="C771" s="4"/>
      <c r="D771" s="5"/>
      <c r="E771" s="17"/>
      <c r="F771" s="6"/>
      <c r="G771" s="13"/>
      <c r="H771" s="13"/>
      <c r="I771" s="13"/>
      <c r="J771" s="29"/>
      <c r="K771" s="4"/>
      <c r="L771" s="13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149"/>
      <c r="C772" s="4"/>
      <c r="D772" s="5"/>
      <c r="E772" s="17"/>
      <c r="F772" s="6"/>
      <c r="G772" s="13"/>
      <c r="H772" s="13"/>
      <c r="I772" s="13"/>
      <c r="J772" s="29"/>
      <c r="K772" s="4"/>
      <c r="L772" s="13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149"/>
      <c r="C773" s="4"/>
      <c r="D773" s="5"/>
      <c r="E773" s="17"/>
      <c r="F773" s="6"/>
      <c r="G773" s="13"/>
      <c r="H773" s="13"/>
      <c r="I773" s="13"/>
      <c r="J773" s="29"/>
      <c r="K773" s="4"/>
      <c r="L773" s="13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149"/>
      <c r="C774" s="4"/>
      <c r="D774" s="5"/>
      <c r="E774" s="17"/>
      <c r="F774" s="6"/>
      <c r="G774" s="13"/>
      <c r="H774" s="13"/>
      <c r="I774" s="13"/>
      <c r="J774" s="29"/>
      <c r="K774" s="4"/>
      <c r="L774" s="13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149"/>
      <c r="C775" s="4"/>
      <c r="D775" s="5"/>
      <c r="E775" s="17"/>
      <c r="F775" s="6"/>
      <c r="G775" s="13"/>
      <c r="H775" s="13"/>
      <c r="I775" s="13"/>
      <c r="J775" s="29"/>
      <c r="K775" s="4"/>
      <c r="L775" s="1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149"/>
      <c r="C776" s="4"/>
      <c r="D776" s="5"/>
      <c r="E776" s="17"/>
      <c r="F776" s="6"/>
      <c r="G776" s="13"/>
      <c r="H776" s="13"/>
      <c r="I776" s="13"/>
      <c r="J776" s="29"/>
      <c r="K776" s="4"/>
      <c r="L776" s="13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149"/>
      <c r="C777" s="4"/>
      <c r="D777" s="5"/>
      <c r="E777" s="17"/>
      <c r="F777" s="6"/>
      <c r="G777" s="13"/>
      <c r="H777" s="13"/>
      <c r="I777" s="13"/>
      <c r="J777" s="29"/>
      <c r="K777" s="4"/>
      <c r="L777" s="13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149"/>
      <c r="C778" s="4"/>
      <c r="D778" s="5"/>
      <c r="E778" s="17"/>
      <c r="F778" s="6"/>
      <c r="G778" s="13"/>
      <c r="H778" s="13"/>
      <c r="I778" s="13"/>
      <c r="J778" s="29"/>
      <c r="K778" s="4"/>
      <c r="L778" s="13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149"/>
      <c r="C779" s="4"/>
      <c r="D779" s="5"/>
      <c r="E779" s="17"/>
      <c r="F779" s="6"/>
      <c r="G779" s="13"/>
      <c r="H779" s="13"/>
      <c r="I779" s="13"/>
      <c r="J779" s="29"/>
      <c r="K779" s="4"/>
      <c r="L779" s="13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149"/>
      <c r="C780" s="4"/>
      <c r="D780" s="5"/>
      <c r="E780" s="17"/>
      <c r="F780" s="6"/>
      <c r="G780" s="13"/>
      <c r="H780" s="13"/>
      <c r="I780" s="13"/>
      <c r="J780" s="29"/>
      <c r="K780" s="4"/>
      <c r="L780" s="13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149"/>
      <c r="C781" s="4"/>
      <c r="D781" s="5"/>
      <c r="E781" s="17"/>
      <c r="F781" s="6"/>
      <c r="G781" s="13"/>
      <c r="H781" s="13"/>
      <c r="I781" s="13"/>
      <c r="J781" s="29"/>
      <c r="K781" s="4"/>
      <c r="L781" s="13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149"/>
      <c r="C782" s="4"/>
      <c r="D782" s="5"/>
      <c r="E782" s="17"/>
      <c r="F782" s="6"/>
      <c r="G782" s="13"/>
      <c r="H782" s="13"/>
      <c r="I782" s="13"/>
      <c r="J782" s="29"/>
      <c r="K782" s="4"/>
      <c r="L782" s="13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149"/>
      <c r="C783" s="4"/>
      <c r="D783" s="5"/>
      <c r="E783" s="17"/>
      <c r="F783" s="6"/>
      <c r="G783" s="13"/>
      <c r="H783" s="13"/>
      <c r="I783" s="13"/>
      <c r="J783" s="29"/>
      <c r="K783" s="4"/>
      <c r="L783" s="13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149"/>
      <c r="C784" s="4"/>
      <c r="D784" s="5"/>
      <c r="E784" s="17"/>
      <c r="F784" s="6"/>
      <c r="G784" s="13"/>
      <c r="H784" s="13"/>
      <c r="I784" s="13"/>
      <c r="J784" s="29"/>
      <c r="K784" s="4"/>
      <c r="L784" s="1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149"/>
      <c r="C785" s="4"/>
      <c r="D785" s="5"/>
      <c r="E785" s="17"/>
      <c r="F785" s="6"/>
      <c r="G785" s="13"/>
      <c r="H785" s="13"/>
      <c r="I785" s="13"/>
      <c r="J785" s="29"/>
      <c r="K785" s="4"/>
      <c r="L785" s="1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149"/>
      <c r="C786" s="4"/>
      <c r="D786" s="5"/>
      <c r="E786" s="17"/>
      <c r="F786" s="6"/>
      <c r="G786" s="13"/>
      <c r="H786" s="13"/>
      <c r="I786" s="13"/>
      <c r="J786" s="29"/>
      <c r="K786" s="4"/>
      <c r="L786" s="13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149"/>
      <c r="C787" s="4"/>
      <c r="D787" s="5"/>
      <c r="E787" s="17"/>
      <c r="F787" s="6"/>
      <c r="G787" s="13"/>
      <c r="H787" s="13"/>
      <c r="I787" s="13"/>
      <c r="J787" s="29"/>
      <c r="K787" s="4"/>
      <c r="L787" s="13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149"/>
      <c r="C788" s="4"/>
      <c r="D788" s="5"/>
      <c r="E788" s="17"/>
      <c r="F788" s="6"/>
      <c r="G788" s="13"/>
      <c r="H788" s="13"/>
      <c r="I788" s="13"/>
      <c r="J788" s="29"/>
      <c r="K788" s="4"/>
      <c r="L788" s="13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149"/>
      <c r="C789" s="4"/>
      <c r="D789" s="5"/>
      <c r="E789" s="17"/>
      <c r="F789" s="6"/>
      <c r="G789" s="13"/>
      <c r="H789" s="13"/>
      <c r="I789" s="13"/>
      <c r="J789" s="29"/>
      <c r="K789" s="4"/>
      <c r="L789" s="13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149"/>
      <c r="C790" s="4"/>
      <c r="D790" s="5"/>
      <c r="E790" s="17"/>
      <c r="F790" s="6"/>
      <c r="G790" s="13"/>
      <c r="H790" s="13"/>
      <c r="I790" s="13"/>
      <c r="J790" s="29"/>
      <c r="K790" s="4"/>
      <c r="L790" s="13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149"/>
      <c r="C791" s="4"/>
      <c r="D791" s="5"/>
      <c r="E791" s="17"/>
      <c r="F791" s="6"/>
      <c r="G791" s="13"/>
      <c r="H791" s="13"/>
      <c r="I791" s="13"/>
      <c r="J791" s="29"/>
      <c r="K791" s="4"/>
      <c r="L791" s="13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149"/>
      <c r="C792" s="4"/>
      <c r="D792" s="5"/>
      <c r="E792" s="17"/>
      <c r="F792" s="6"/>
      <c r="G792" s="13"/>
      <c r="H792" s="13"/>
      <c r="I792" s="13"/>
      <c r="J792" s="29"/>
      <c r="K792" s="4"/>
      <c r="L792" s="13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149"/>
      <c r="C793" s="4"/>
      <c r="D793" s="5"/>
      <c r="E793" s="17"/>
      <c r="F793" s="6"/>
      <c r="G793" s="13"/>
      <c r="H793" s="13"/>
      <c r="I793" s="13"/>
      <c r="J793" s="29"/>
      <c r="K793" s="4"/>
      <c r="L793" s="13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149"/>
      <c r="C794" s="4"/>
      <c r="D794" s="5"/>
      <c r="E794" s="17"/>
      <c r="F794" s="6"/>
      <c r="G794" s="13"/>
      <c r="H794" s="13"/>
      <c r="I794" s="13"/>
      <c r="J794" s="29"/>
      <c r="K794" s="4"/>
      <c r="L794" s="13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149"/>
      <c r="C795" s="4"/>
      <c r="D795" s="5"/>
      <c r="E795" s="17"/>
      <c r="F795" s="6"/>
      <c r="G795" s="13"/>
      <c r="H795" s="13"/>
      <c r="I795" s="13"/>
      <c r="J795" s="29"/>
      <c r="K795" s="4"/>
      <c r="L795" s="13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149"/>
      <c r="C796" s="4"/>
      <c r="D796" s="5"/>
      <c r="E796" s="17"/>
      <c r="F796" s="6"/>
      <c r="G796" s="13"/>
      <c r="H796" s="13"/>
      <c r="I796" s="13"/>
      <c r="J796" s="29"/>
      <c r="K796" s="4"/>
      <c r="L796" s="1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149"/>
      <c r="C797" s="4"/>
      <c r="D797" s="5"/>
      <c r="E797" s="17"/>
      <c r="F797" s="6"/>
      <c r="G797" s="13"/>
      <c r="H797" s="13"/>
      <c r="I797" s="13"/>
      <c r="J797" s="29"/>
      <c r="K797" s="4"/>
      <c r="L797" s="13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149"/>
      <c r="C798" s="4"/>
      <c r="D798" s="5"/>
      <c r="E798" s="17"/>
      <c r="F798" s="6"/>
      <c r="G798" s="13"/>
      <c r="H798" s="13"/>
      <c r="I798" s="13"/>
      <c r="J798" s="29"/>
      <c r="K798" s="4"/>
      <c r="L798" s="13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149"/>
      <c r="C799" s="4"/>
      <c r="D799" s="5"/>
      <c r="E799" s="17"/>
      <c r="F799" s="6"/>
      <c r="G799" s="13"/>
      <c r="H799" s="13"/>
      <c r="I799" s="13"/>
      <c r="J799" s="29"/>
      <c r="K799" s="4"/>
      <c r="L799" s="13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149"/>
      <c r="C800" s="4"/>
      <c r="D800" s="5"/>
      <c r="E800" s="17"/>
      <c r="F800" s="6"/>
      <c r="G800" s="13"/>
      <c r="H800" s="13"/>
      <c r="I800" s="13"/>
      <c r="J800" s="29"/>
      <c r="K800" s="4"/>
      <c r="L800" s="13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149"/>
      <c r="C801" s="4"/>
      <c r="D801" s="5"/>
      <c r="E801" s="17"/>
      <c r="F801" s="6"/>
      <c r="G801" s="13"/>
      <c r="H801" s="13"/>
      <c r="I801" s="13"/>
      <c r="J801" s="29"/>
      <c r="K801" s="4"/>
      <c r="L801" s="13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149"/>
      <c r="C802" s="4"/>
      <c r="D802" s="5"/>
      <c r="E802" s="17"/>
      <c r="F802" s="6"/>
      <c r="G802" s="13"/>
      <c r="H802" s="13"/>
      <c r="I802" s="13"/>
      <c r="J802" s="29"/>
      <c r="K802" s="4"/>
      <c r="L802" s="13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149"/>
      <c r="C803" s="4"/>
      <c r="D803" s="5"/>
      <c r="E803" s="17"/>
      <c r="F803" s="6"/>
      <c r="G803" s="13"/>
      <c r="H803" s="13"/>
      <c r="I803" s="13"/>
      <c r="J803" s="29"/>
      <c r="K803" s="4"/>
      <c r="L803" s="13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149"/>
      <c r="C804" s="4"/>
      <c r="D804" s="5"/>
      <c r="E804" s="17"/>
      <c r="F804" s="6"/>
      <c r="G804" s="13"/>
      <c r="H804" s="13"/>
      <c r="I804" s="13"/>
      <c r="J804" s="29"/>
      <c r="K804" s="4"/>
      <c r="L804" s="13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149"/>
      <c r="C805" s="4"/>
      <c r="D805" s="5"/>
      <c r="E805" s="17"/>
      <c r="F805" s="6"/>
      <c r="G805" s="13"/>
      <c r="H805" s="13"/>
      <c r="I805" s="13"/>
      <c r="J805" s="29"/>
      <c r="K805" s="4"/>
      <c r="L805" s="13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149"/>
      <c r="C806" s="4"/>
      <c r="D806" s="5"/>
      <c r="E806" s="17"/>
      <c r="F806" s="6"/>
      <c r="G806" s="13"/>
      <c r="H806" s="13"/>
      <c r="I806" s="13"/>
      <c r="J806" s="29"/>
      <c r="K806" s="4"/>
      <c r="L806" s="1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149"/>
      <c r="C807" s="4"/>
      <c r="D807" s="5"/>
      <c r="E807" s="17"/>
      <c r="F807" s="6"/>
      <c r="G807" s="13"/>
      <c r="H807" s="13"/>
      <c r="I807" s="13"/>
      <c r="J807" s="29"/>
      <c r="K807" s="4"/>
      <c r="L807" s="13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149"/>
      <c r="C808" s="4"/>
      <c r="D808" s="5"/>
      <c r="E808" s="17"/>
      <c r="F808" s="6"/>
      <c r="G808" s="13"/>
      <c r="H808" s="13"/>
      <c r="I808" s="13"/>
      <c r="J808" s="29"/>
      <c r="K808" s="4"/>
      <c r="L808" s="13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149"/>
      <c r="C809" s="4"/>
      <c r="D809" s="5"/>
      <c r="E809" s="17"/>
      <c r="F809" s="6"/>
      <c r="G809" s="13"/>
      <c r="H809" s="13"/>
      <c r="I809" s="13"/>
      <c r="J809" s="29"/>
      <c r="K809" s="4"/>
      <c r="L809" s="13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149"/>
      <c r="C810" s="4"/>
      <c r="D810" s="5"/>
      <c r="E810" s="17"/>
      <c r="F810" s="6"/>
      <c r="G810" s="13"/>
      <c r="H810" s="13"/>
      <c r="I810" s="13"/>
      <c r="J810" s="29"/>
      <c r="K810" s="4"/>
      <c r="L810" s="13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149"/>
      <c r="C811" s="4"/>
      <c r="D811" s="5"/>
      <c r="E811" s="17"/>
      <c r="F811" s="6"/>
      <c r="G811" s="13"/>
      <c r="H811" s="13"/>
      <c r="I811" s="13"/>
      <c r="J811" s="29"/>
      <c r="K811" s="4"/>
      <c r="L811" s="13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149"/>
      <c r="C812" s="4"/>
      <c r="D812" s="5"/>
      <c r="E812" s="17"/>
      <c r="F812" s="6"/>
      <c r="G812" s="13"/>
      <c r="H812" s="13"/>
      <c r="I812" s="13"/>
      <c r="J812" s="29"/>
      <c r="K812" s="4"/>
      <c r="L812" s="13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149"/>
      <c r="C813" s="4"/>
      <c r="D813" s="5"/>
      <c r="E813" s="17"/>
      <c r="F813" s="6"/>
      <c r="G813" s="13"/>
      <c r="H813" s="13"/>
      <c r="I813" s="13"/>
      <c r="J813" s="29"/>
      <c r="K813" s="4"/>
      <c r="L813" s="13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149"/>
      <c r="C814" s="4"/>
      <c r="D814" s="5"/>
      <c r="E814" s="17"/>
      <c r="F814" s="6"/>
      <c r="G814" s="13"/>
      <c r="H814" s="13"/>
      <c r="I814" s="13"/>
      <c r="J814" s="29"/>
      <c r="K814" s="4"/>
      <c r="L814" s="1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149"/>
      <c r="C815" s="4"/>
      <c r="D815" s="5"/>
      <c r="E815" s="17"/>
      <c r="F815" s="6"/>
      <c r="G815" s="13"/>
      <c r="H815" s="13"/>
      <c r="I815" s="13"/>
      <c r="J815" s="29"/>
      <c r="K815" s="4"/>
      <c r="L815" s="1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149"/>
      <c r="C816" s="4"/>
      <c r="D816" s="5"/>
      <c r="E816" s="17"/>
      <c r="F816" s="6"/>
      <c r="G816" s="13"/>
      <c r="H816" s="13"/>
      <c r="I816" s="13"/>
      <c r="J816" s="29"/>
      <c r="K816" s="4"/>
      <c r="L816" s="1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149"/>
      <c r="C817" s="4"/>
      <c r="D817" s="5"/>
      <c r="E817" s="17"/>
      <c r="F817" s="6"/>
      <c r="G817" s="13"/>
      <c r="H817" s="13"/>
      <c r="I817" s="13"/>
      <c r="J817" s="29"/>
      <c r="K817" s="4"/>
      <c r="L817" s="1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149"/>
      <c r="C818" s="4"/>
      <c r="D818" s="5"/>
      <c r="E818" s="17"/>
      <c r="F818" s="6"/>
      <c r="G818" s="13"/>
      <c r="H818" s="13"/>
      <c r="I818" s="13"/>
      <c r="J818" s="29"/>
      <c r="K818" s="4"/>
      <c r="L818" s="13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149"/>
      <c r="C819" s="4"/>
      <c r="D819" s="5"/>
      <c r="E819" s="17"/>
      <c r="F819" s="6"/>
      <c r="G819" s="13"/>
      <c r="H819" s="13"/>
      <c r="I819" s="13"/>
      <c r="J819" s="29"/>
      <c r="K819" s="4"/>
      <c r="L819" s="13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149"/>
      <c r="C820" s="4"/>
      <c r="D820" s="5"/>
      <c r="E820" s="17"/>
      <c r="F820" s="6"/>
      <c r="G820" s="13"/>
      <c r="H820" s="13"/>
      <c r="I820" s="13"/>
      <c r="J820" s="29"/>
      <c r="K820" s="4"/>
      <c r="L820" s="13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149"/>
      <c r="C821" s="4"/>
      <c r="D821" s="5"/>
      <c r="E821" s="17"/>
      <c r="F821" s="6"/>
      <c r="G821" s="13"/>
      <c r="H821" s="13"/>
      <c r="I821" s="13"/>
      <c r="J821" s="29"/>
      <c r="K821" s="4"/>
      <c r="L821" s="13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149"/>
      <c r="C822" s="4"/>
      <c r="D822" s="5"/>
      <c r="E822" s="17"/>
      <c r="F822" s="6"/>
      <c r="G822" s="13"/>
      <c r="H822" s="13"/>
      <c r="I822" s="13"/>
      <c r="J822" s="29"/>
      <c r="K822" s="4"/>
      <c r="L822" s="13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149"/>
      <c r="C823" s="4"/>
      <c r="D823" s="5"/>
      <c r="E823" s="17"/>
      <c r="F823" s="6"/>
      <c r="G823" s="13"/>
      <c r="H823" s="13"/>
      <c r="I823" s="13"/>
      <c r="J823" s="29"/>
      <c r="K823" s="4"/>
      <c r="L823" s="13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149"/>
      <c r="C824" s="4"/>
      <c r="D824" s="5"/>
      <c r="E824" s="17"/>
      <c r="F824" s="6"/>
      <c r="G824" s="13"/>
      <c r="H824" s="13"/>
      <c r="I824" s="13"/>
      <c r="J824" s="29"/>
      <c r="K824" s="4"/>
      <c r="L824" s="13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149"/>
      <c r="C825" s="4"/>
      <c r="D825" s="5"/>
      <c r="E825" s="17"/>
      <c r="F825" s="6"/>
      <c r="G825" s="13"/>
      <c r="H825" s="13"/>
      <c r="I825" s="13"/>
      <c r="J825" s="29"/>
      <c r="K825" s="4"/>
      <c r="L825" s="13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149"/>
      <c r="C826" s="4"/>
      <c r="D826" s="5"/>
      <c r="E826" s="17"/>
      <c r="F826" s="6"/>
      <c r="G826" s="13"/>
      <c r="H826" s="13"/>
      <c r="I826" s="13"/>
      <c r="J826" s="29"/>
      <c r="K826" s="4"/>
      <c r="L826" s="13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149"/>
      <c r="C827" s="4"/>
      <c r="D827" s="5"/>
      <c r="E827" s="17"/>
      <c r="F827" s="6"/>
      <c r="G827" s="13"/>
      <c r="H827" s="13"/>
      <c r="I827" s="13"/>
      <c r="J827" s="29"/>
      <c r="K827" s="4"/>
      <c r="L827" s="1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149"/>
      <c r="C828" s="4"/>
      <c r="D828" s="5"/>
      <c r="E828" s="17"/>
      <c r="F828" s="6"/>
      <c r="G828" s="13"/>
      <c r="H828" s="13"/>
      <c r="I828" s="13"/>
      <c r="J828" s="29"/>
      <c r="K828" s="4"/>
      <c r="L828" s="13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149"/>
      <c r="C829" s="4"/>
      <c r="D829" s="5"/>
      <c r="E829" s="17"/>
      <c r="F829" s="6"/>
      <c r="G829" s="13"/>
      <c r="H829" s="13"/>
      <c r="I829" s="13"/>
      <c r="J829" s="29"/>
      <c r="K829" s="4"/>
      <c r="L829" s="13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149"/>
      <c r="C830" s="4"/>
      <c r="D830" s="5"/>
      <c r="E830" s="17"/>
      <c r="F830" s="6"/>
      <c r="G830" s="13"/>
      <c r="H830" s="13"/>
      <c r="I830" s="13"/>
      <c r="J830" s="29"/>
      <c r="K830" s="4"/>
      <c r="L830" s="13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149"/>
      <c r="C831" s="4"/>
      <c r="D831" s="5"/>
      <c r="E831" s="17"/>
      <c r="F831" s="6"/>
      <c r="G831" s="13"/>
      <c r="H831" s="13"/>
      <c r="I831" s="13"/>
      <c r="J831" s="29"/>
      <c r="K831" s="4"/>
      <c r="L831" s="13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149"/>
      <c r="C832" s="4"/>
      <c r="D832" s="5"/>
      <c r="E832" s="17"/>
      <c r="F832" s="6"/>
      <c r="G832" s="13"/>
      <c r="H832" s="13"/>
      <c r="I832" s="13"/>
      <c r="J832" s="29"/>
      <c r="K832" s="4"/>
      <c r="L832" s="13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149"/>
      <c r="C833" s="4"/>
      <c r="D833" s="5"/>
      <c r="E833" s="17"/>
      <c r="F833" s="6"/>
      <c r="G833" s="13"/>
      <c r="H833" s="13"/>
      <c r="I833" s="13"/>
      <c r="J833" s="29"/>
      <c r="K833" s="4"/>
      <c r="L833" s="13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149"/>
      <c r="C834" s="4"/>
      <c r="D834" s="5"/>
      <c r="E834" s="17"/>
      <c r="F834" s="6"/>
      <c r="G834" s="13"/>
      <c r="H834" s="13"/>
      <c r="I834" s="13"/>
      <c r="J834" s="29"/>
      <c r="K834" s="4"/>
      <c r="L834" s="13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149"/>
      <c r="C835" s="4"/>
      <c r="D835" s="5"/>
      <c r="E835" s="17"/>
      <c r="F835" s="6"/>
      <c r="G835" s="13"/>
      <c r="H835" s="13"/>
      <c r="I835" s="13"/>
      <c r="J835" s="29"/>
      <c r="K835" s="4"/>
      <c r="L835" s="1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149"/>
      <c r="C836" s="4"/>
      <c r="D836" s="5"/>
      <c r="E836" s="17"/>
      <c r="F836" s="6"/>
      <c r="G836" s="13"/>
      <c r="H836" s="13"/>
      <c r="I836" s="13"/>
      <c r="J836" s="29"/>
      <c r="K836" s="4"/>
      <c r="L836" s="13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149"/>
      <c r="C837" s="4"/>
      <c r="D837" s="5"/>
      <c r="E837" s="17"/>
      <c r="F837" s="6"/>
      <c r="G837" s="13"/>
      <c r="H837" s="13"/>
      <c r="I837" s="13"/>
      <c r="J837" s="29"/>
      <c r="K837" s="4"/>
      <c r="L837" s="13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149"/>
      <c r="C838" s="4"/>
      <c r="D838" s="5"/>
      <c r="E838" s="17"/>
      <c r="F838" s="6"/>
      <c r="G838" s="13"/>
      <c r="H838" s="13"/>
      <c r="I838" s="13"/>
      <c r="J838" s="29"/>
      <c r="K838" s="4"/>
      <c r="L838" s="13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149"/>
      <c r="C839" s="4"/>
      <c r="D839" s="5"/>
      <c r="E839" s="17"/>
      <c r="F839" s="6"/>
      <c r="G839" s="13"/>
      <c r="H839" s="13"/>
      <c r="I839" s="13"/>
      <c r="J839" s="29"/>
      <c r="K839" s="4"/>
      <c r="L839" s="13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149"/>
      <c r="C840" s="4"/>
      <c r="D840" s="5"/>
      <c r="E840" s="17"/>
      <c r="F840" s="6"/>
      <c r="G840" s="13"/>
      <c r="H840" s="13"/>
      <c r="I840" s="13"/>
      <c r="J840" s="29"/>
      <c r="K840" s="4"/>
      <c r="L840" s="13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149"/>
      <c r="C841" s="4"/>
      <c r="D841" s="5"/>
      <c r="E841" s="17"/>
      <c r="F841" s="6"/>
      <c r="G841" s="13"/>
      <c r="H841" s="13"/>
      <c r="I841" s="13"/>
      <c r="J841" s="29"/>
      <c r="K841" s="4"/>
      <c r="L841" s="13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149"/>
      <c r="C842" s="4"/>
      <c r="D842" s="5"/>
      <c r="E842" s="17"/>
      <c r="F842" s="6"/>
      <c r="G842" s="13"/>
      <c r="H842" s="13"/>
      <c r="I842" s="13"/>
      <c r="J842" s="29"/>
      <c r="K842" s="4"/>
      <c r="L842" s="13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149"/>
      <c r="C843" s="4"/>
      <c r="D843" s="5"/>
      <c r="E843" s="17"/>
      <c r="F843" s="6"/>
      <c r="G843" s="13"/>
      <c r="H843" s="13"/>
      <c r="I843" s="13"/>
      <c r="J843" s="29"/>
      <c r="K843" s="4"/>
      <c r="L843" s="13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149"/>
      <c r="C844" s="4"/>
      <c r="D844" s="5"/>
      <c r="E844" s="17"/>
      <c r="F844" s="6"/>
      <c r="G844" s="13"/>
      <c r="H844" s="13"/>
      <c r="I844" s="13"/>
      <c r="J844" s="29"/>
      <c r="K844" s="4"/>
      <c r="L844" s="1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149"/>
      <c r="C845" s="4"/>
      <c r="D845" s="5"/>
      <c r="E845" s="17"/>
      <c r="F845" s="6"/>
      <c r="G845" s="13"/>
      <c r="H845" s="13"/>
      <c r="I845" s="13"/>
      <c r="J845" s="29"/>
      <c r="K845" s="4"/>
      <c r="L845" s="1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149"/>
      <c r="C846" s="4"/>
      <c r="D846" s="5"/>
      <c r="E846" s="17"/>
      <c r="F846" s="6"/>
      <c r="G846" s="13"/>
      <c r="H846" s="13"/>
      <c r="I846" s="13"/>
      <c r="J846" s="29"/>
      <c r="K846" s="4"/>
      <c r="L846" s="13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149"/>
      <c r="C847" s="4"/>
      <c r="D847" s="5"/>
      <c r="E847" s="17"/>
      <c r="F847" s="6"/>
      <c r="G847" s="13"/>
      <c r="H847" s="13"/>
      <c r="I847" s="13"/>
      <c r="J847" s="29"/>
      <c r="K847" s="4"/>
      <c r="L847" s="13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149"/>
      <c r="C848" s="4"/>
      <c r="D848" s="5"/>
      <c r="E848" s="17"/>
      <c r="F848" s="6"/>
      <c r="G848" s="13"/>
      <c r="H848" s="13"/>
      <c r="I848" s="13"/>
      <c r="J848" s="29"/>
      <c r="K848" s="4"/>
      <c r="L848" s="13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149"/>
      <c r="C849" s="4"/>
      <c r="D849" s="5"/>
      <c r="E849" s="17"/>
      <c r="F849" s="6"/>
      <c r="G849" s="13"/>
      <c r="H849" s="13"/>
      <c r="I849" s="13"/>
      <c r="J849" s="29"/>
      <c r="K849" s="4"/>
      <c r="L849" s="13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149"/>
      <c r="C850" s="4"/>
      <c r="D850" s="5"/>
      <c r="E850" s="17"/>
      <c r="F850" s="6"/>
      <c r="G850" s="13"/>
      <c r="H850" s="13"/>
      <c r="I850" s="13"/>
      <c r="J850" s="29"/>
      <c r="K850" s="4"/>
      <c r="L850" s="13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149"/>
      <c r="C851" s="4"/>
      <c r="D851" s="5"/>
      <c r="E851" s="17"/>
      <c r="F851" s="6"/>
      <c r="G851" s="13"/>
      <c r="H851" s="13"/>
      <c r="I851" s="13"/>
      <c r="J851" s="29"/>
      <c r="K851" s="4"/>
      <c r="L851" s="13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149"/>
      <c r="C852" s="4"/>
      <c r="D852" s="5"/>
      <c r="E852" s="17"/>
      <c r="F852" s="6"/>
      <c r="G852" s="13"/>
      <c r="H852" s="13"/>
      <c r="I852" s="13"/>
      <c r="J852" s="29"/>
      <c r="K852" s="4"/>
      <c r="L852" s="13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149"/>
      <c r="C853" s="4"/>
      <c r="D853" s="5"/>
      <c r="E853" s="17"/>
      <c r="F853" s="6"/>
      <c r="G853" s="13"/>
      <c r="H853" s="13"/>
      <c r="I853" s="13"/>
      <c r="J853" s="29"/>
      <c r="K853" s="4"/>
      <c r="L853" s="13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149"/>
      <c r="C854" s="4"/>
      <c r="D854" s="5"/>
      <c r="E854" s="17"/>
      <c r="F854" s="6"/>
      <c r="G854" s="13"/>
      <c r="H854" s="13"/>
      <c r="I854" s="13"/>
      <c r="J854" s="29"/>
      <c r="K854" s="4"/>
      <c r="L854" s="1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149"/>
      <c r="C855" s="4"/>
      <c r="D855" s="5"/>
      <c r="E855" s="17"/>
      <c r="F855" s="6"/>
      <c r="G855" s="13"/>
      <c r="H855" s="13"/>
      <c r="I855" s="13"/>
      <c r="J855" s="29"/>
      <c r="K855" s="4"/>
      <c r="L855" s="1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149"/>
      <c r="C856" s="4"/>
      <c r="D856" s="5"/>
      <c r="E856" s="17"/>
      <c r="F856" s="6"/>
      <c r="G856" s="13"/>
      <c r="H856" s="13"/>
      <c r="I856" s="13"/>
      <c r="J856" s="29"/>
      <c r="K856" s="4"/>
      <c r="L856" s="13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149"/>
      <c r="C857" s="4"/>
      <c r="D857" s="5"/>
      <c r="E857" s="17"/>
      <c r="F857" s="6"/>
      <c r="G857" s="13"/>
      <c r="H857" s="13"/>
      <c r="I857" s="13"/>
      <c r="J857" s="29"/>
      <c r="K857" s="4"/>
      <c r="L857" s="1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149"/>
      <c r="C858" s="4"/>
      <c r="D858" s="5"/>
      <c r="E858" s="17"/>
      <c r="F858" s="6"/>
      <c r="G858" s="13"/>
      <c r="H858" s="13"/>
      <c r="I858" s="13"/>
      <c r="J858" s="29"/>
      <c r="K858" s="4"/>
      <c r="L858" s="1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149"/>
      <c r="C859" s="4"/>
      <c r="D859" s="5"/>
      <c r="E859" s="17"/>
      <c r="F859" s="6"/>
      <c r="G859" s="13"/>
      <c r="H859" s="13"/>
      <c r="I859" s="13"/>
      <c r="J859" s="29"/>
      <c r="K859" s="4"/>
      <c r="L859" s="1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149"/>
      <c r="C860" s="4"/>
      <c r="D860" s="5"/>
      <c r="E860" s="17"/>
      <c r="F860" s="6"/>
      <c r="G860" s="13"/>
      <c r="H860" s="13"/>
      <c r="I860" s="13"/>
      <c r="J860" s="29"/>
      <c r="K860" s="4"/>
      <c r="L860" s="1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149"/>
      <c r="C861" s="4"/>
      <c r="D861" s="5"/>
      <c r="E861" s="17"/>
      <c r="F861" s="6"/>
      <c r="G861" s="13"/>
      <c r="H861" s="13"/>
      <c r="I861" s="13"/>
      <c r="J861" s="29"/>
      <c r="K861" s="4"/>
      <c r="L861" s="13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149"/>
      <c r="C862" s="4"/>
      <c r="D862" s="5"/>
      <c r="E862" s="17"/>
      <c r="F862" s="6"/>
      <c r="G862" s="13"/>
      <c r="H862" s="13"/>
      <c r="I862" s="13"/>
      <c r="J862" s="29"/>
      <c r="K862" s="4"/>
      <c r="L862" s="13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149"/>
      <c r="C863" s="4"/>
      <c r="D863" s="5"/>
      <c r="E863" s="17"/>
      <c r="F863" s="6"/>
      <c r="G863" s="13"/>
      <c r="H863" s="13"/>
      <c r="I863" s="13"/>
      <c r="J863" s="29"/>
      <c r="K863" s="4"/>
      <c r="L863" s="13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149"/>
      <c r="C864" s="4"/>
      <c r="D864" s="5"/>
      <c r="E864" s="17"/>
      <c r="F864" s="6"/>
      <c r="G864" s="13"/>
      <c r="H864" s="13"/>
      <c r="I864" s="13"/>
      <c r="J864" s="29"/>
      <c r="K864" s="4"/>
      <c r="L864" s="1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149"/>
      <c r="C865" s="4"/>
      <c r="D865" s="5"/>
      <c r="E865" s="17"/>
      <c r="F865" s="6"/>
      <c r="G865" s="13"/>
      <c r="H865" s="13"/>
      <c r="I865" s="13"/>
      <c r="J865" s="29"/>
      <c r="K865" s="4"/>
      <c r="L865" s="13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149"/>
      <c r="C866" s="4"/>
      <c r="D866" s="5"/>
      <c r="E866" s="17"/>
      <c r="F866" s="6"/>
      <c r="G866" s="13"/>
      <c r="H866" s="13"/>
      <c r="I866" s="13"/>
      <c r="J866" s="29"/>
      <c r="K866" s="4"/>
      <c r="L866" s="13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149"/>
      <c r="C867" s="4"/>
      <c r="D867" s="5"/>
      <c r="E867" s="17"/>
      <c r="F867" s="6"/>
      <c r="G867" s="13"/>
      <c r="H867" s="13"/>
      <c r="I867" s="13"/>
      <c r="J867" s="29"/>
      <c r="K867" s="4"/>
      <c r="L867" s="13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149"/>
      <c r="C868" s="4"/>
      <c r="D868" s="5"/>
      <c r="E868" s="17"/>
      <c r="F868" s="6"/>
      <c r="G868" s="13"/>
      <c r="H868" s="13"/>
      <c r="I868" s="13"/>
      <c r="J868" s="29"/>
      <c r="K868" s="4"/>
      <c r="L868" s="13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149"/>
      <c r="C869" s="4"/>
      <c r="D869" s="5"/>
      <c r="E869" s="17"/>
      <c r="F869" s="6"/>
      <c r="G869" s="13"/>
      <c r="H869" s="13"/>
      <c r="I869" s="13"/>
      <c r="J869" s="29"/>
      <c r="K869" s="4"/>
      <c r="L869" s="13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149"/>
      <c r="C870" s="4"/>
      <c r="D870" s="5"/>
      <c r="E870" s="17"/>
      <c r="F870" s="6"/>
      <c r="G870" s="13"/>
      <c r="H870" s="13"/>
      <c r="I870" s="13"/>
      <c r="J870" s="29"/>
      <c r="K870" s="4"/>
      <c r="L870" s="13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149"/>
      <c r="C871" s="4"/>
      <c r="D871" s="5"/>
      <c r="E871" s="17"/>
      <c r="F871" s="6"/>
      <c r="G871" s="13"/>
      <c r="H871" s="13"/>
      <c r="I871" s="13"/>
      <c r="J871" s="29"/>
      <c r="K871" s="4"/>
      <c r="L871" s="13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149"/>
      <c r="C872" s="4"/>
      <c r="D872" s="5"/>
      <c r="E872" s="17"/>
      <c r="F872" s="6"/>
      <c r="G872" s="13"/>
      <c r="H872" s="13"/>
      <c r="I872" s="13"/>
      <c r="J872" s="29"/>
      <c r="K872" s="4"/>
      <c r="L872" s="1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149"/>
      <c r="C873" s="4"/>
      <c r="D873" s="5"/>
      <c r="E873" s="17"/>
      <c r="F873" s="6"/>
      <c r="G873" s="13"/>
      <c r="H873" s="13"/>
      <c r="I873" s="13"/>
      <c r="J873" s="29"/>
      <c r="K873" s="4"/>
      <c r="L873" s="13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149"/>
      <c r="C874" s="4"/>
      <c r="D874" s="5"/>
      <c r="E874" s="17"/>
      <c r="F874" s="6"/>
      <c r="G874" s="13"/>
      <c r="H874" s="13"/>
      <c r="I874" s="13"/>
      <c r="J874" s="29"/>
      <c r="K874" s="4"/>
      <c r="L874" s="13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149"/>
      <c r="C875" s="4"/>
      <c r="D875" s="5"/>
      <c r="E875" s="17"/>
      <c r="F875" s="6"/>
      <c r="G875" s="13"/>
      <c r="H875" s="13"/>
      <c r="I875" s="13"/>
      <c r="J875" s="29"/>
      <c r="K875" s="4"/>
      <c r="L875" s="13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149"/>
      <c r="C876" s="4"/>
      <c r="D876" s="5"/>
      <c r="E876" s="17"/>
      <c r="F876" s="6"/>
      <c r="G876" s="13"/>
      <c r="H876" s="13"/>
      <c r="I876" s="13"/>
      <c r="J876" s="29"/>
      <c r="K876" s="4"/>
      <c r="L876" s="13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149"/>
      <c r="C877" s="4"/>
      <c r="D877" s="5"/>
      <c r="E877" s="17"/>
      <c r="F877" s="6"/>
      <c r="G877" s="13"/>
      <c r="H877" s="13"/>
      <c r="I877" s="13"/>
      <c r="J877" s="29"/>
      <c r="K877" s="4"/>
      <c r="L877" s="13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149"/>
      <c r="C878" s="4"/>
      <c r="D878" s="5"/>
      <c r="E878" s="17"/>
      <c r="F878" s="6"/>
      <c r="G878" s="13"/>
      <c r="H878" s="13"/>
      <c r="I878" s="13"/>
      <c r="J878" s="29"/>
      <c r="K878" s="4"/>
      <c r="L878" s="13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149"/>
      <c r="C879" s="4"/>
      <c r="D879" s="5"/>
      <c r="E879" s="17"/>
      <c r="F879" s="6"/>
      <c r="G879" s="13"/>
      <c r="H879" s="13"/>
      <c r="I879" s="13"/>
      <c r="J879" s="29"/>
      <c r="K879" s="4"/>
      <c r="L879" s="1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149"/>
      <c r="C880" s="4"/>
      <c r="D880" s="5"/>
      <c r="E880" s="17"/>
      <c r="F880" s="6"/>
      <c r="G880" s="13"/>
      <c r="H880" s="13"/>
      <c r="I880" s="13"/>
      <c r="J880" s="29"/>
      <c r="K880" s="4"/>
      <c r="L880" s="1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149"/>
      <c r="C881" s="4"/>
      <c r="D881" s="5"/>
      <c r="E881" s="17"/>
      <c r="F881" s="6"/>
      <c r="G881" s="13"/>
      <c r="H881" s="13"/>
      <c r="I881" s="13"/>
      <c r="J881" s="29"/>
      <c r="K881" s="4"/>
      <c r="L881" s="13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149"/>
      <c r="C882" s="4"/>
      <c r="D882" s="5"/>
      <c r="E882" s="17"/>
      <c r="F882" s="6"/>
      <c r="G882" s="13"/>
      <c r="H882" s="13"/>
      <c r="I882" s="13"/>
      <c r="J882" s="29"/>
      <c r="K882" s="4"/>
      <c r="L882" s="13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149"/>
      <c r="C883" s="4"/>
      <c r="D883" s="5"/>
      <c r="E883" s="17"/>
      <c r="F883" s="6"/>
      <c r="G883" s="13"/>
      <c r="H883" s="13"/>
      <c r="I883" s="13"/>
      <c r="J883" s="29"/>
      <c r="K883" s="4"/>
      <c r="L883" s="13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149"/>
      <c r="C884" s="4"/>
      <c r="D884" s="5"/>
      <c r="E884" s="17"/>
      <c r="F884" s="6"/>
      <c r="G884" s="13"/>
      <c r="H884" s="13"/>
      <c r="I884" s="13"/>
      <c r="J884" s="29"/>
      <c r="K884" s="4"/>
      <c r="L884" s="13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149"/>
      <c r="C885" s="4"/>
      <c r="D885" s="5"/>
      <c r="E885" s="17"/>
      <c r="F885" s="6"/>
      <c r="G885" s="13"/>
      <c r="H885" s="13"/>
      <c r="I885" s="13"/>
      <c r="J885" s="29"/>
      <c r="K885" s="4"/>
      <c r="L885" s="13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149"/>
      <c r="C886" s="4"/>
      <c r="D886" s="5"/>
      <c r="E886" s="17"/>
      <c r="F886" s="6"/>
      <c r="G886" s="13"/>
      <c r="H886" s="13"/>
      <c r="I886" s="13"/>
      <c r="J886" s="29"/>
      <c r="K886" s="4"/>
      <c r="L886" s="13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149"/>
      <c r="C887" s="4"/>
      <c r="D887" s="5"/>
      <c r="E887" s="17"/>
      <c r="F887" s="6"/>
      <c r="G887" s="13"/>
      <c r="H887" s="13"/>
      <c r="I887" s="13"/>
      <c r="J887" s="29"/>
      <c r="K887" s="4"/>
      <c r="L887" s="13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149"/>
      <c r="C888" s="4"/>
      <c r="D888" s="5"/>
      <c r="E888" s="17"/>
      <c r="F888" s="6"/>
      <c r="G888" s="13"/>
      <c r="H888" s="13"/>
      <c r="I888" s="13"/>
      <c r="J888" s="29"/>
      <c r="K888" s="4"/>
      <c r="L888" s="13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149"/>
      <c r="C889" s="4"/>
      <c r="D889" s="5"/>
      <c r="E889" s="17"/>
      <c r="F889" s="6"/>
      <c r="G889" s="13"/>
      <c r="H889" s="13"/>
      <c r="I889" s="13"/>
      <c r="J889" s="29"/>
      <c r="K889" s="4"/>
      <c r="L889" s="1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149"/>
      <c r="C890" s="4"/>
      <c r="D890" s="5"/>
      <c r="E890" s="17"/>
      <c r="F890" s="6"/>
      <c r="G890" s="13"/>
      <c r="H890" s="13"/>
      <c r="I890" s="13"/>
      <c r="J890" s="29"/>
      <c r="K890" s="4"/>
      <c r="L890" s="13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149"/>
      <c r="C891" s="4"/>
      <c r="D891" s="5"/>
      <c r="E891" s="17"/>
      <c r="F891" s="6"/>
      <c r="G891" s="13"/>
      <c r="H891" s="13"/>
      <c r="I891" s="13"/>
      <c r="J891" s="29"/>
      <c r="K891" s="4"/>
      <c r="L891" s="13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149"/>
      <c r="C892" s="4"/>
      <c r="D892" s="5"/>
      <c r="E892" s="17"/>
      <c r="F892" s="6"/>
      <c r="G892" s="13"/>
      <c r="H892" s="13"/>
      <c r="I892" s="13"/>
      <c r="J892" s="29"/>
      <c r="K892" s="4"/>
      <c r="L892" s="13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149"/>
      <c r="C893" s="4"/>
      <c r="D893" s="5"/>
      <c r="E893" s="17"/>
      <c r="F893" s="6"/>
      <c r="G893" s="13"/>
      <c r="H893" s="13"/>
      <c r="I893" s="13"/>
      <c r="J893" s="29"/>
      <c r="K893" s="4"/>
      <c r="L893" s="13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149"/>
      <c r="C894" s="4"/>
      <c r="D894" s="5"/>
      <c r="E894" s="17"/>
      <c r="F894" s="6"/>
      <c r="G894" s="13"/>
      <c r="H894" s="13"/>
      <c r="I894" s="13"/>
      <c r="J894" s="29"/>
      <c r="K894" s="4"/>
      <c r="L894" s="13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149"/>
      <c r="C895" s="4"/>
      <c r="D895" s="5"/>
      <c r="E895" s="17"/>
      <c r="F895" s="6"/>
      <c r="G895" s="13"/>
      <c r="H895" s="13"/>
      <c r="I895" s="13"/>
      <c r="J895" s="29"/>
      <c r="K895" s="4"/>
      <c r="L895" s="13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149"/>
      <c r="C896" s="4"/>
      <c r="D896" s="5"/>
      <c r="E896" s="17"/>
      <c r="F896" s="6"/>
      <c r="G896" s="13"/>
      <c r="H896" s="13"/>
      <c r="I896" s="13"/>
      <c r="J896" s="29"/>
      <c r="K896" s="4"/>
      <c r="L896" s="1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149"/>
      <c r="C897" s="4"/>
      <c r="D897" s="5"/>
      <c r="E897" s="17"/>
      <c r="F897" s="6"/>
      <c r="G897" s="13"/>
      <c r="H897" s="13"/>
      <c r="I897" s="13"/>
      <c r="J897" s="29"/>
      <c r="K897" s="4"/>
      <c r="L897" s="13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149"/>
      <c r="C898" s="4"/>
      <c r="D898" s="5"/>
      <c r="E898" s="17"/>
      <c r="F898" s="6"/>
      <c r="G898" s="13"/>
      <c r="H898" s="13"/>
      <c r="I898" s="13"/>
      <c r="J898" s="29"/>
      <c r="K898" s="4"/>
      <c r="L898" s="13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149"/>
      <c r="C899" s="4"/>
      <c r="D899" s="5"/>
      <c r="E899" s="17"/>
      <c r="F899" s="6"/>
      <c r="G899" s="13"/>
      <c r="H899" s="13"/>
      <c r="I899" s="13"/>
      <c r="J899" s="29"/>
      <c r="K899" s="4"/>
      <c r="L899" s="13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149"/>
      <c r="C900" s="4"/>
      <c r="D900" s="5"/>
      <c r="E900" s="17"/>
      <c r="F900" s="6"/>
      <c r="G900" s="13"/>
      <c r="H900" s="13"/>
      <c r="I900" s="13"/>
      <c r="J900" s="29"/>
      <c r="K900" s="4"/>
      <c r="L900" s="13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149"/>
      <c r="C901" s="4"/>
      <c r="D901" s="5"/>
      <c r="E901" s="17"/>
      <c r="F901" s="6"/>
      <c r="G901" s="13"/>
      <c r="H901" s="13"/>
      <c r="I901" s="13"/>
      <c r="J901" s="29"/>
      <c r="K901" s="4"/>
      <c r="L901" s="13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149"/>
      <c r="C902" s="4"/>
      <c r="D902" s="5"/>
      <c r="E902" s="17"/>
      <c r="F902" s="6"/>
      <c r="G902" s="13"/>
      <c r="H902" s="13"/>
      <c r="I902" s="13"/>
      <c r="J902" s="29"/>
      <c r="K902" s="4"/>
      <c r="L902" s="13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149"/>
      <c r="C903" s="4"/>
      <c r="D903" s="5"/>
      <c r="E903" s="17"/>
      <c r="F903" s="6"/>
      <c r="G903" s="13"/>
      <c r="H903" s="13"/>
      <c r="I903" s="13"/>
      <c r="J903" s="29"/>
      <c r="K903" s="4"/>
      <c r="L903" s="1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149"/>
      <c r="C904" s="4"/>
      <c r="D904" s="5"/>
      <c r="E904" s="17"/>
      <c r="F904" s="6"/>
      <c r="G904" s="13"/>
      <c r="H904" s="13"/>
      <c r="I904" s="13"/>
      <c r="J904" s="29"/>
      <c r="K904" s="4"/>
      <c r="L904" s="13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149"/>
      <c r="C905" s="4"/>
      <c r="D905" s="5"/>
      <c r="E905" s="17"/>
      <c r="F905" s="6"/>
      <c r="G905" s="13"/>
      <c r="H905" s="13"/>
      <c r="I905" s="13"/>
      <c r="J905" s="29"/>
      <c r="K905" s="4"/>
      <c r="L905" s="13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149"/>
      <c r="C906" s="4"/>
      <c r="D906" s="5"/>
      <c r="E906" s="17"/>
      <c r="F906" s="6"/>
      <c r="G906" s="13"/>
      <c r="H906" s="13"/>
      <c r="I906" s="13"/>
      <c r="J906" s="29"/>
      <c r="K906" s="4"/>
      <c r="L906" s="13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149"/>
      <c r="C907" s="4"/>
      <c r="D907" s="5"/>
      <c r="E907" s="17"/>
      <c r="F907" s="6"/>
      <c r="G907" s="13"/>
      <c r="H907" s="13"/>
      <c r="I907" s="13"/>
      <c r="J907" s="29"/>
      <c r="K907" s="4"/>
      <c r="L907" s="13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149"/>
      <c r="C908" s="4"/>
      <c r="D908" s="5"/>
      <c r="E908" s="17"/>
      <c r="F908" s="6"/>
      <c r="G908" s="13"/>
      <c r="H908" s="13"/>
      <c r="I908" s="13"/>
      <c r="J908" s="29"/>
      <c r="K908" s="4"/>
      <c r="L908" s="13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149"/>
      <c r="C909" s="4"/>
      <c r="D909" s="5"/>
      <c r="E909" s="17"/>
      <c r="F909" s="6"/>
      <c r="G909" s="13"/>
      <c r="H909" s="13"/>
      <c r="I909" s="13"/>
      <c r="J909" s="29"/>
      <c r="K909" s="4"/>
      <c r="L909" s="13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149"/>
      <c r="C910" s="4"/>
      <c r="D910" s="5"/>
      <c r="E910" s="17"/>
      <c r="F910" s="6"/>
      <c r="G910" s="13"/>
      <c r="H910" s="13"/>
      <c r="I910" s="13"/>
      <c r="J910" s="29"/>
      <c r="K910" s="4"/>
      <c r="L910" s="13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149"/>
      <c r="C911" s="4"/>
      <c r="D911" s="5"/>
      <c r="E911" s="17"/>
      <c r="F911" s="6"/>
      <c r="G911" s="13"/>
      <c r="H911" s="13"/>
      <c r="I911" s="13"/>
      <c r="J911" s="29"/>
      <c r="K911" s="4"/>
      <c r="L911" s="1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149"/>
      <c r="C912" s="4"/>
      <c r="D912" s="5"/>
      <c r="E912" s="17"/>
      <c r="F912" s="6"/>
      <c r="G912" s="13"/>
      <c r="H912" s="13"/>
      <c r="I912" s="13"/>
      <c r="J912" s="29"/>
      <c r="K912" s="4"/>
      <c r="L912" s="1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149"/>
      <c r="C913" s="4"/>
      <c r="D913" s="5"/>
      <c r="E913" s="17"/>
      <c r="F913" s="6"/>
      <c r="G913" s="13"/>
      <c r="H913" s="13"/>
      <c r="I913" s="13"/>
      <c r="J913" s="29"/>
      <c r="K913" s="4"/>
      <c r="L913" s="13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149"/>
      <c r="C914" s="4"/>
      <c r="D914" s="5"/>
      <c r="E914" s="17"/>
      <c r="F914" s="6"/>
      <c r="G914" s="13"/>
      <c r="H914" s="13"/>
      <c r="I914" s="13"/>
      <c r="J914" s="29"/>
      <c r="K914" s="4"/>
      <c r="L914" s="13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149"/>
      <c r="C915" s="4"/>
      <c r="D915" s="5"/>
      <c r="E915" s="17"/>
      <c r="F915" s="6"/>
      <c r="G915" s="13"/>
      <c r="H915" s="13"/>
      <c r="I915" s="13"/>
      <c r="J915" s="29"/>
      <c r="K915" s="4"/>
      <c r="L915" s="13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149"/>
      <c r="C916" s="4"/>
      <c r="D916" s="5"/>
      <c r="E916" s="17"/>
      <c r="F916" s="6"/>
      <c r="G916" s="13"/>
      <c r="H916" s="13"/>
      <c r="I916" s="13"/>
      <c r="J916" s="29"/>
      <c r="K916" s="4"/>
      <c r="L916" s="13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149"/>
      <c r="C917" s="4"/>
      <c r="D917" s="5"/>
      <c r="E917" s="17"/>
      <c r="F917" s="6"/>
      <c r="G917" s="13"/>
      <c r="H917" s="13"/>
      <c r="I917" s="13"/>
      <c r="J917" s="29"/>
      <c r="K917" s="4"/>
      <c r="L917" s="13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149"/>
      <c r="C918" s="4"/>
      <c r="D918" s="5"/>
      <c r="E918" s="17"/>
      <c r="F918" s="6"/>
      <c r="G918" s="13"/>
      <c r="H918" s="13"/>
      <c r="I918" s="13"/>
      <c r="J918" s="29"/>
      <c r="K918" s="4"/>
      <c r="L918" s="13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149"/>
      <c r="C919" s="4"/>
      <c r="D919" s="5"/>
      <c r="E919" s="17"/>
      <c r="F919" s="6"/>
      <c r="G919" s="13"/>
      <c r="H919" s="13"/>
      <c r="I919" s="13"/>
      <c r="J919" s="29"/>
      <c r="K919" s="4"/>
      <c r="L919" s="13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149"/>
      <c r="C920" s="4"/>
      <c r="D920" s="5"/>
      <c r="E920" s="17"/>
      <c r="F920" s="6"/>
      <c r="G920" s="13"/>
      <c r="H920" s="13"/>
      <c r="I920" s="13"/>
      <c r="J920" s="29"/>
      <c r="K920" s="4"/>
      <c r="L920" s="1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149"/>
      <c r="C921" s="4"/>
      <c r="D921" s="5"/>
      <c r="E921" s="17"/>
      <c r="F921" s="6"/>
      <c r="G921" s="13"/>
      <c r="H921" s="13"/>
      <c r="I921" s="13"/>
      <c r="J921" s="29"/>
      <c r="K921" s="4"/>
      <c r="L921" s="1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149"/>
      <c r="C922" s="4"/>
      <c r="D922" s="5"/>
      <c r="E922" s="17"/>
      <c r="F922" s="6"/>
      <c r="G922" s="13"/>
      <c r="H922" s="13"/>
      <c r="I922" s="13"/>
      <c r="J922" s="29"/>
      <c r="K922" s="4"/>
      <c r="L922" s="13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149"/>
      <c r="C923" s="4"/>
      <c r="D923" s="5"/>
      <c r="E923" s="17"/>
      <c r="F923" s="6"/>
      <c r="G923" s="13"/>
      <c r="H923" s="13"/>
      <c r="I923" s="13"/>
      <c r="J923" s="29"/>
      <c r="K923" s="4"/>
      <c r="L923" s="13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149"/>
      <c r="C924" s="4"/>
      <c r="D924" s="5"/>
      <c r="E924" s="17"/>
      <c r="F924" s="6"/>
      <c r="G924" s="13"/>
      <c r="H924" s="13"/>
      <c r="I924" s="13"/>
      <c r="J924" s="29"/>
      <c r="K924" s="4"/>
      <c r="L924" s="13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149"/>
      <c r="C925" s="4"/>
      <c r="D925" s="5"/>
      <c r="E925" s="17"/>
      <c r="F925" s="6"/>
      <c r="G925" s="13"/>
      <c r="H925" s="13"/>
      <c r="I925" s="13"/>
      <c r="J925" s="29"/>
      <c r="K925" s="4"/>
      <c r="L925" s="13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149"/>
      <c r="C926" s="4"/>
      <c r="D926" s="5"/>
      <c r="E926" s="17"/>
      <c r="F926" s="6"/>
      <c r="G926" s="13"/>
      <c r="H926" s="13"/>
      <c r="I926" s="13"/>
      <c r="J926" s="29"/>
      <c r="K926" s="4"/>
      <c r="L926" s="13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149"/>
      <c r="C927" s="4"/>
      <c r="D927" s="5"/>
      <c r="E927" s="17"/>
      <c r="F927" s="6"/>
      <c r="G927" s="13"/>
      <c r="H927" s="13"/>
      <c r="I927" s="13"/>
      <c r="J927" s="29"/>
      <c r="K927" s="4"/>
      <c r="L927" s="13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149"/>
      <c r="C928" s="4"/>
      <c r="D928" s="5"/>
      <c r="E928" s="17"/>
      <c r="F928" s="6"/>
      <c r="G928" s="13"/>
      <c r="H928" s="13"/>
      <c r="I928" s="13"/>
      <c r="J928" s="29"/>
      <c r="K928" s="4"/>
      <c r="L928" s="13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149"/>
      <c r="C929" s="4"/>
      <c r="D929" s="5"/>
      <c r="E929" s="17"/>
      <c r="F929" s="6"/>
      <c r="G929" s="13"/>
      <c r="H929" s="13"/>
      <c r="I929" s="13"/>
      <c r="J929" s="29"/>
      <c r="K929" s="4"/>
      <c r="L929" s="13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149"/>
      <c r="C930" s="4"/>
      <c r="D930" s="5"/>
      <c r="E930" s="17"/>
      <c r="F930" s="6"/>
      <c r="G930" s="13"/>
      <c r="H930" s="13"/>
      <c r="I930" s="13"/>
      <c r="J930" s="29"/>
      <c r="K930" s="4"/>
      <c r="L930" s="1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149"/>
      <c r="C931" s="4"/>
      <c r="D931" s="5"/>
      <c r="E931" s="17"/>
      <c r="F931" s="6"/>
      <c r="G931" s="13"/>
      <c r="H931" s="13"/>
      <c r="I931" s="13"/>
      <c r="J931" s="29"/>
      <c r="K931" s="4"/>
      <c r="L931" s="13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149"/>
      <c r="C932" s="4"/>
      <c r="D932" s="5"/>
      <c r="E932" s="17"/>
      <c r="F932" s="6"/>
      <c r="G932" s="13"/>
      <c r="H932" s="13"/>
      <c r="I932" s="13"/>
      <c r="J932" s="29"/>
      <c r="K932" s="4"/>
      <c r="L932" s="13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149"/>
      <c r="C933" s="4"/>
      <c r="D933" s="5"/>
      <c r="E933" s="17"/>
      <c r="F933" s="6"/>
      <c r="G933" s="13"/>
      <c r="H933" s="13"/>
      <c r="I933" s="13"/>
      <c r="J933" s="29"/>
      <c r="K933" s="4"/>
      <c r="L933" s="13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149"/>
      <c r="C934" s="4"/>
      <c r="D934" s="5"/>
      <c r="E934" s="17"/>
      <c r="F934" s="6"/>
      <c r="G934" s="13"/>
      <c r="H934" s="13"/>
      <c r="I934" s="13"/>
      <c r="J934" s="29"/>
      <c r="K934" s="4"/>
      <c r="L934" s="13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149"/>
      <c r="C935" s="4"/>
      <c r="D935" s="5"/>
      <c r="E935" s="17"/>
      <c r="F935" s="6"/>
      <c r="G935" s="13"/>
      <c r="H935" s="13"/>
      <c r="I935" s="13"/>
      <c r="J935" s="29"/>
      <c r="K935" s="4"/>
      <c r="L935" s="13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149"/>
      <c r="C936" s="4"/>
      <c r="D936" s="5"/>
      <c r="E936" s="17"/>
      <c r="F936" s="6"/>
      <c r="G936" s="13"/>
      <c r="H936" s="13"/>
      <c r="I936" s="13"/>
      <c r="J936" s="29"/>
      <c r="K936" s="4"/>
      <c r="L936" s="13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149"/>
      <c r="C937" s="4"/>
      <c r="D937" s="5"/>
      <c r="E937" s="17"/>
      <c r="F937" s="6"/>
      <c r="G937" s="13"/>
      <c r="H937" s="13"/>
      <c r="I937" s="13"/>
      <c r="J937" s="29"/>
      <c r="K937" s="4"/>
      <c r="L937" s="13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149"/>
      <c r="C938" s="4"/>
      <c r="D938" s="5"/>
      <c r="E938" s="17"/>
      <c r="F938" s="6"/>
      <c r="G938" s="13"/>
      <c r="H938" s="13"/>
      <c r="I938" s="13"/>
      <c r="J938" s="29"/>
      <c r="K938" s="4"/>
      <c r="L938" s="13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149"/>
      <c r="C939" s="4"/>
      <c r="D939" s="5"/>
      <c r="E939" s="17"/>
      <c r="F939" s="6"/>
      <c r="G939" s="13"/>
      <c r="H939" s="13"/>
      <c r="I939" s="13"/>
      <c r="J939" s="29"/>
      <c r="K939" s="4"/>
      <c r="L939" s="13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149"/>
      <c r="C940" s="4"/>
      <c r="D940" s="5"/>
      <c r="E940" s="17"/>
      <c r="F940" s="6"/>
      <c r="G940" s="13"/>
      <c r="H940" s="13"/>
      <c r="I940" s="13"/>
      <c r="J940" s="29"/>
      <c r="K940" s="4"/>
      <c r="L940" s="1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149"/>
      <c r="C941" s="4"/>
      <c r="D941" s="5"/>
      <c r="E941" s="17"/>
      <c r="F941" s="6"/>
      <c r="G941" s="13"/>
      <c r="H941" s="13"/>
      <c r="I941" s="13"/>
      <c r="J941" s="29"/>
      <c r="K941" s="4"/>
      <c r="L941" s="1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149"/>
      <c r="C942" s="4"/>
      <c r="D942" s="5"/>
      <c r="E942" s="17"/>
      <c r="F942" s="6"/>
      <c r="G942" s="13"/>
      <c r="H942" s="13"/>
      <c r="I942" s="13"/>
      <c r="J942" s="29"/>
      <c r="K942" s="4"/>
      <c r="L942" s="13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149"/>
      <c r="C943" s="4"/>
      <c r="D943" s="5"/>
      <c r="E943" s="17"/>
      <c r="F943" s="6"/>
      <c r="G943" s="13"/>
      <c r="H943" s="13"/>
      <c r="I943" s="13"/>
      <c r="J943" s="29"/>
      <c r="K943" s="4"/>
      <c r="L943" s="13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149"/>
      <c r="C944" s="4"/>
      <c r="D944" s="5"/>
      <c r="E944" s="17"/>
      <c r="F944" s="6"/>
      <c r="G944" s="13"/>
      <c r="H944" s="13"/>
      <c r="I944" s="13"/>
      <c r="J944" s="29"/>
      <c r="K944" s="4"/>
      <c r="L944" s="13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</sheetData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16"/>
  <sheetViews>
    <sheetView workbookViewId="0">
      <pane ySplit="1" topLeftCell="A442" activePane="bottomLeft" state="frozen"/>
      <selection pane="bottomLeft" activeCell="J2" sqref="J2:J463"/>
    </sheetView>
  </sheetViews>
  <sheetFormatPr defaultColWidth="14.44140625" defaultRowHeight="15" customHeight="1" x14ac:dyDescent="0.3"/>
  <cols>
    <col min="1" max="1" width="16.44140625" customWidth="1"/>
    <col min="2" max="2" width="19.88671875" customWidth="1"/>
    <col min="3" max="3" width="15.44140625" customWidth="1"/>
    <col min="4" max="4" width="67.88671875" customWidth="1"/>
    <col min="5" max="5" width="5.44140625" customWidth="1"/>
    <col min="6" max="6" width="7.6640625" customWidth="1"/>
    <col min="7" max="7" width="12" customWidth="1"/>
    <col min="8" max="8" width="7.44140625" customWidth="1"/>
    <col min="9" max="9" width="3" customWidth="1"/>
    <col min="10" max="10" width="8.5546875" customWidth="1"/>
    <col min="11" max="11" width="7.5546875" customWidth="1"/>
    <col min="12" max="12" width="7.44140625" customWidth="1"/>
    <col min="13" max="26" width="8.6640625" customWidth="1"/>
  </cols>
  <sheetData>
    <row r="1" spans="1:26" ht="12.75" customHeight="1" x14ac:dyDescent="0.3">
      <c r="A1" s="1" t="s">
        <v>0</v>
      </c>
      <c r="B1" s="1" t="s">
        <v>803</v>
      </c>
      <c r="C1" s="1" t="s">
        <v>804</v>
      </c>
      <c r="D1" s="1" t="s">
        <v>2</v>
      </c>
      <c r="E1" s="1" t="s">
        <v>3</v>
      </c>
      <c r="F1" s="2" t="s">
        <v>4</v>
      </c>
      <c r="G1" s="2" t="s">
        <v>162</v>
      </c>
      <c r="H1" s="3" t="s">
        <v>7</v>
      </c>
      <c r="I1" s="3"/>
      <c r="J1" s="3" t="s">
        <v>8</v>
      </c>
      <c r="K1" s="2" t="s">
        <v>9</v>
      </c>
      <c r="L1" s="3" t="s">
        <v>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3">
      <c r="A2" s="25" t="s">
        <v>805</v>
      </c>
      <c r="B2" s="25" t="s">
        <v>806</v>
      </c>
      <c r="C2" s="4" t="s">
        <v>807</v>
      </c>
      <c r="D2" s="4" t="s">
        <v>808</v>
      </c>
      <c r="E2" s="5" t="s">
        <v>13</v>
      </c>
      <c r="F2" s="6">
        <v>354.95</v>
      </c>
      <c r="G2" s="6">
        <v>186.82</v>
      </c>
      <c r="H2" s="7">
        <f t="shared" ref="H2:H14" si="0">1-(G2/F2)</f>
        <v>0.47367234821805893</v>
      </c>
      <c r="I2" s="7"/>
      <c r="J2" s="7">
        <v>0.2</v>
      </c>
      <c r="K2" s="6">
        <f t="shared" ref="K2:K14" si="1">F2*(1-J2)</f>
        <v>283.95999999999998</v>
      </c>
      <c r="L2" s="7">
        <f t="shared" ref="L2:L14" si="2">1-(G2/K2)</f>
        <v>0.34209043527257355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25" t="s">
        <v>805</v>
      </c>
      <c r="B3" s="25" t="s">
        <v>809</v>
      </c>
      <c r="C3" s="4" t="s">
        <v>810</v>
      </c>
      <c r="D3" s="4" t="s">
        <v>811</v>
      </c>
      <c r="E3" s="5" t="s">
        <v>13</v>
      </c>
      <c r="F3" s="6">
        <v>304.95</v>
      </c>
      <c r="G3" s="6">
        <v>160.51</v>
      </c>
      <c r="H3" s="7">
        <f t="shared" si="0"/>
        <v>0.47365141826528945</v>
      </c>
      <c r="I3" s="7"/>
      <c r="J3" s="7">
        <v>0.2</v>
      </c>
      <c r="K3" s="6">
        <f t="shared" si="1"/>
        <v>243.96</v>
      </c>
      <c r="L3" s="7">
        <f t="shared" si="2"/>
        <v>0.34206427283161178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25" t="s">
        <v>805</v>
      </c>
      <c r="B4" s="25" t="s">
        <v>812</v>
      </c>
      <c r="C4" s="4" t="s">
        <v>813</v>
      </c>
      <c r="D4" s="4" t="s">
        <v>814</v>
      </c>
      <c r="E4" s="5" t="s">
        <v>13</v>
      </c>
      <c r="F4" s="6">
        <v>304.95</v>
      </c>
      <c r="G4" s="6">
        <v>160.51</v>
      </c>
      <c r="H4" s="7">
        <f t="shared" si="0"/>
        <v>0.47365141826528945</v>
      </c>
      <c r="I4" s="7"/>
      <c r="J4" s="7">
        <v>0.2</v>
      </c>
      <c r="K4" s="6">
        <f t="shared" si="1"/>
        <v>243.96</v>
      </c>
      <c r="L4" s="7">
        <f t="shared" si="2"/>
        <v>0.34206427283161178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25" t="s">
        <v>805</v>
      </c>
      <c r="B5" s="25" t="s">
        <v>815</v>
      </c>
      <c r="C5" s="25" t="s">
        <v>816</v>
      </c>
      <c r="D5" s="4" t="s">
        <v>817</v>
      </c>
      <c r="E5" s="5" t="s">
        <v>13</v>
      </c>
      <c r="F5" s="6">
        <v>324.95</v>
      </c>
      <c r="G5" s="6">
        <v>171.03</v>
      </c>
      <c r="H5" s="7">
        <f t="shared" si="0"/>
        <v>0.47367287274965375</v>
      </c>
      <c r="I5" s="7"/>
      <c r="J5" s="7">
        <v>0.2</v>
      </c>
      <c r="K5" s="6">
        <f t="shared" si="1"/>
        <v>259.95999999999998</v>
      </c>
      <c r="L5" s="7">
        <f t="shared" si="2"/>
        <v>0.34209109093706713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26" t="s">
        <v>805</v>
      </c>
      <c r="B6" s="26" t="s">
        <v>818</v>
      </c>
      <c r="C6" s="26" t="s">
        <v>819</v>
      </c>
      <c r="D6" s="19" t="s">
        <v>820</v>
      </c>
      <c r="E6" s="20" t="s">
        <v>13</v>
      </c>
      <c r="F6" s="22">
        <v>304.95</v>
      </c>
      <c r="G6" s="22">
        <v>160.51</v>
      </c>
      <c r="H6" s="23">
        <f t="shared" si="0"/>
        <v>0.47365141826528945</v>
      </c>
      <c r="I6" s="23"/>
      <c r="J6" s="23">
        <v>0.2</v>
      </c>
      <c r="K6" s="22">
        <f t="shared" si="1"/>
        <v>243.96</v>
      </c>
      <c r="L6" s="23">
        <f t="shared" si="2"/>
        <v>0.34206427283161178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135" customFormat="1" ht="12.75" customHeight="1" x14ac:dyDescent="0.3">
      <c r="A7" s="162" t="s">
        <v>805</v>
      </c>
      <c r="B7" s="162">
        <v>8245</v>
      </c>
      <c r="C7" s="136" t="s">
        <v>821</v>
      </c>
      <c r="D7" s="136" t="s">
        <v>822</v>
      </c>
      <c r="E7" s="137" t="s">
        <v>13</v>
      </c>
      <c r="F7" s="139">
        <v>359.95</v>
      </c>
      <c r="G7" s="139">
        <v>189.47</v>
      </c>
      <c r="H7" s="140">
        <f t="shared" si="0"/>
        <v>0.47362133629670788</v>
      </c>
      <c r="I7" s="140"/>
      <c r="J7" s="140">
        <v>0.3</v>
      </c>
      <c r="K7" s="139">
        <f t="shared" si="1"/>
        <v>251.96499999999997</v>
      </c>
      <c r="L7" s="140">
        <f t="shared" si="2"/>
        <v>0.24803048042386833</v>
      </c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s="135" customFormat="1" ht="12.75" customHeight="1" x14ac:dyDescent="0.3">
      <c r="A8" s="162"/>
      <c r="B8" s="162" t="s">
        <v>823</v>
      </c>
      <c r="C8" s="136" t="s">
        <v>824</v>
      </c>
      <c r="D8" s="136" t="s">
        <v>825</v>
      </c>
      <c r="E8" s="137" t="s">
        <v>13</v>
      </c>
      <c r="F8" s="139">
        <v>359.95</v>
      </c>
      <c r="G8" s="139">
        <v>189.47</v>
      </c>
      <c r="H8" s="140">
        <f t="shared" si="0"/>
        <v>0.47362133629670788</v>
      </c>
      <c r="I8" s="140"/>
      <c r="J8" s="140">
        <v>0.3</v>
      </c>
      <c r="K8" s="139">
        <f t="shared" si="1"/>
        <v>251.96499999999997</v>
      </c>
      <c r="L8" s="140">
        <f t="shared" si="2"/>
        <v>0.24803048042386833</v>
      </c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s="135" customFormat="1" ht="12.75" customHeight="1" x14ac:dyDescent="0.3">
      <c r="A9" s="162" t="s">
        <v>805</v>
      </c>
      <c r="B9" s="162">
        <v>8240</v>
      </c>
      <c r="C9" s="136" t="s">
        <v>826</v>
      </c>
      <c r="D9" s="136" t="s">
        <v>827</v>
      </c>
      <c r="E9" s="137" t="s">
        <v>13</v>
      </c>
      <c r="F9" s="139">
        <v>309.95</v>
      </c>
      <c r="G9" s="139">
        <v>163.16</v>
      </c>
      <c r="H9" s="140">
        <f t="shared" si="0"/>
        <v>0.47359251492176158</v>
      </c>
      <c r="I9" s="140"/>
      <c r="J9" s="140">
        <v>0.3</v>
      </c>
      <c r="K9" s="139">
        <f t="shared" si="1"/>
        <v>216.96499999999997</v>
      </c>
      <c r="L9" s="140">
        <f t="shared" si="2"/>
        <v>0.2479893070310879</v>
      </c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s="135" customFormat="1" ht="12.75" customHeight="1" x14ac:dyDescent="0.3">
      <c r="A10" s="162"/>
      <c r="B10" s="162" t="s">
        <v>828</v>
      </c>
      <c r="C10" s="136" t="s">
        <v>829</v>
      </c>
      <c r="D10" s="136" t="s">
        <v>830</v>
      </c>
      <c r="E10" s="137" t="s">
        <v>13</v>
      </c>
      <c r="F10" s="139">
        <v>309.95</v>
      </c>
      <c r="G10" s="139">
        <v>163.16</v>
      </c>
      <c r="H10" s="140">
        <f t="shared" si="0"/>
        <v>0.47359251492176158</v>
      </c>
      <c r="I10" s="140"/>
      <c r="J10" s="140">
        <v>0.3</v>
      </c>
      <c r="K10" s="139">
        <f t="shared" si="1"/>
        <v>216.96499999999997</v>
      </c>
      <c r="L10" s="140">
        <f t="shared" si="2"/>
        <v>0.2479893070310879</v>
      </c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s="135" customFormat="1" ht="12.75" customHeight="1" x14ac:dyDescent="0.3">
      <c r="A11" s="162" t="s">
        <v>805</v>
      </c>
      <c r="B11" s="162">
        <v>8220</v>
      </c>
      <c r="C11" s="136" t="s">
        <v>831</v>
      </c>
      <c r="D11" s="136" t="s">
        <v>832</v>
      </c>
      <c r="E11" s="137" t="s">
        <v>13</v>
      </c>
      <c r="F11" s="139">
        <v>339.95</v>
      </c>
      <c r="G11" s="139">
        <v>178.95</v>
      </c>
      <c r="H11" s="140">
        <f t="shared" si="0"/>
        <v>0.47359905868510077</v>
      </c>
      <c r="I11" s="140"/>
      <c r="J11" s="140">
        <v>0.3</v>
      </c>
      <c r="K11" s="139">
        <f t="shared" si="1"/>
        <v>237.96499999999997</v>
      </c>
      <c r="L11" s="140">
        <f t="shared" si="2"/>
        <v>0.24799865526442966</v>
      </c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s="135" customFormat="1" ht="12.75" customHeight="1" x14ac:dyDescent="0.3">
      <c r="A12" s="162"/>
      <c r="B12" s="162" t="s">
        <v>833</v>
      </c>
      <c r="C12" s="136" t="s">
        <v>834</v>
      </c>
      <c r="D12" s="136" t="s">
        <v>835</v>
      </c>
      <c r="E12" s="137" t="s">
        <v>13</v>
      </c>
      <c r="F12" s="139">
        <v>339.95</v>
      </c>
      <c r="G12" s="139">
        <v>178.95</v>
      </c>
      <c r="H12" s="140">
        <f t="shared" si="0"/>
        <v>0.47359905868510077</v>
      </c>
      <c r="I12" s="140"/>
      <c r="J12" s="140">
        <v>0.3</v>
      </c>
      <c r="K12" s="139">
        <f t="shared" si="1"/>
        <v>237.96499999999997</v>
      </c>
      <c r="L12" s="140">
        <f t="shared" si="2"/>
        <v>0.24799865526442966</v>
      </c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s="135" customFormat="1" ht="12.75" customHeight="1" x14ac:dyDescent="0.3">
      <c r="A13" s="162" t="s">
        <v>805</v>
      </c>
      <c r="B13" s="162">
        <v>8210</v>
      </c>
      <c r="C13" s="136" t="s">
        <v>836</v>
      </c>
      <c r="D13" s="136" t="s">
        <v>837</v>
      </c>
      <c r="E13" s="137" t="s">
        <v>13</v>
      </c>
      <c r="F13" s="139">
        <v>319.95</v>
      </c>
      <c r="G13" s="139">
        <v>168.42</v>
      </c>
      <c r="H13" s="140">
        <f t="shared" si="0"/>
        <v>0.47360525082044069</v>
      </c>
      <c r="I13" s="140"/>
      <c r="J13" s="140">
        <v>0.3</v>
      </c>
      <c r="K13" s="139">
        <f t="shared" si="1"/>
        <v>223.96499999999997</v>
      </c>
      <c r="L13" s="140">
        <f t="shared" si="2"/>
        <v>0.24800750117205805</v>
      </c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s="135" customFormat="1" ht="12.75" customHeight="1" x14ac:dyDescent="0.3">
      <c r="A14" s="163"/>
      <c r="B14" s="163" t="s">
        <v>838</v>
      </c>
      <c r="C14" s="143" t="s">
        <v>839</v>
      </c>
      <c r="D14" s="143" t="s">
        <v>840</v>
      </c>
      <c r="E14" s="137" t="s">
        <v>13</v>
      </c>
      <c r="F14" s="139">
        <v>319.95</v>
      </c>
      <c r="G14" s="139">
        <v>168.42</v>
      </c>
      <c r="H14" s="147">
        <f t="shared" si="0"/>
        <v>0.47360525082044069</v>
      </c>
      <c r="I14" s="147"/>
      <c r="J14" s="147">
        <v>0.3</v>
      </c>
      <c r="K14" s="146">
        <f t="shared" si="1"/>
        <v>223.96499999999997</v>
      </c>
      <c r="L14" s="147">
        <f t="shared" si="2"/>
        <v>0.24800750117205805</v>
      </c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ht="12.75" customHeight="1" x14ac:dyDescent="0.3">
      <c r="A15" s="25" t="s">
        <v>805</v>
      </c>
      <c r="B15" s="4"/>
      <c r="C15" s="4" t="s">
        <v>841</v>
      </c>
      <c r="D15" s="4" t="s">
        <v>842</v>
      </c>
      <c r="E15" s="5" t="s">
        <v>13</v>
      </c>
      <c r="F15" s="6">
        <v>14.95</v>
      </c>
      <c r="G15" s="6">
        <v>7.89</v>
      </c>
      <c r="H15" s="7">
        <f t="shared" ref="H15:H36" si="3">1-(G15/F15)</f>
        <v>0.47224080267558532</v>
      </c>
      <c r="I15" s="7"/>
      <c r="J15" s="7">
        <v>0.2</v>
      </c>
      <c r="K15" s="6">
        <f t="shared" ref="K15:K36" si="4">F15*(1-J15)</f>
        <v>11.96</v>
      </c>
      <c r="L15" s="7">
        <f t="shared" ref="L15:L36" si="5">1-(G15/K15)</f>
        <v>0.34030100334448166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25" t="s">
        <v>805</v>
      </c>
      <c r="B16" s="25"/>
      <c r="C16" s="25" t="s">
        <v>843</v>
      </c>
      <c r="D16" s="4" t="s">
        <v>844</v>
      </c>
      <c r="E16" s="5" t="s">
        <v>13</v>
      </c>
      <c r="F16" s="6">
        <v>4.95</v>
      </c>
      <c r="G16" s="6">
        <v>2.63</v>
      </c>
      <c r="H16" s="7">
        <f t="shared" si="3"/>
        <v>0.46868686868686871</v>
      </c>
      <c r="I16" s="7"/>
      <c r="J16" s="7">
        <v>0.2</v>
      </c>
      <c r="K16" s="6">
        <f t="shared" si="4"/>
        <v>3.9600000000000004</v>
      </c>
      <c r="L16" s="7">
        <f t="shared" si="5"/>
        <v>0.33585858585858597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25" t="s">
        <v>805</v>
      </c>
      <c r="B17" s="25"/>
      <c r="C17" s="25" t="s">
        <v>845</v>
      </c>
      <c r="D17" s="4" t="s">
        <v>846</v>
      </c>
      <c r="E17" s="5" t="s">
        <v>13</v>
      </c>
      <c r="F17" s="6">
        <v>19.95</v>
      </c>
      <c r="G17" s="6">
        <v>11.58</v>
      </c>
      <c r="H17" s="7">
        <f t="shared" si="3"/>
        <v>0.41954887218045112</v>
      </c>
      <c r="I17" s="7"/>
      <c r="J17" s="7">
        <v>0.2</v>
      </c>
      <c r="K17" s="6">
        <f t="shared" si="4"/>
        <v>15.96</v>
      </c>
      <c r="L17" s="7">
        <f t="shared" si="5"/>
        <v>0.27443609022556392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25" t="s">
        <v>805</v>
      </c>
      <c r="B18" s="4"/>
      <c r="C18" s="4" t="s">
        <v>847</v>
      </c>
      <c r="D18" s="4" t="s">
        <v>848</v>
      </c>
      <c r="E18" s="5" t="s">
        <v>13</v>
      </c>
      <c r="F18" s="6">
        <v>179.95</v>
      </c>
      <c r="G18" s="6">
        <v>100</v>
      </c>
      <c r="H18" s="7">
        <f t="shared" si="3"/>
        <v>0.44429008057793828</v>
      </c>
      <c r="I18" s="7"/>
      <c r="J18" s="7">
        <v>0.2</v>
      </c>
      <c r="K18" s="6">
        <f t="shared" si="4"/>
        <v>143.96</v>
      </c>
      <c r="L18" s="7">
        <f t="shared" si="5"/>
        <v>0.30536260072242294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25" t="s">
        <v>805</v>
      </c>
      <c r="B19" s="4"/>
      <c r="C19" s="4" t="s">
        <v>849</v>
      </c>
      <c r="D19" s="4" t="s">
        <v>850</v>
      </c>
      <c r="E19" s="5" t="s">
        <v>13</v>
      </c>
      <c r="F19" s="6">
        <v>199.95</v>
      </c>
      <c r="G19" s="6">
        <v>111.58</v>
      </c>
      <c r="H19" s="7">
        <f t="shared" si="3"/>
        <v>0.44196049012253058</v>
      </c>
      <c r="I19" s="7"/>
      <c r="J19" s="7">
        <v>0.2</v>
      </c>
      <c r="K19" s="6">
        <f t="shared" si="4"/>
        <v>159.96</v>
      </c>
      <c r="L19" s="7">
        <f t="shared" si="5"/>
        <v>0.30245061265316331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25" t="s">
        <v>805</v>
      </c>
      <c r="B20" s="4"/>
      <c r="C20" s="4" t="s">
        <v>851</v>
      </c>
      <c r="D20" s="4" t="s">
        <v>852</v>
      </c>
      <c r="E20" s="5" t="s">
        <v>13</v>
      </c>
      <c r="F20" s="6">
        <v>179.95</v>
      </c>
      <c r="G20" s="6">
        <v>100</v>
      </c>
      <c r="H20" s="7">
        <f t="shared" si="3"/>
        <v>0.44429008057793828</v>
      </c>
      <c r="I20" s="7"/>
      <c r="J20" s="7">
        <v>0.2</v>
      </c>
      <c r="K20" s="6">
        <f t="shared" si="4"/>
        <v>143.96</v>
      </c>
      <c r="L20" s="7">
        <f t="shared" si="5"/>
        <v>0.30536260072242294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5" t="s">
        <v>805</v>
      </c>
      <c r="B21" s="4"/>
      <c r="C21" s="4" t="s">
        <v>853</v>
      </c>
      <c r="D21" s="4" t="s">
        <v>854</v>
      </c>
      <c r="E21" s="5" t="s">
        <v>13</v>
      </c>
      <c r="F21" s="6">
        <v>179.95</v>
      </c>
      <c r="G21" s="6">
        <v>100</v>
      </c>
      <c r="H21" s="7">
        <f t="shared" si="3"/>
        <v>0.44429008057793828</v>
      </c>
      <c r="I21" s="7"/>
      <c r="J21" s="7">
        <v>0.2</v>
      </c>
      <c r="K21" s="6">
        <f t="shared" si="4"/>
        <v>143.96</v>
      </c>
      <c r="L21" s="7">
        <f t="shared" si="5"/>
        <v>0.30536260072242294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25" t="s">
        <v>805</v>
      </c>
      <c r="B22" s="4"/>
      <c r="C22" s="4" t="s">
        <v>855</v>
      </c>
      <c r="D22" s="4" t="s">
        <v>856</v>
      </c>
      <c r="E22" s="5" t="s">
        <v>13</v>
      </c>
      <c r="F22" s="6">
        <v>120</v>
      </c>
      <c r="G22" s="6">
        <v>66.319999999999993</v>
      </c>
      <c r="H22" s="7">
        <f t="shared" si="3"/>
        <v>0.44733333333333336</v>
      </c>
      <c r="I22" s="7"/>
      <c r="J22" s="7">
        <v>0.2</v>
      </c>
      <c r="K22" s="6">
        <f t="shared" si="4"/>
        <v>96</v>
      </c>
      <c r="L22" s="7">
        <f t="shared" si="5"/>
        <v>0.3091666666666667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25" t="s">
        <v>805</v>
      </c>
      <c r="B23" s="4"/>
      <c r="C23" s="4" t="s">
        <v>857</v>
      </c>
      <c r="D23" s="4" t="s">
        <v>858</v>
      </c>
      <c r="E23" s="5" t="s">
        <v>13</v>
      </c>
      <c r="F23" s="6">
        <v>19.95</v>
      </c>
      <c r="G23" s="6">
        <v>14.21</v>
      </c>
      <c r="H23" s="7">
        <f t="shared" si="3"/>
        <v>0.28771929824561393</v>
      </c>
      <c r="I23" s="7"/>
      <c r="J23" s="7">
        <v>0.12</v>
      </c>
      <c r="K23" s="6">
        <f t="shared" si="4"/>
        <v>17.556000000000001</v>
      </c>
      <c r="L23" s="7">
        <f t="shared" si="5"/>
        <v>0.1905901116427432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25" t="s">
        <v>805</v>
      </c>
      <c r="B24" s="4"/>
      <c r="C24" s="25" t="s">
        <v>859</v>
      </c>
      <c r="D24" s="4" t="s">
        <v>860</v>
      </c>
      <c r="E24" s="5" t="s">
        <v>13</v>
      </c>
      <c r="F24" s="6">
        <v>19.95</v>
      </c>
      <c r="G24" s="6">
        <v>14.21</v>
      </c>
      <c r="H24" s="7">
        <f t="shared" si="3"/>
        <v>0.28771929824561393</v>
      </c>
      <c r="I24" s="7"/>
      <c r="J24" s="7">
        <v>0.12</v>
      </c>
      <c r="K24" s="6">
        <f t="shared" si="4"/>
        <v>17.556000000000001</v>
      </c>
      <c r="L24" s="7">
        <f t="shared" si="5"/>
        <v>0.1905901116427432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25" t="s">
        <v>805</v>
      </c>
      <c r="B25" s="4"/>
      <c r="C25" s="25" t="s">
        <v>861</v>
      </c>
      <c r="D25" s="4" t="s">
        <v>862</v>
      </c>
      <c r="E25" s="5" t="s">
        <v>13</v>
      </c>
      <c r="F25" s="6">
        <v>120</v>
      </c>
      <c r="G25" s="6">
        <v>66.319999999999993</v>
      </c>
      <c r="H25" s="7">
        <f t="shared" si="3"/>
        <v>0.44733333333333336</v>
      </c>
      <c r="I25" s="7"/>
      <c r="J25" s="7">
        <v>0.2</v>
      </c>
      <c r="K25" s="6">
        <f t="shared" si="4"/>
        <v>96</v>
      </c>
      <c r="L25" s="7">
        <f t="shared" si="5"/>
        <v>0.3091666666666667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25" t="s">
        <v>805</v>
      </c>
      <c r="B26" s="4"/>
      <c r="C26" s="25" t="s">
        <v>863</v>
      </c>
      <c r="D26" s="4" t="s">
        <v>864</v>
      </c>
      <c r="E26" s="5" t="s">
        <v>13</v>
      </c>
      <c r="F26" s="6">
        <v>39.950000000000003</v>
      </c>
      <c r="G26" s="6">
        <v>21.05</v>
      </c>
      <c r="H26" s="7">
        <f t="shared" si="3"/>
        <v>0.47309136420525655</v>
      </c>
      <c r="I26" s="7"/>
      <c r="J26" s="7">
        <v>0.2</v>
      </c>
      <c r="K26" s="6">
        <f t="shared" si="4"/>
        <v>31.960000000000004</v>
      </c>
      <c r="L26" s="7">
        <f t="shared" si="5"/>
        <v>0.34136420525657074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25" t="s">
        <v>805</v>
      </c>
      <c r="B27" s="4"/>
      <c r="C27" s="4" t="s">
        <v>865</v>
      </c>
      <c r="D27" s="4" t="s">
        <v>866</v>
      </c>
      <c r="E27" s="5" t="s">
        <v>13</v>
      </c>
      <c r="F27" s="6">
        <v>19.95</v>
      </c>
      <c r="G27" s="6">
        <v>14.21</v>
      </c>
      <c r="H27" s="7">
        <f t="shared" si="3"/>
        <v>0.28771929824561393</v>
      </c>
      <c r="I27" s="7"/>
      <c r="J27" s="7">
        <v>0.12</v>
      </c>
      <c r="K27" s="6">
        <f t="shared" si="4"/>
        <v>17.556000000000001</v>
      </c>
      <c r="L27" s="7">
        <f t="shared" si="5"/>
        <v>0.1905901116427432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25" t="s">
        <v>805</v>
      </c>
      <c r="B28" s="4"/>
      <c r="C28" s="4" t="s">
        <v>867</v>
      </c>
      <c r="D28" s="4" t="s">
        <v>868</v>
      </c>
      <c r="E28" s="5" t="s">
        <v>13</v>
      </c>
      <c r="F28" s="6">
        <v>29.95</v>
      </c>
      <c r="G28" s="6">
        <v>21.05</v>
      </c>
      <c r="H28" s="7">
        <f t="shared" si="3"/>
        <v>0.29716193656093481</v>
      </c>
      <c r="I28" s="7"/>
      <c r="J28" s="7">
        <v>0.12</v>
      </c>
      <c r="K28" s="6">
        <f t="shared" si="4"/>
        <v>26.355999999999998</v>
      </c>
      <c r="L28" s="7">
        <f t="shared" si="5"/>
        <v>0.20132038245560779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25" t="s">
        <v>805</v>
      </c>
      <c r="B29" s="4"/>
      <c r="C29" s="4" t="s">
        <v>869</v>
      </c>
      <c r="D29" s="4" t="s">
        <v>870</v>
      </c>
      <c r="E29" s="5" t="s">
        <v>13</v>
      </c>
      <c r="F29" s="6">
        <v>14.95</v>
      </c>
      <c r="G29" s="6">
        <v>10.53</v>
      </c>
      <c r="H29" s="7">
        <f t="shared" si="3"/>
        <v>0.29565217391304344</v>
      </c>
      <c r="I29" s="7"/>
      <c r="J29" s="7">
        <v>0.12</v>
      </c>
      <c r="K29" s="6">
        <f t="shared" si="4"/>
        <v>13.155999999999999</v>
      </c>
      <c r="L29" s="7">
        <f t="shared" si="5"/>
        <v>0.19960474308300391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25" t="s">
        <v>805</v>
      </c>
      <c r="B30" s="4"/>
      <c r="C30" s="4" t="s">
        <v>871</v>
      </c>
      <c r="D30" s="4" t="s">
        <v>872</v>
      </c>
      <c r="E30" s="5" t="s">
        <v>13</v>
      </c>
      <c r="F30" s="6">
        <v>19.95</v>
      </c>
      <c r="G30" s="6">
        <v>14.21</v>
      </c>
      <c r="H30" s="7">
        <f t="shared" si="3"/>
        <v>0.28771929824561393</v>
      </c>
      <c r="I30" s="7"/>
      <c r="J30" s="7">
        <v>0.12</v>
      </c>
      <c r="K30" s="6">
        <f t="shared" si="4"/>
        <v>17.556000000000001</v>
      </c>
      <c r="L30" s="7">
        <f t="shared" si="5"/>
        <v>0.1905901116427432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25" t="s">
        <v>805</v>
      </c>
      <c r="B31" s="4"/>
      <c r="C31" s="4" t="s">
        <v>873</v>
      </c>
      <c r="D31" s="4" t="s">
        <v>874</v>
      </c>
      <c r="E31" s="5" t="s">
        <v>13</v>
      </c>
      <c r="F31" s="6">
        <v>14.95</v>
      </c>
      <c r="G31" s="6">
        <v>10.53</v>
      </c>
      <c r="H31" s="7">
        <f t="shared" si="3"/>
        <v>0.29565217391304344</v>
      </c>
      <c r="I31" s="7"/>
      <c r="J31" s="7">
        <v>0.12</v>
      </c>
      <c r="K31" s="6">
        <f t="shared" si="4"/>
        <v>13.155999999999999</v>
      </c>
      <c r="L31" s="7">
        <f t="shared" si="5"/>
        <v>0.19960474308300391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25" t="s">
        <v>805</v>
      </c>
      <c r="B32" s="4"/>
      <c r="C32" s="4" t="s">
        <v>875</v>
      </c>
      <c r="D32" s="4" t="s">
        <v>876</v>
      </c>
      <c r="E32" s="5" t="s">
        <v>13</v>
      </c>
      <c r="F32" s="6">
        <v>29.95</v>
      </c>
      <c r="G32" s="6">
        <v>16.84</v>
      </c>
      <c r="H32" s="7">
        <f t="shared" si="3"/>
        <v>0.43772954924874785</v>
      </c>
      <c r="I32" s="7"/>
      <c r="J32" s="7">
        <v>0.2</v>
      </c>
      <c r="K32" s="6">
        <f t="shared" si="4"/>
        <v>23.96</v>
      </c>
      <c r="L32" s="7">
        <f t="shared" si="5"/>
        <v>0.29716193656093493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25" t="s">
        <v>805</v>
      </c>
      <c r="B33" s="4"/>
      <c r="C33" s="4" t="s">
        <v>877</v>
      </c>
      <c r="D33" s="4" t="s">
        <v>878</v>
      </c>
      <c r="E33" s="5" t="s">
        <v>13</v>
      </c>
      <c r="F33" s="6">
        <v>14.95</v>
      </c>
      <c r="G33" s="6">
        <v>10.53</v>
      </c>
      <c r="H33" s="7">
        <f t="shared" si="3"/>
        <v>0.29565217391304344</v>
      </c>
      <c r="I33" s="7"/>
      <c r="J33" s="7">
        <v>0.12</v>
      </c>
      <c r="K33" s="6">
        <f t="shared" si="4"/>
        <v>13.155999999999999</v>
      </c>
      <c r="L33" s="7">
        <f t="shared" si="5"/>
        <v>0.19960474308300391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25" t="s">
        <v>805</v>
      </c>
      <c r="B34" s="4"/>
      <c r="C34" s="4" t="s">
        <v>879</v>
      </c>
      <c r="D34" s="4" t="s">
        <v>880</v>
      </c>
      <c r="E34" s="5" t="s">
        <v>13</v>
      </c>
      <c r="F34" s="6">
        <v>14.95</v>
      </c>
      <c r="G34" s="6">
        <v>10.53</v>
      </c>
      <c r="H34" s="7">
        <f t="shared" si="3"/>
        <v>0.29565217391304344</v>
      </c>
      <c r="I34" s="7"/>
      <c r="J34" s="7">
        <v>0.12</v>
      </c>
      <c r="K34" s="6">
        <f t="shared" si="4"/>
        <v>13.155999999999999</v>
      </c>
      <c r="L34" s="7">
        <f t="shared" si="5"/>
        <v>0.19960474308300391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25" t="s">
        <v>805</v>
      </c>
      <c r="B35" s="4"/>
      <c r="C35" s="4" t="s">
        <v>881</v>
      </c>
      <c r="D35" s="4" t="s">
        <v>882</v>
      </c>
      <c r="E35" s="5" t="s">
        <v>13</v>
      </c>
      <c r="F35" s="6">
        <v>14.95</v>
      </c>
      <c r="G35" s="6">
        <v>10.53</v>
      </c>
      <c r="H35" s="7">
        <f t="shared" si="3"/>
        <v>0.29565217391304344</v>
      </c>
      <c r="I35" s="7"/>
      <c r="J35" s="7">
        <v>0.12</v>
      </c>
      <c r="K35" s="6">
        <f t="shared" si="4"/>
        <v>13.155999999999999</v>
      </c>
      <c r="L35" s="7">
        <f t="shared" si="5"/>
        <v>0.19960474308300391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26" t="s">
        <v>805</v>
      </c>
      <c r="B36" s="19"/>
      <c r="C36" s="19" t="s">
        <v>883</v>
      </c>
      <c r="D36" s="19" t="s">
        <v>884</v>
      </c>
      <c r="E36" s="20" t="s">
        <v>13</v>
      </c>
      <c r="F36" s="22">
        <v>39.950000000000003</v>
      </c>
      <c r="G36" s="22">
        <v>21.05</v>
      </c>
      <c r="H36" s="23">
        <f t="shared" si="3"/>
        <v>0.47309136420525655</v>
      </c>
      <c r="I36" s="23"/>
      <c r="J36" s="23">
        <v>0.2</v>
      </c>
      <c r="K36" s="22">
        <f t="shared" si="4"/>
        <v>31.960000000000004</v>
      </c>
      <c r="L36" s="23">
        <f t="shared" si="5"/>
        <v>0.34136420525657074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25" t="s">
        <v>805</v>
      </c>
      <c r="B37" s="4"/>
      <c r="C37" s="4" t="s">
        <v>885</v>
      </c>
      <c r="D37" s="4" t="s">
        <v>886</v>
      </c>
      <c r="E37" s="5" t="s">
        <v>13</v>
      </c>
      <c r="F37" s="6">
        <v>29.95</v>
      </c>
      <c r="G37" s="6">
        <v>21.05</v>
      </c>
      <c r="H37" s="7">
        <f t="shared" ref="H37:H43" si="6">1-(G37/F37)</f>
        <v>0.29716193656093481</v>
      </c>
      <c r="I37" s="7"/>
      <c r="J37" s="7">
        <v>0.12</v>
      </c>
      <c r="K37" s="6">
        <f t="shared" ref="K37:K43" si="7">F37*(1-J37)</f>
        <v>26.355999999999998</v>
      </c>
      <c r="L37" s="7">
        <f t="shared" ref="L37:L43" si="8">1-(G37/K37)</f>
        <v>0.20132038245560779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25" t="s">
        <v>805</v>
      </c>
      <c r="B38" s="4"/>
      <c r="C38" s="4" t="s">
        <v>887</v>
      </c>
      <c r="D38" s="4" t="s">
        <v>888</v>
      </c>
      <c r="E38" s="5" t="s">
        <v>13</v>
      </c>
      <c r="F38" s="6">
        <v>49.95</v>
      </c>
      <c r="G38" s="6">
        <v>26.32</v>
      </c>
      <c r="H38" s="7">
        <f t="shared" si="6"/>
        <v>0.47307307307307311</v>
      </c>
      <c r="I38" s="7"/>
      <c r="J38" s="7">
        <v>0.2</v>
      </c>
      <c r="K38" s="6">
        <f t="shared" si="7"/>
        <v>39.960000000000008</v>
      </c>
      <c r="L38" s="7">
        <f t="shared" si="8"/>
        <v>0.34134134134134142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25" t="s">
        <v>805</v>
      </c>
      <c r="B39" s="4"/>
      <c r="C39" s="4" t="s">
        <v>889</v>
      </c>
      <c r="D39" s="4" t="s">
        <v>890</v>
      </c>
      <c r="E39" s="5" t="s">
        <v>13</v>
      </c>
      <c r="F39" s="6">
        <v>19.95</v>
      </c>
      <c r="G39" s="6">
        <v>14.21</v>
      </c>
      <c r="H39" s="7">
        <f t="shared" si="6"/>
        <v>0.28771929824561393</v>
      </c>
      <c r="I39" s="7"/>
      <c r="J39" s="7">
        <v>0.12</v>
      </c>
      <c r="K39" s="6">
        <f t="shared" si="7"/>
        <v>17.556000000000001</v>
      </c>
      <c r="L39" s="7">
        <f t="shared" si="8"/>
        <v>0.1905901116427432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25" t="s">
        <v>805</v>
      </c>
      <c r="B40" s="4"/>
      <c r="C40" s="4" t="s">
        <v>891</v>
      </c>
      <c r="D40" s="4" t="s">
        <v>892</v>
      </c>
      <c r="E40" s="5" t="s">
        <v>13</v>
      </c>
      <c r="F40" s="6">
        <v>45</v>
      </c>
      <c r="G40" s="30">
        <v>23.68</v>
      </c>
      <c r="H40" s="7">
        <f t="shared" si="6"/>
        <v>0.47377777777777774</v>
      </c>
      <c r="I40" s="7"/>
      <c r="J40" s="7">
        <v>0.2</v>
      </c>
      <c r="K40" s="6">
        <f t="shared" si="7"/>
        <v>36</v>
      </c>
      <c r="L40" s="7">
        <f t="shared" si="8"/>
        <v>0.34222222222222221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25" t="s">
        <v>805</v>
      </c>
      <c r="B41" s="4"/>
      <c r="C41" s="4" t="s">
        <v>893</v>
      </c>
      <c r="D41" s="4" t="s">
        <v>894</v>
      </c>
      <c r="E41" s="5" t="s">
        <v>13</v>
      </c>
      <c r="F41" s="6">
        <v>14.95</v>
      </c>
      <c r="G41" s="6">
        <v>10.53</v>
      </c>
      <c r="H41" s="7">
        <f t="shared" si="6"/>
        <v>0.29565217391304344</v>
      </c>
      <c r="I41" s="7"/>
      <c r="J41" s="7">
        <v>0.12</v>
      </c>
      <c r="K41" s="6">
        <f t="shared" si="7"/>
        <v>13.155999999999999</v>
      </c>
      <c r="L41" s="7">
        <f t="shared" si="8"/>
        <v>0.19960474308300391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25" t="s">
        <v>805</v>
      </c>
      <c r="B42" s="4"/>
      <c r="C42" s="4" t="s">
        <v>895</v>
      </c>
      <c r="D42" s="4" t="s">
        <v>896</v>
      </c>
      <c r="E42" s="5" t="s">
        <v>13</v>
      </c>
      <c r="F42" s="6">
        <v>14.95</v>
      </c>
      <c r="G42" s="6">
        <v>10.53</v>
      </c>
      <c r="H42" s="7">
        <f t="shared" si="6"/>
        <v>0.29565217391304344</v>
      </c>
      <c r="I42" s="7"/>
      <c r="J42" s="7">
        <v>0.12</v>
      </c>
      <c r="K42" s="6">
        <f t="shared" si="7"/>
        <v>13.155999999999999</v>
      </c>
      <c r="L42" s="7">
        <f t="shared" si="8"/>
        <v>0.19960474308300391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27" t="s">
        <v>805</v>
      </c>
      <c r="B43" s="8"/>
      <c r="C43" s="8" t="s">
        <v>897</v>
      </c>
      <c r="D43" s="8" t="s">
        <v>898</v>
      </c>
      <c r="E43" s="9" t="s">
        <v>13</v>
      </c>
      <c r="F43" s="10">
        <v>14.95</v>
      </c>
      <c r="G43" s="10">
        <v>10.53</v>
      </c>
      <c r="H43" s="11">
        <f t="shared" si="6"/>
        <v>0.29565217391304344</v>
      </c>
      <c r="I43" s="11"/>
      <c r="J43" s="11">
        <v>0.12</v>
      </c>
      <c r="K43" s="10">
        <f t="shared" si="7"/>
        <v>13.155999999999999</v>
      </c>
      <c r="L43" s="11">
        <f t="shared" si="8"/>
        <v>0.19960474308300391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25" t="s">
        <v>805</v>
      </c>
      <c r="B44" s="4" t="s">
        <v>899</v>
      </c>
      <c r="C44" s="4" t="s">
        <v>900</v>
      </c>
      <c r="D44" s="4" t="s">
        <v>901</v>
      </c>
      <c r="E44" s="5" t="s">
        <v>13</v>
      </c>
      <c r="F44" s="6">
        <v>415.95</v>
      </c>
      <c r="G44" s="6">
        <v>218.95</v>
      </c>
      <c r="H44" s="7">
        <f t="shared" ref="H44:H56" si="9">1-(G44/F44)</f>
        <v>0.47361461714148334</v>
      </c>
      <c r="I44" s="7"/>
      <c r="J44" s="7">
        <v>0.2</v>
      </c>
      <c r="K44" s="6">
        <f t="shared" ref="K44:K56" si="10">F44*(1-J44)</f>
        <v>332.76</v>
      </c>
      <c r="L44" s="7">
        <f t="shared" ref="L44:L56" si="11">1-(G44/K44)</f>
        <v>0.34201827142685426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25" t="s">
        <v>805</v>
      </c>
      <c r="B45" s="4" t="s">
        <v>902</v>
      </c>
      <c r="C45" s="4" t="s">
        <v>903</v>
      </c>
      <c r="D45" s="4" t="s">
        <v>904</v>
      </c>
      <c r="E45" s="5" t="s">
        <v>13</v>
      </c>
      <c r="F45" s="6">
        <v>437.95</v>
      </c>
      <c r="G45" s="6">
        <v>230.53</v>
      </c>
      <c r="H45" s="7">
        <f t="shared" si="9"/>
        <v>0.47361570955588539</v>
      </c>
      <c r="I45" s="7"/>
      <c r="J45" s="7">
        <v>0.2</v>
      </c>
      <c r="K45" s="6">
        <f t="shared" si="10"/>
        <v>350.36</v>
      </c>
      <c r="L45" s="7">
        <f t="shared" si="11"/>
        <v>0.34201963694485671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25" t="s">
        <v>805</v>
      </c>
      <c r="B46" s="25" t="s">
        <v>905</v>
      </c>
      <c r="C46" s="4" t="s">
        <v>906</v>
      </c>
      <c r="D46" s="4" t="s">
        <v>907</v>
      </c>
      <c r="E46" s="5" t="s">
        <v>13</v>
      </c>
      <c r="F46" s="6">
        <v>415.95</v>
      </c>
      <c r="G46" s="6">
        <v>218.95</v>
      </c>
      <c r="H46" s="7">
        <f t="shared" si="9"/>
        <v>0.47361461714148334</v>
      </c>
      <c r="I46" s="7"/>
      <c r="J46" s="7">
        <v>0.2</v>
      </c>
      <c r="K46" s="6">
        <f t="shared" si="10"/>
        <v>332.76</v>
      </c>
      <c r="L46" s="7">
        <f t="shared" si="11"/>
        <v>0.34201827142685426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25" t="s">
        <v>805</v>
      </c>
      <c r="B47" s="25" t="s">
        <v>908</v>
      </c>
      <c r="C47" s="25" t="s">
        <v>909</v>
      </c>
      <c r="D47" s="4" t="s">
        <v>910</v>
      </c>
      <c r="E47" s="5" t="s">
        <v>13</v>
      </c>
      <c r="F47" s="6">
        <v>415.95</v>
      </c>
      <c r="G47" s="6">
        <v>218.95</v>
      </c>
      <c r="H47" s="7">
        <f t="shared" si="9"/>
        <v>0.47361461714148334</v>
      </c>
      <c r="I47" s="7"/>
      <c r="J47" s="7">
        <v>0.2</v>
      </c>
      <c r="K47" s="6">
        <f t="shared" si="10"/>
        <v>332.76</v>
      </c>
      <c r="L47" s="7">
        <f t="shared" si="11"/>
        <v>0.34201827142685426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26" t="s">
        <v>805</v>
      </c>
      <c r="B48" s="19" t="s">
        <v>911</v>
      </c>
      <c r="C48" s="19" t="s">
        <v>912</v>
      </c>
      <c r="D48" s="19" t="s">
        <v>913</v>
      </c>
      <c r="E48" s="20" t="s">
        <v>13</v>
      </c>
      <c r="F48" s="22">
        <v>465.95</v>
      </c>
      <c r="G48" s="22">
        <v>245.26</v>
      </c>
      <c r="H48" s="23">
        <f t="shared" si="9"/>
        <v>0.47363451014057301</v>
      </c>
      <c r="I48" s="23"/>
      <c r="J48" s="23">
        <v>0.2</v>
      </c>
      <c r="K48" s="22">
        <f t="shared" si="10"/>
        <v>372.76</v>
      </c>
      <c r="L48" s="23">
        <f t="shared" si="11"/>
        <v>0.34204313767571626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135" customFormat="1" ht="12.75" customHeight="1" x14ac:dyDescent="0.3">
      <c r="A49" s="162" t="s">
        <v>805</v>
      </c>
      <c r="B49" s="136" t="s">
        <v>914</v>
      </c>
      <c r="C49" s="136" t="s">
        <v>915</v>
      </c>
      <c r="D49" s="136" t="s">
        <v>916</v>
      </c>
      <c r="E49" s="137" t="s">
        <v>13</v>
      </c>
      <c r="F49" s="139">
        <v>439.95</v>
      </c>
      <c r="G49" s="139">
        <v>231.58</v>
      </c>
      <c r="H49" s="140">
        <f t="shared" si="9"/>
        <v>0.47362200250028408</v>
      </c>
      <c r="I49" s="140"/>
      <c r="J49" s="140">
        <v>0.3</v>
      </c>
      <c r="K49" s="139">
        <f t="shared" si="10"/>
        <v>307.96499999999997</v>
      </c>
      <c r="L49" s="140">
        <f t="shared" si="11"/>
        <v>0.24803143214326295</v>
      </c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s="135" customFormat="1" ht="12.75" customHeight="1" x14ac:dyDescent="0.3">
      <c r="A50" s="162"/>
      <c r="B50" s="136" t="s">
        <v>917</v>
      </c>
      <c r="C50" s="136" t="s">
        <v>918</v>
      </c>
      <c r="D50" s="136" t="s">
        <v>919</v>
      </c>
      <c r="E50" s="137" t="s">
        <v>13</v>
      </c>
      <c r="F50" s="139">
        <v>439.95</v>
      </c>
      <c r="G50" s="139">
        <v>231.58</v>
      </c>
      <c r="H50" s="140">
        <f t="shared" si="9"/>
        <v>0.47362200250028408</v>
      </c>
      <c r="I50" s="140"/>
      <c r="J50" s="140">
        <v>0.3</v>
      </c>
      <c r="K50" s="139">
        <f t="shared" si="10"/>
        <v>307.96499999999997</v>
      </c>
      <c r="L50" s="140">
        <f t="shared" si="11"/>
        <v>0.24803143214326295</v>
      </c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ht="12.75" customHeight="1" x14ac:dyDescent="0.3">
      <c r="A51" s="25" t="s">
        <v>805</v>
      </c>
      <c r="B51" s="4" t="s">
        <v>920</v>
      </c>
      <c r="C51" s="4" t="s">
        <v>921</v>
      </c>
      <c r="D51" s="4" t="s">
        <v>922</v>
      </c>
      <c r="E51" s="5" t="s">
        <v>13</v>
      </c>
      <c r="F51" s="6">
        <v>459.95</v>
      </c>
      <c r="G51" s="6">
        <v>242.11</v>
      </c>
      <c r="H51" s="7">
        <f t="shared" si="9"/>
        <v>0.47361669746711599</v>
      </c>
      <c r="I51" s="7"/>
      <c r="J51" s="7">
        <v>0.2</v>
      </c>
      <c r="K51" s="6">
        <f t="shared" si="10"/>
        <v>367.96000000000004</v>
      </c>
      <c r="L51" s="7">
        <f t="shared" si="11"/>
        <v>0.34202087183389507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25"/>
      <c r="B52" s="4" t="s">
        <v>923</v>
      </c>
      <c r="C52" s="4" t="s">
        <v>924</v>
      </c>
      <c r="D52" s="4" t="s">
        <v>925</v>
      </c>
      <c r="E52" s="5" t="s">
        <v>13</v>
      </c>
      <c r="F52" s="6">
        <v>459.95</v>
      </c>
      <c r="G52" s="6">
        <v>242.11</v>
      </c>
      <c r="H52" s="7">
        <f t="shared" si="9"/>
        <v>0.47361669746711599</v>
      </c>
      <c r="I52" s="7"/>
      <c r="J52" s="7">
        <v>0.2</v>
      </c>
      <c r="K52" s="6">
        <f t="shared" si="10"/>
        <v>367.96000000000004</v>
      </c>
      <c r="L52" s="7">
        <f t="shared" si="11"/>
        <v>0.34202087183389507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25" t="s">
        <v>805</v>
      </c>
      <c r="B53" s="4" t="s">
        <v>926</v>
      </c>
      <c r="C53" s="4" t="s">
        <v>927</v>
      </c>
      <c r="D53" s="4" t="s">
        <v>928</v>
      </c>
      <c r="E53" s="5" t="s">
        <v>13</v>
      </c>
      <c r="F53" s="6">
        <v>423.95</v>
      </c>
      <c r="G53" s="6">
        <v>223.16</v>
      </c>
      <c r="H53" s="7">
        <f t="shared" si="9"/>
        <v>0.47361717183630148</v>
      </c>
      <c r="I53" s="7"/>
      <c r="J53" s="7">
        <v>0.2</v>
      </c>
      <c r="K53" s="6">
        <f t="shared" si="10"/>
        <v>339.16</v>
      </c>
      <c r="L53" s="7">
        <f t="shared" si="11"/>
        <v>0.34202146479537687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5"/>
      <c r="B54" s="4" t="s">
        <v>929</v>
      </c>
      <c r="C54" s="4" t="s">
        <v>930</v>
      </c>
      <c r="D54" s="4" t="s">
        <v>931</v>
      </c>
      <c r="E54" s="5" t="s">
        <v>13</v>
      </c>
      <c r="F54" s="6">
        <v>423.95</v>
      </c>
      <c r="G54" s="6">
        <v>223.16</v>
      </c>
      <c r="H54" s="7">
        <f t="shared" si="9"/>
        <v>0.47361717183630148</v>
      </c>
      <c r="I54" s="7"/>
      <c r="J54" s="7">
        <v>0.2</v>
      </c>
      <c r="K54" s="6">
        <f t="shared" si="10"/>
        <v>339.16</v>
      </c>
      <c r="L54" s="7">
        <f t="shared" si="11"/>
        <v>0.34202146479537687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25" t="s">
        <v>805</v>
      </c>
      <c r="B55" s="4" t="s">
        <v>932</v>
      </c>
      <c r="C55" s="4" t="s">
        <v>933</v>
      </c>
      <c r="D55" s="4" t="s">
        <v>934</v>
      </c>
      <c r="E55" s="5" t="s">
        <v>13</v>
      </c>
      <c r="F55" s="6">
        <v>473.95</v>
      </c>
      <c r="G55" s="6">
        <v>249.47</v>
      </c>
      <c r="H55" s="7">
        <f t="shared" si="9"/>
        <v>0.47363645954214584</v>
      </c>
      <c r="I55" s="7"/>
      <c r="J55" s="7">
        <v>0.2</v>
      </c>
      <c r="K55" s="6">
        <f t="shared" si="10"/>
        <v>379.16</v>
      </c>
      <c r="L55" s="7">
        <f t="shared" si="11"/>
        <v>0.34204557442768224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26"/>
      <c r="B56" s="19" t="s">
        <v>935</v>
      </c>
      <c r="C56" s="19" t="s">
        <v>936</v>
      </c>
      <c r="D56" s="19" t="s">
        <v>937</v>
      </c>
      <c r="E56" s="5" t="s">
        <v>13</v>
      </c>
      <c r="F56" s="6">
        <v>473.95</v>
      </c>
      <c r="G56" s="6">
        <v>249.47</v>
      </c>
      <c r="H56" s="23">
        <f t="shared" si="9"/>
        <v>0.47363645954214584</v>
      </c>
      <c r="I56" s="23"/>
      <c r="J56" s="23">
        <v>0.2</v>
      </c>
      <c r="K56" s="22">
        <f t="shared" si="10"/>
        <v>379.16</v>
      </c>
      <c r="L56" s="23">
        <f t="shared" si="11"/>
        <v>0.34204557442768224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25" t="s">
        <v>805</v>
      </c>
      <c r="B57" s="4"/>
      <c r="C57" s="4" t="s">
        <v>938</v>
      </c>
      <c r="D57" s="4" t="s">
        <v>939</v>
      </c>
      <c r="E57" s="5" t="s">
        <v>13</v>
      </c>
      <c r="F57" s="6">
        <v>9.9499999999999993</v>
      </c>
      <c r="G57" s="6">
        <v>3.16</v>
      </c>
      <c r="H57" s="7">
        <f t="shared" ref="H57:H76" si="12">1-(G57/F57)</f>
        <v>0.68241206030150758</v>
      </c>
      <c r="I57" s="7"/>
      <c r="J57" s="7">
        <v>0.2</v>
      </c>
      <c r="K57" s="6">
        <f t="shared" ref="K57:K76" si="13">F57*(1-J57)</f>
        <v>7.96</v>
      </c>
      <c r="L57" s="7">
        <f t="shared" ref="L57:L76" si="14">1-(G57/K57)</f>
        <v>0.60301507537688437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25" t="s">
        <v>805</v>
      </c>
      <c r="B58" s="4"/>
      <c r="C58" s="4" t="s">
        <v>940</v>
      </c>
      <c r="D58" s="4" t="s">
        <v>941</v>
      </c>
      <c r="E58" s="5" t="s">
        <v>13</v>
      </c>
      <c r="F58" s="6">
        <v>9.9499999999999993</v>
      </c>
      <c r="G58" s="6">
        <v>5.26</v>
      </c>
      <c r="H58" s="7">
        <f t="shared" si="12"/>
        <v>0.47135678391959801</v>
      </c>
      <c r="I58" s="7"/>
      <c r="J58" s="7">
        <v>0.2</v>
      </c>
      <c r="K58" s="6">
        <f t="shared" si="13"/>
        <v>7.96</v>
      </c>
      <c r="L58" s="7">
        <f t="shared" si="14"/>
        <v>0.33919597989949746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25" t="s">
        <v>805</v>
      </c>
      <c r="B59" s="4"/>
      <c r="C59" s="4" t="s">
        <v>843</v>
      </c>
      <c r="D59" s="4" t="s">
        <v>942</v>
      </c>
      <c r="E59" s="5" t="s">
        <v>13</v>
      </c>
      <c r="F59" s="6">
        <v>4.95</v>
      </c>
      <c r="G59" s="6">
        <v>2.63</v>
      </c>
      <c r="H59" s="7">
        <f t="shared" si="12"/>
        <v>0.46868686868686871</v>
      </c>
      <c r="I59" s="7"/>
      <c r="J59" s="7">
        <v>0.2</v>
      </c>
      <c r="K59" s="6">
        <f t="shared" si="13"/>
        <v>3.9600000000000004</v>
      </c>
      <c r="L59" s="7">
        <f t="shared" si="14"/>
        <v>0.33585858585858597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25" t="s">
        <v>805</v>
      </c>
      <c r="B60" s="4"/>
      <c r="C60" s="4" t="s">
        <v>845</v>
      </c>
      <c r="D60" s="4" t="s">
        <v>943</v>
      </c>
      <c r="E60" s="5" t="s">
        <v>13</v>
      </c>
      <c r="F60" s="6">
        <v>19.95</v>
      </c>
      <c r="G60" s="6">
        <v>11.58</v>
      </c>
      <c r="H60" s="7">
        <f t="shared" si="12"/>
        <v>0.41954887218045112</v>
      </c>
      <c r="I60" s="7"/>
      <c r="J60" s="7">
        <v>0.2</v>
      </c>
      <c r="K60" s="6">
        <f t="shared" si="13"/>
        <v>15.96</v>
      </c>
      <c r="L60" s="7">
        <f t="shared" si="14"/>
        <v>0.27443609022556392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25" t="s">
        <v>805</v>
      </c>
      <c r="B61" s="4"/>
      <c r="C61" s="4" t="s">
        <v>847</v>
      </c>
      <c r="D61" s="4" t="s">
        <v>944</v>
      </c>
      <c r="E61" s="5" t="s">
        <v>13</v>
      </c>
      <c r="F61" s="6">
        <v>179.95</v>
      </c>
      <c r="G61" s="6">
        <v>100</v>
      </c>
      <c r="H61" s="7">
        <f t="shared" si="12"/>
        <v>0.44429008057793828</v>
      </c>
      <c r="I61" s="7"/>
      <c r="J61" s="7">
        <v>0.2</v>
      </c>
      <c r="K61" s="6">
        <f t="shared" si="13"/>
        <v>143.96</v>
      </c>
      <c r="L61" s="7">
        <f t="shared" si="14"/>
        <v>0.30536260072242294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25" t="s">
        <v>805</v>
      </c>
      <c r="B62" s="4"/>
      <c r="C62" s="4" t="s">
        <v>849</v>
      </c>
      <c r="D62" s="4" t="s">
        <v>945</v>
      </c>
      <c r="E62" s="5" t="s">
        <v>13</v>
      </c>
      <c r="F62" s="6">
        <v>199.95</v>
      </c>
      <c r="G62" s="6">
        <v>111.58</v>
      </c>
      <c r="H62" s="7">
        <f t="shared" si="12"/>
        <v>0.44196049012253058</v>
      </c>
      <c r="I62" s="7"/>
      <c r="J62" s="7">
        <v>0.2</v>
      </c>
      <c r="K62" s="6">
        <f t="shared" si="13"/>
        <v>159.96</v>
      </c>
      <c r="L62" s="7">
        <f t="shared" si="14"/>
        <v>0.30245061265316331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25" t="s">
        <v>805</v>
      </c>
      <c r="B63" s="4"/>
      <c r="C63" s="4" t="s">
        <v>851</v>
      </c>
      <c r="D63" s="4" t="s">
        <v>946</v>
      </c>
      <c r="E63" s="5" t="s">
        <v>13</v>
      </c>
      <c r="F63" s="6">
        <v>179.95</v>
      </c>
      <c r="G63" s="6">
        <v>100</v>
      </c>
      <c r="H63" s="7">
        <f t="shared" si="12"/>
        <v>0.44429008057793828</v>
      </c>
      <c r="I63" s="7"/>
      <c r="J63" s="7">
        <v>0.2</v>
      </c>
      <c r="K63" s="6">
        <f t="shared" si="13"/>
        <v>143.96</v>
      </c>
      <c r="L63" s="7">
        <f t="shared" si="14"/>
        <v>0.30536260072242294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25" t="s">
        <v>805</v>
      </c>
      <c r="B64" s="4"/>
      <c r="C64" s="4" t="s">
        <v>853</v>
      </c>
      <c r="D64" s="4" t="s">
        <v>947</v>
      </c>
      <c r="E64" s="5" t="s">
        <v>13</v>
      </c>
      <c r="F64" s="6">
        <v>179.95</v>
      </c>
      <c r="G64" s="6">
        <v>100</v>
      </c>
      <c r="H64" s="7">
        <f t="shared" si="12"/>
        <v>0.44429008057793828</v>
      </c>
      <c r="I64" s="7"/>
      <c r="J64" s="7">
        <v>0.2</v>
      </c>
      <c r="K64" s="6">
        <f t="shared" si="13"/>
        <v>143.96</v>
      </c>
      <c r="L64" s="7">
        <f t="shared" si="14"/>
        <v>0.30536260072242294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25" t="s">
        <v>805</v>
      </c>
      <c r="B65" s="4"/>
      <c r="C65" s="4" t="s">
        <v>857</v>
      </c>
      <c r="D65" s="4" t="s">
        <v>948</v>
      </c>
      <c r="E65" s="5" t="s">
        <v>13</v>
      </c>
      <c r="F65" s="6">
        <v>19.95</v>
      </c>
      <c r="G65" s="6">
        <v>14.21</v>
      </c>
      <c r="H65" s="7">
        <f t="shared" si="12"/>
        <v>0.28771929824561393</v>
      </c>
      <c r="I65" s="7"/>
      <c r="J65" s="7">
        <v>0.1</v>
      </c>
      <c r="K65" s="6">
        <f t="shared" si="13"/>
        <v>17.954999999999998</v>
      </c>
      <c r="L65" s="7">
        <f t="shared" si="14"/>
        <v>0.20857699805068208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25" t="s">
        <v>805</v>
      </c>
      <c r="B66" s="4"/>
      <c r="C66" s="4" t="s">
        <v>859</v>
      </c>
      <c r="D66" s="4" t="s">
        <v>949</v>
      </c>
      <c r="E66" s="5" t="s">
        <v>13</v>
      </c>
      <c r="F66" s="6">
        <v>19.95</v>
      </c>
      <c r="G66" s="6">
        <v>14.21</v>
      </c>
      <c r="H66" s="7">
        <f t="shared" si="12"/>
        <v>0.28771929824561393</v>
      </c>
      <c r="I66" s="7"/>
      <c r="J66" s="7">
        <v>0.1</v>
      </c>
      <c r="K66" s="6">
        <f t="shared" si="13"/>
        <v>17.954999999999998</v>
      </c>
      <c r="L66" s="7">
        <f t="shared" si="14"/>
        <v>0.20857699805068208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25" t="s">
        <v>805</v>
      </c>
      <c r="B67" s="4"/>
      <c r="C67" s="4" t="s">
        <v>950</v>
      </c>
      <c r="D67" s="4" t="s">
        <v>951</v>
      </c>
      <c r="E67" s="5" t="s">
        <v>13</v>
      </c>
      <c r="F67" s="6">
        <v>34.950000000000003</v>
      </c>
      <c r="G67" s="6">
        <v>18.420000000000002</v>
      </c>
      <c r="H67" s="7">
        <f t="shared" si="12"/>
        <v>0.47296137339055788</v>
      </c>
      <c r="I67" s="7"/>
      <c r="J67" s="7">
        <v>0.2</v>
      </c>
      <c r="K67" s="6">
        <f t="shared" si="13"/>
        <v>27.960000000000004</v>
      </c>
      <c r="L67" s="7">
        <f t="shared" si="14"/>
        <v>0.34120171673819744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5" t="s">
        <v>805</v>
      </c>
      <c r="B68" s="4"/>
      <c r="C68" s="4" t="s">
        <v>952</v>
      </c>
      <c r="D68" s="4" t="s">
        <v>953</v>
      </c>
      <c r="E68" s="5" t="s">
        <v>13</v>
      </c>
      <c r="F68" s="6">
        <v>19.95</v>
      </c>
      <c r="G68" s="6">
        <v>14.21</v>
      </c>
      <c r="H68" s="7">
        <f t="shared" si="12"/>
        <v>0.28771929824561393</v>
      </c>
      <c r="I68" s="7"/>
      <c r="J68" s="7">
        <v>0.1</v>
      </c>
      <c r="K68" s="6">
        <f t="shared" si="13"/>
        <v>17.954999999999998</v>
      </c>
      <c r="L68" s="7">
        <f t="shared" si="14"/>
        <v>0.20857699805068208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5" t="s">
        <v>805</v>
      </c>
      <c r="B69" s="4"/>
      <c r="C69" s="4" t="s">
        <v>863</v>
      </c>
      <c r="D69" s="4" t="s">
        <v>954</v>
      </c>
      <c r="E69" s="5" t="s">
        <v>13</v>
      </c>
      <c r="F69" s="6">
        <v>39.950000000000003</v>
      </c>
      <c r="G69" s="6">
        <v>21.05</v>
      </c>
      <c r="H69" s="7">
        <f t="shared" si="12"/>
        <v>0.47309136420525655</v>
      </c>
      <c r="I69" s="7"/>
      <c r="J69" s="7">
        <v>0.2</v>
      </c>
      <c r="K69" s="6">
        <f t="shared" si="13"/>
        <v>31.960000000000004</v>
      </c>
      <c r="L69" s="7">
        <f t="shared" si="14"/>
        <v>0.34136420525657074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25" t="s">
        <v>805</v>
      </c>
      <c r="B70" s="4"/>
      <c r="C70" s="4" t="s">
        <v>867</v>
      </c>
      <c r="D70" s="4" t="s">
        <v>955</v>
      </c>
      <c r="E70" s="5" t="s">
        <v>13</v>
      </c>
      <c r="F70" s="6">
        <v>29.95</v>
      </c>
      <c r="G70" s="6">
        <v>21.05</v>
      </c>
      <c r="H70" s="7">
        <f t="shared" si="12"/>
        <v>0.29716193656093481</v>
      </c>
      <c r="I70" s="7"/>
      <c r="J70" s="7">
        <v>0.1</v>
      </c>
      <c r="K70" s="6">
        <f t="shared" si="13"/>
        <v>26.954999999999998</v>
      </c>
      <c r="L70" s="7">
        <f t="shared" si="14"/>
        <v>0.21906881840103865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25" t="s">
        <v>805</v>
      </c>
      <c r="B71" s="4"/>
      <c r="C71" s="4" t="s">
        <v>869</v>
      </c>
      <c r="D71" s="4" t="s">
        <v>956</v>
      </c>
      <c r="E71" s="5" t="s">
        <v>13</v>
      </c>
      <c r="F71" s="6">
        <v>14.95</v>
      </c>
      <c r="G71" s="6">
        <v>10.53</v>
      </c>
      <c r="H71" s="7">
        <f t="shared" si="12"/>
        <v>0.29565217391304344</v>
      </c>
      <c r="I71" s="7"/>
      <c r="J71" s="7">
        <v>0.1</v>
      </c>
      <c r="K71" s="6">
        <f t="shared" si="13"/>
        <v>13.455</v>
      </c>
      <c r="L71" s="7">
        <f t="shared" si="14"/>
        <v>0.21739130434782616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25" t="s">
        <v>805</v>
      </c>
      <c r="B72" s="4"/>
      <c r="C72" s="4" t="s">
        <v>871</v>
      </c>
      <c r="D72" s="4" t="s">
        <v>957</v>
      </c>
      <c r="E72" s="5" t="s">
        <v>13</v>
      </c>
      <c r="F72" s="6">
        <v>19.95</v>
      </c>
      <c r="G72" s="6">
        <v>14.21</v>
      </c>
      <c r="H72" s="7">
        <f t="shared" si="12"/>
        <v>0.28771929824561393</v>
      </c>
      <c r="I72" s="7"/>
      <c r="J72" s="7">
        <v>0.1</v>
      </c>
      <c r="K72" s="6">
        <f t="shared" si="13"/>
        <v>17.954999999999998</v>
      </c>
      <c r="L72" s="7">
        <f t="shared" si="14"/>
        <v>0.20857699805068208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25" t="s">
        <v>805</v>
      </c>
      <c r="B73" s="4"/>
      <c r="C73" s="4" t="s">
        <v>873</v>
      </c>
      <c r="D73" s="4" t="s">
        <v>958</v>
      </c>
      <c r="E73" s="5" t="s">
        <v>13</v>
      </c>
      <c r="F73" s="6">
        <v>14.95</v>
      </c>
      <c r="G73" s="6">
        <v>10.53</v>
      </c>
      <c r="H73" s="7">
        <f t="shared" si="12"/>
        <v>0.29565217391304344</v>
      </c>
      <c r="I73" s="7"/>
      <c r="J73" s="7">
        <v>0.12</v>
      </c>
      <c r="K73" s="6">
        <f t="shared" si="13"/>
        <v>13.155999999999999</v>
      </c>
      <c r="L73" s="7">
        <f t="shared" si="14"/>
        <v>0.19960474308300391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25" t="s">
        <v>805</v>
      </c>
      <c r="B74" s="4"/>
      <c r="C74" s="4" t="s">
        <v>959</v>
      </c>
      <c r="D74" s="4" t="s">
        <v>960</v>
      </c>
      <c r="E74" s="5" t="s">
        <v>13</v>
      </c>
      <c r="F74" s="6">
        <v>14.95</v>
      </c>
      <c r="G74" s="6">
        <v>10.53</v>
      </c>
      <c r="H74" s="7">
        <f t="shared" si="12"/>
        <v>0.29565217391304344</v>
      </c>
      <c r="I74" s="7"/>
      <c r="J74" s="7">
        <v>0.12</v>
      </c>
      <c r="K74" s="6">
        <f t="shared" si="13"/>
        <v>13.155999999999999</v>
      </c>
      <c r="L74" s="7">
        <f t="shared" si="14"/>
        <v>0.19960474308300391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25" t="s">
        <v>805</v>
      </c>
      <c r="B75" s="4"/>
      <c r="C75" s="4" t="s">
        <v>961</v>
      </c>
      <c r="D75" s="4" t="s">
        <v>962</v>
      </c>
      <c r="E75" s="5" t="s">
        <v>13</v>
      </c>
      <c r="F75" s="6">
        <v>9.9499999999999993</v>
      </c>
      <c r="G75" s="6">
        <v>6.32</v>
      </c>
      <c r="H75" s="7">
        <f t="shared" si="12"/>
        <v>0.36482412060301506</v>
      </c>
      <c r="I75" s="7"/>
      <c r="J75" s="7">
        <v>0.2</v>
      </c>
      <c r="K75" s="6">
        <f t="shared" si="13"/>
        <v>7.96</v>
      </c>
      <c r="L75" s="7">
        <f t="shared" si="14"/>
        <v>0.20603015075376885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26" t="s">
        <v>805</v>
      </c>
      <c r="B76" s="19"/>
      <c r="C76" s="19" t="s">
        <v>879</v>
      </c>
      <c r="D76" s="19" t="s">
        <v>963</v>
      </c>
      <c r="E76" s="20" t="s">
        <v>13</v>
      </c>
      <c r="F76" s="22">
        <v>14.95</v>
      </c>
      <c r="G76" s="22">
        <v>10.53</v>
      </c>
      <c r="H76" s="23">
        <f t="shared" si="12"/>
        <v>0.29565217391304344</v>
      </c>
      <c r="I76" s="23"/>
      <c r="J76" s="23">
        <v>0.12</v>
      </c>
      <c r="K76" s="22">
        <f t="shared" si="13"/>
        <v>13.155999999999999</v>
      </c>
      <c r="L76" s="23">
        <f t="shared" si="14"/>
        <v>0.19960474308300391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25" t="s">
        <v>805</v>
      </c>
      <c r="B77" s="4"/>
      <c r="C77" s="4" t="s">
        <v>964</v>
      </c>
      <c r="D77" s="4" t="s">
        <v>965</v>
      </c>
      <c r="E77" s="5" t="s">
        <v>13</v>
      </c>
      <c r="F77" s="6">
        <v>4.95</v>
      </c>
      <c r="G77" s="6">
        <v>2.63</v>
      </c>
      <c r="H77" s="7">
        <f t="shared" ref="H77:H91" si="15">1-(G77/F77)</f>
        <v>0.46868686868686871</v>
      </c>
      <c r="I77" s="7"/>
      <c r="J77" s="7">
        <v>0.2</v>
      </c>
      <c r="K77" s="6">
        <f t="shared" ref="K77:K91" si="16">F77*(1-J77)</f>
        <v>3.9600000000000004</v>
      </c>
      <c r="L77" s="7">
        <f t="shared" ref="L77:L91" si="17">1-(G77/K77)</f>
        <v>0.33585858585858597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25" t="s">
        <v>805</v>
      </c>
      <c r="B78" s="4"/>
      <c r="C78" s="4" t="s">
        <v>966</v>
      </c>
      <c r="D78" s="4" t="s">
        <v>967</v>
      </c>
      <c r="E78" s="5" t="s">
        <v>13</v>
      </c>
      <c r="F78" s="6">
        <v>4.95</v>
      </c>
      <c r="G78" s="6">
        <v>2.63</v>
      </c>
      <c r="H78" s="7">
        <f t="shared" si="15"/>
        <v>0.46868686868686871</v>
      </c>
      <c r="I78" s="7"/>
      <c r="J78" s="7">
        <v>0.2</v>
      </c>
      <c r="K78" s="6">
        <f t="shared" si="16"/>
        <v>3.9600000000000004</v>
      </c>
      <c r="L78" s="7">
        <f t="shared" si="17"/>
        <v>0.33585858585858597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25" t="s">
        <v>805</v>
      </c>
      <c r="B79" s="4"/>
      <c r="C79" s="4" t="s">
        <v>847</v>
      </c>
      <c r="D79" s="4" t="s">
        <v>968</v>
      </c>
      <c r="E79" s="5" t="s">
        <v>13</v>
      </c>
      <c r="F79" s="6">
        <v>179.95</v>
      </c>
      <c r="G79" s="6">
        <v>100</v>
      </c>
      <c r="H79" s="7">
        <f t="shared" si="15"/>
        <v>0.44429008057793828</v>
      </c>
      <c r="I79" s="7"/>
      <c r="J79" s="7">
        <v>0.2</v>
      </c>
      <c r="K79" s="6">
        <f t="shared" si="16"/>
        <v>143.96</v>
      </c>
      <c r="L79" s="7">
        <f t="shared" si="17"/>
        <v>0.30536260072242294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25" t="s">
        <v>805</v>
      </c>
      <c r="B80" s="4"/>
      <c r="C80" s="4" t="s">
        <v>849</v>
      </c>
      <c r="D80" s="4" t="s">
        <v>969</v>
      </c>
      <c r="E80" s="5" t="s">
        <v>13</v>
      </c>
      <c r="F80" s="6">
        <v>199.95</v>
      </c>
      <c r="G80" s="6">
        <v>111.58</v>
      </c>
      <c r="H80" s="7">
        <f t="shared" si="15"/>
        <v>0.44196049012253058</v>
      </c>
      <c r="I80" s="7"/>
      <c r="J80" s="7">
        <v>0.2</v>
      </c>
      <c r="K80" s="6">
        <f t="shared" si="16"/>
        <v>159.96</v>
      </c>
      <c r="L80" s="7">
        <f t="shared" si="17"/>
        <v>0.30245061265316331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25" t="s">
        <v>805</v>
      </c>
      <c r="B81" s="4"/>
      <c r="C81" s="4" t="s">
        <v>851</v>
      </c>
      <c r="D81" s="4" t="s">
        <v>946</v>
      </c>
      <c r="E81" s="5" t="s">
        <v>13</v>
      </c>
      <c r="F81" s="6">
        <v>179.95</v>
      </c>
      <c r="G81" s="6">
        <v>100</v>
      </c>
      <c r="H81" s="7">
        <f t="shared" si="15"/>
        <v>0.44429008057793828</v>
      </c>
      <c r="I81" s="7"/>
      <c r="J81" s="7">
        <v>0.2</v>
      </c>
      <c r="K81" s="6">
        <f t="shared" si="16"/>
        <v>143.96</v>
      </c>
      <c r="L81" s="7">
        <f t="shared" si="17"/>
        <v>0.30536260072242294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25" t="s">
        <v>805</v>
      </c>
      <c r="B82" s="4"/>
      <c r="C82" s="4" t="s">
        <v>853</v>
      </c>
      <c r="D82" s="4" t="s">
        <v>947</v>
      </c>
      <c r="E82" s="5" t="s">
        <v>13</v>
      </c>
      <c r="F82" s="6">
        <v>179.95</v>
      </c>
      <c r="G82" s="6">
        <v>100</v>
      </c>
      <c r="H82" s="7">
        <f t="shared" si="15"/>
        <v>0.44429008057793828</v>
      </c>
      <c r="I82" s="7"/>
      <c r="J82" s="7">
        <v>0.2</v>
      </c>
      <c r="K82" s="6">
        <f t="shared" si="16"/>
        <v>143.96</v>
      </c>
      <c r="L82" s="7">
        <f t="shared" si="17"/>
        <v>0.30536260072242294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25" t="s">
        <v>805</v>
      </c>
      <c r="B83" s="4"/>
      <c r="C83" s="4" t="s">
        <v>887</v>
      </c>
      <c r="D83" s="4" t="s">
        <v>970</v>
      </c>
      <c r="E83" s="5" t="s">
        <v>13</v>
      </c>
      <c r="F83" s="6">
        <v>49.95</v>
      </c>
      <c r="G83" s="6">
        <v>26.32</v>
      </c>
      <c r="H83" s="7">
        <f t="shared" si="15"/>
        <v>0.47307307307307311</v>
      </c>
      <c r="I83" s="7"/>
      <c r="J83" s="7">
        <v>0.2</v>
      </c>
      <c r="K83" s="6">
        <f t="shared" si="16"/>
        <v>39.960000000000008</v>
      </c>
      <c r="L83" s="7">
        <f t="shared" si="17"/>
        <v>0.34134134134134142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25" t="s">
        <v>805</v>
      </c>
      <c r="B84" s="4"/>
      <c r="C84" s="4" t="s">
        <v>889</v>
      </c>
      <c r="D84" s="4" t="s">
        <v>971</v>
      </c>
      <c r="E84" s="5" t="s">
        <v>13</v>
      </c>
      <c r="F84" s="6">
        <v>19.95</v>
      </c>
      <c r="G84" s="6">
        <v>14.21</v>
      </c>
      <c r="H84" s="7">
        <f t="shared" si="15"/>
        <v>0.28771929824561393</v>
      </c>
      <c r="I84" s="7"/>
      <c r="J84" s="7">
        <v>0.12</v>
      </c>
      <c r="K84" s="6">
        <f t="shared" si="16"/>
        <v>17.556000000000001</v>
      </c>
      <c r="L84" s="7">
        <f t="shared" si="17"/>
        <v>0.1905901116427432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25" t="s">
        <v>805</v>
      </c>
      <c r="B85" s="4"/>
      <c r="C85" s="4" t="s">
        <v>891</v>
      </c>
      <c r="D85" s="4" t="s">
        <v>972</v>
      </c>
      <c r="E85" s="5" t="s">
        <v>13</v>
      </c>
      <c r="F85" s="6">
        <v>45</v>
      </c>
      <c r="G85" s="6">
        <v>23.68</v>
      </c>
      <c r="H85" s="7">
        <f t="shared" si="15"/>
        <v>0.47377777777777774</v>
      </c>
      <c r="I85" s="7"/>
      <c r="J85" s="7">
        <v>0.2</v>
      </c>
      <c r="K85" s="6">
        <f t="shared" si="16"/>
        <v>36</v>
      </c>
      <c r="L85" s="7">
        <f t="shared" si="17"/>
        <v>0.34222222222222221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25" t="s">
        <v>805</v>
      </c>
      <c r="B86" s="4"/>
      <c r="C86" s="4" t="s">
        <v>973</v>
      </c>
      <c r="D86" s="4" t="s">
        <v>974</v>
      </c>
      <c r="E86" s="5" t="s">
        <v>13</v>
      </c>
      <c r="F86" s="6">
        <v>99.95</v>
      </c>
      <c r="G86" s="6">
        <v>55.79</v>
      </c>
      <c r="H86" s="7">
        <f t="shared" si="15"/>
        <v>0.44182091045522764</v>
      </c>
      <c r="I86" s="7"/>
      <c r="J86" s="7">
        <v>0.2</v>
      </c>
      <c r="K86" s="6">
        <f t="shared" si="16"/>
        <v>79.960000000000008</v>
      </c>
      <c r="L86" s="7">
        <f t="shared" si="17"/>
        <v>0.30227613806903464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25" t="s">
        <v>805</v>
      </c>
      <c r="B87" s="4"/>
      <c r="C87" s="4" t="s">
        <v>875</v>
      </c>
      <c r="D87" s="4" t="s">
        <v>876</v>
      </c>
      <c r="E87" s="5" t="s">
        <v>13</v>
      </c>
      <c r="F87" s="6">
        <v>29.95</v>
      </c>
      <c r="G87" s="6">
        <v>16.84</v>
      </c>
      <c r="H87" s="7">
        <f t="shared" si="15"/>
        <v>0.43772954924874785</v>
      </c>
      <c r="I87" s="7"/>
      <c r="J87" s="7">
        <v>0.2</v>
      </c>
      <c r="K87" s="6">
        <f t="shared" si="16"/>
        <v>23.96</v>
      </c>
      <c r="L87" s="7">
        <f t="shared" si="17"/>
        <v>0.29716193656093493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25" t="s">
        <v>805</v>
      </c>
      <c r="B88" s="4"/>
      <c r="C88" s="4" t="s">
        <v>893</v>
      </c>
      <c r="D88" s="4" t="s">
        <v>975</v>
      </c>
      <c r="E88" s="5" t="s">
        <v>13</v>
      </c>
      <c r="F88" s="6">
        <v>14.95</v>
      </c>
      <c r="G88" s="6">
        <v>10.53</v>
      </c>
      <c r="H88" s="7">
        <f t="shared" si="15"/>
        <v>0.29565217391304344</v>
      </c>
      <c r="I88" s="7"/>
      <c r="J88" s="7">
        <v>0.12</v>
      </c>
      <c r="K88" s="6">
        <f t="shared" si="16"/>
        <v>13.155999999999999</v>
      </c>
      <c r="L88" s="7">
        <f t="shared" si="17"/>
        <v>0.19960474308300391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25" t="s">
        <v>805</v>
      </c>
      <c r="B89" s="4"/>
      <c r="C89" s="4" t="s">
        <v>895</v>
      </c>
      <c r="D89" s="4" t="s">
        <v>976</v>
      </c>
      <c r="E89" s="5" t="s">
        <v>13</v>
      </c>
      <c r="F89" s="6">
        <v>14.95</v>
      </c>
      <c r="G89" s="6">
        <v>10.53</v>
      </c>
      <c r="H89" s="7">
        <f t="shared" si="15"/>
        <v>0.29565217391304344</v>
      </c>
      <c r="I89" s="7"/>
      <c r="J89" s="7">
        <v>0.12</v>
      </c>
      <c r="K89" s="6">
        <f t="shared" si="16"/>
        <v>13.155999999999999</v>
      </c>
      <c r="L89" s="7">
        <f t="shared" si="17"/>
        <v>0.19960474308300391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25" t="s">
        <v>805</v>
      </c>
      <c r="B90" s="4"/>
      <c r="C90" s="4" t="s">
        <v>897</v>
      </c>
      <c r="D90" s="4" t="s">
        <v>977</v>
      </c>
      <c r="E90" s="5" t="s">
        <v>13</v>
      </c>
      <c r="F90" s="6">
        <v>14.95</v>
      </c>
      <c r="G90" s="6">
        <v>10.53</v>
      </c>
      <c r="H90" s="7">
        <f t="shared" si="15"/>
        <v>0.29565217391304344</v>
      </c>
      <c r="I90" s="7"/>
      <c r="J90" s="7">
        <v>0.12</v>
      </c>
      <c r="K90" s="6">
        <f t="shared" si="16"/>
        <v>13.155999999999999</v>
      </c>
      <c r="L90" s="7">
        <f t="shared" si="17"/>
        <v>0.19960474308300391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26" t="s">
        <v>805</v>
      </c>
      <c r="B91" s="19"/>
      <c r="C91" s="19" t="s">
        <v>883</v>
      </c>
      <c r="D91" s="19" t="s">
        <v>978</v>
      </c>
      <c r="E91" s="20" t="s">
        <v>13</v>
      </c>
      <c r="F91" s="22">
        <v>39.950000000000003</v>
      </c>
      <c r="G91" s="22">
        <v>21.05</v>
      </c>
      <c r="H91" s="23">
        <f t="shared" si="15"/>
        <v>0.47309136420525655</v>
      </c>
      <c r="I91" s="23"/>
      <c r="J91" s="23">
        <v>0.2</v>
      </c>
      <c r="K91" s="22">
        <f t="shared" si="16"/>
        <v>31.960000000000004</v>
      </c>
      <c r="L91" s="23">
        <f t="shared" si="17"/>
        <v>0.34136420525657074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25" t="s">
        <v>805</v>
      </c>
      <c r="B92" s="4"/>
      <c r="C92" s="4" t="s">
        <v>979</v>
      </c>
      <c r="D92" s="4" t="s">
        <v>980</v>
      </c>
      <c r="E92" s="5" t="s">
        <v>13</v>
      </c>
      <c r="F92" s="6">
        <v>79.95</v>
      </c>
      <c r="G92" s="6">
        <v>45.26</v>
      </c>
      <c r="H92" s="7">
        <f t="shared" ref="H92:H110" si="18">1-(G92/F92)</f>
        <v>0.43389618511569739</v>
      </c>
      <c r="I92" s="7"/>
      <c r="J92" s="7">
        <v>0.2</v>
      </c>
      <c r="K92" s="6">
        <f t="shared" ref="K92:K110" si="19">F92*(1-J92)</f>
        <v>63.960000000000008</v>
      </c>
      <c r="L92" s="7">
        <f t="shared" ref="L92:L110" si="20">1-(G92/K92)</f>
        <v>0.2923702313946217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25" t="s">
        <v>805</v>
      </c>
      <c r="B93" s="4"/>
      <c r="C93" s="4" t="s">
        <v>981</v>
      </c>
      <c r="D93" s="4" t="s">
        <v>982</v>
      </c>
      <c r="E93" s="5" t="s">
        <v>13</v>
      </c>
      <c r="F93" s="6">
        <v>79.95</v>
      </c>
      <c r="G93" s="6">
        <v>45.26</v>
      </c>
      <c r="H93" s="7">
        <f t="shared" si="18"/>
        <v>0.43389618511569739</v>
      </c>
      <c r="I93" s="7"/>
      <c r="J93" s="7">
        <v>0.2</v>
      </c>
      <c r="K93" s="6">
        <f t="shared" si="19"/>
        <v>63.960000000000008</v>
      </c>
      <c r="L93" s="7">
        <f t="shared" si="20"/>
        <v>0.2923702313946217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25" t="s">
        <v>805</v>
      </c>
      <c r="B94" s="4"/>
      <c r="C94" s="4" t="s">
        <v>983</v>
      </c>
      <c r="D94" s="4" t="s">
        <v>984</v>
      </c>
      <c r="E94" s="5" t="s">
        <v>13</v>
      </c>
      <c r="F94" s="6">
        <v>79.95</v>
      </c>
      <c r="G94" s="6">
        <v>45.26</v>
      </c>
      <c r="H94" s="7">
        <f t="shared" si="18"/>
        <v>0.43389618511569739</v>
      </c>
      <c r="I94" s="7"/>
      <c r="J94" s="7">
        <v>0.2</v>
      </c>
      <c r="K94" s="6">
        <f t="shared" si="19"/>
        <v>63.960000000000008</v>
      </c>
      <c r="L94" s="7">
        <f t="shared" si="20"/>
        <v>0.2923702313946217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25" t="s">
        <v>805</v>
      </c>
      <c r="B95" s="4"/>
      <c r="C95" s="4" t="s">
        <v>985</v>
      </c>
      <c r="D95" s="4" t="s">
        <v>986</v>
      </c>
      <c r="E95" s="5" t="s">
        <v>13</v>
      </c>
      <c r="F95" s="6">
        <v>79.95</v>
      </c>
      <c r="G95" s="6">
        <v>45.26</v>
      </c>
      <c r="H95" s="7">
        <f t="shared" si="18"/>
        <v>0.43389618511569739</v>
      </c>
      <c r="I95" s="7"/>
      <c r="J95" s="7">
        <v>0.2</v>
      </c>
      <c r="K95" s="6">
        <f t="shared" si="19"/>
        <v>63.960000000000008</v>
      </c>
      <c r="L95" s="7">
        <f t="shared" si="20"/>
        <v>0.2923702313946217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25" t="s">
        <v>805</v>
      </c>
      <c r="B96" s="4"/>
      <c r="C96" s="4" t="s">
        <v>987</v>
      </c>
      <c r="D96" s="4" t="s">
        <v>988</v>
      </c>
      <c r="E96" s="5" t="s">
        <v>13</v>
      </c>
      <c r="F96" s="6">
        <v>79.95</v>
      </c>
      <c r="G96" s="6">
        <v>45.26</v>
      </c>
      <c r="H96" s="7">
        <f t="shared" si="18"/>
        <v>0.43389618511569739</v>
      </c>
      <c r="I96" s="7"/>
      <c r="J96" s="7">
        <v>0.2</v>
      </c>
      <c r="K96" s="6">
        <f t="shared" si="19"/>
        <v>63.960000000000008</v>
      </c>
      <c r="L96" s="7">
        <f t="shared" si="20"/>
        <v>0.2923702313946217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25" t="s">
        <v>805</v>
      </c>
      <c r="B97" s="4"/>
      <c r="C97" s="4" t="s">
        <v>989</v>
      </c>
      <c r="D97" s="4" t="s">
        <v>990</v>
      </c>
      <c r="E97" s="5" t="s">
        <v>13</v>
      </c>
      <c r="F97" s="6">
        <v>79.95</v>
      </c>
      <c r="G97" s="6">
        <v>45.26</v>
      </c>
      <c r="H97" s="7">
        <f t="shared" si="18"/>
        <v>0.43389618511569739</v>
      </c>
      <c r="I97" s="7"/>
      <c r="J97" s="7">
        <v>0.2</v>
      </c>
      <c r="K97" s="6">
        <f t="shared" si="19"/>
        <v>63.960000000000008</v>
      </c>
      <c r="L97" s="7">
        <f t="shared" si="20"/>
        <v>0.2923702313946217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25" t="s">
        <v>805</v>
      </c>
      <c r="B98" s="4"/>
      <c r="C98" s="4" t="s">
        <v>991</v>
      </c>
      <c r="D98" s="4" t="s">
        <v>992</v>
      </c>
      <c r="E98" s="5" t="s">
        <v>13</v>
      </c>
      <c r="F98" s="6">
        <v>79.95</v>
      </c>
      <c r="G98" s="6">
        <v>45.26</v>
      </c>
      <c r="H98" s="7">
        <f t="shared" si="18"/>
        <v>0.43389618511569739</v>
      </c>
      <c r="I98" s="7"/>
      <c r="J98" s="7">
        <v>0.2</v>
      </c>
      <c r="K98" s="6">
        <f t="shared" si="19"/>
        <v>63.960000000000008</v>
      </c>
      <c r="L98" s="7">
        <f t="shared" si="20"/>
        <v>0.2923702313946217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25" t="s">
        <v>805</v>
      </c>
      <c r="B99" s="4"/>
      <c r="C99" s="4" t="s">
        <v>993</v>
      </c>
      <c r="D99" s="4" t="s">
        <v>994</v>
      </c>
      <c r="E99" s="5" t="s">
        <v>13</v>
      </c>
      <c r="F99" s="6">
        <v>24.99</v>
      </c>
      <c r="G99" s="6">
        <v>13.16</v>
      </c>
      <c r="H99" s="7">
        <f t="shared" si="18"/>
        <v>0.4733893557422969</v>
      </c>
      <c r="I99" s="7"/>
      <c r="J99" s="7">
        <v>0.2</v>
      </c>
      <c r="K99" s="6">
        <f t="shared" si="19"/>
        <v>19.992000000000001</v>
      </c>
      <c r="L99" s="7">
        <f t="shared" si="20"/>
        <v>0.34173669467787116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25" t="s">
        <v>805</v>
      </c>
      <c r="B100" s="4"/>
      <c r="C100" s="4" t="s">
        <v>995</v>
      </c>
      <c r="D100" s="4" t="s">
        <v>996</v>
      </c>
      <c r="E100" s="5" t="s">
        <v>13</v>
      </c>
      <c r="F100" s="6">
        <v>14.95</v>
      </c>
      <c r="G100" s="6">
        <v>7.89</v>
      </c>
      <c r="H100" s="7">
        <f t="shared" si="18"/>
        <v>0.47224080267558532</v>
      </c>
      <c r="I100" s="7"/>
      <c r="J100" s="7">
        <v>0.2</v>
      </c>
      <c r="K100" s="6">
        <f t="shared" si="19"/>
        <v>11.96</v>
      </c>
      <c r="L100" s="7">
        <f t="shared" si="20"/>
        <v>0.34030100334448166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25" t="s">
        <v>805</v>
      </c>
      <c r="B101" s="4"/>
      <c r="C101" s="4" t="s">
        <v>997</v>
      </c>
      <c r="D101" s="4" t="s">
        <v>998</v>
      </c>
      <c r="E101" s="5" t="s">
        <v>13</v>
      </c>
      <c r="F101" s="6">
        <v>86</v>
      </c>
      <c r="G101" s="6">
        <v>45.26</v>
      </c>
      <c r="H101" s="7">
        <f t="shared" si="18"/>
        <v>0.47372093023255812</v>
      </c>
      <c r="I101" s="7"/>
      <c r="J101" s="7">
        <v>0.2</v>
      </c>
      <c r="K101" s="6">
        <f t="shared" si="19"/>
        <v>68.8</v>
      </c>
      <c r="L101" s="7">
        <f t="shared" si="20"/>
        <v>0.34215116279069768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25" t="s">
        <v>805</v>
      </c>
      <c r="B102" s="4"/>
      <c r="C102" s="4" t="s">
        <v>999</v>
      </c>
      <c r="D102" s="4" t="s">
        <v>1000</v>
      </c>
      <c r="E102" s="5" t="s">
        <v>13</v>
      </c>
      <c r="F102" s="6">
        <v>79.95</v>
      </c>
      <c r="G102" s="6">
        <v>45.26</v>
      </c>
      <c r="H102" s="7">
        <f t="shared" si="18"/>
        <v>0.43389618511569739</v>
      </c>
      <c r="I102" s="7"/>
      <c r="J102" s="7">
        <v>0.2</v>
      </c>
      <c r="K102" s="6">
        <f t="shared" si="19"/>
        <v>63.960000000000008</v>
      </c>
      <c r="L102" s="7">
        <f t="shared" si="20"/>
        <v>0.2923702313946217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25" t="s">
        <v>805</v>
      </c>
      <c r="B103" s="4"/>
      <c r="C103" s="4" t="s">
        <v>1001</v>
      </c>
      <c r="D103" s="4" t="s">
        <v>1002</v>
      </c>
      <c r="E103" s="5" t="s">
        <v>13</v>
      </c>
      <c r="F103" s="6">
        <v>79.95</v>
      </c>
      <c r="G103" s="6">
        <v>45.26</v>
      </c>
      <c r="H103" s="7">
        <f t="shared" si="18"/>
        <v>0.43389618511569739</v>
      </c>
      <c r="I103" s="7"/>
      <c r="J103" s="7">
        <v>0.2</v>
      </c>
      <c r="K103" s="6">
        <f t="shared" si="19"/>
        <v>63.960000000000008</v>
      </c>
      <c r="L103" s="7">
        <f t="shared" si="20"/>
        <v>0.2923702313946217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25" t="s">
        <v>805</v>
      </c>
      <c r="B104" s="4"/>
      <c r="C104" s="4" t="s">
        <v>1003</v>
      </c>
      <c r="D104" s="4" t="s">
        <v>1004</v>
      </c>
      <c r="E104" s="5" t="s">
        <v>13</v>
      </c>
      <c r="F104" s="6">
        <v>79.95</v>
      </c>
      <c r="G104" s="6">
        <v>45.26</v>
      </c>
      <c r="H104" s="7">
        <f t="shared" si="18"/>
        <v>0.43389618511569739</v>
      </c>
      <c r="I104" s="7"/>
      <c r="J104" s="7">
        <v>0.2</v>
      </c>
      <c r="K104" s="6">
        <f t="shared" si="19"/>
        <v>63.960000000000008</v>
      </c>
      <c r="L104" s="7">
        <f t="shared" si="20"/>
        <v>0.2923702313946217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25" t="s">
        <v>805</v>
      </c>
      <c r="B105" s="4"/>
      <c r="C105" s="4" t="s">
        <v>1005</v>
      </c>
      <c r="D105" s="4" t="s">
        <v>1006</v>
      </c>
      <c r="E105" s="5" t="s">
        <v>13</v>
      </c>
      <c r="F105" s="6">
        <v>79.95</v>
      </c>
      <c r="G105" s="6">
        <v>45.26</v>
      </c>
      <c r="H105" s="7">
        <f t="shared" si="18"/>
        <v>0.43389618511569739</v>
      </c>
      <c r="I105" s="7"/>
      <c r="J105" s="7">
        <v>0.2</v>
      </c>
      <c r="K105" s="6">
        <f t="shared" si="19"/>
        <v>63.960000000000008</v>
      </c>
      <c r="L105" s="7">
        <f t="shared" si="20"/>
        <v>0.2923702313946217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25" t="s">
        <v>805</v>
      </c>
      <c r="B106" s="4"/>
      <c r="C106" s="4" t="s">
        <v>1007</v>
      </c>
      <c r="D106" s="4" t="s">
        <v>1008</v>
      </c>
      <c r="E106" s="5" t="s">
        <v>13</v>
      </c>
      <c r="F106" s="6">
        <v>79.95</v>
      </c>
      <c r="G106" s="6">
        <v>42.11</v>
      </c>
      <c r="H106" s="7">
        <f t="shared" si="18"/>
        <v>0.47329580988117581</v>
      </c>
      <c r="I106" s="7"/>
      <c r="J106" s="7">
        <v>0.2</v>
      </c>
      <c r="K106" s="6">
        <f t="shared" si="19"/>
        <v>63.960000000000008</v>
      </c>
      <c r="L106" s="7">
        <f t="shared" si="20"/>
        <v>0.34161976235146974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27" t="s">
        <v>805</v>
      </c>
      <c r="B107" s="8"/>
      <c r="C107" s="8" t="s">
        <v>1009</v>
      </c>
      <c r="D107" s="8" t="s">
        <v>1010</v>
      </c>
      <c r="E107" s="9" t="s">
        <v>13</v>
      </c>
      <c r="F107" s="10">
        <v>79.95</v>
      </c>
      <c r="G107" s="10">
        <v>42.11</v>
      </c>
      <c r="H107" s="11">
        <f t="shared" si="18"/>
        <v>0.47329580988117581</v>
      </c>
      <c r="I107" s="11"/>
      <c r="J107" s="11">
        <v>0.2</v>
      </c>
      <c r="K107" s="10">
        <f t="shared" si="19"/>
        <v>63.960000000000008</v>
      </c>
      <c r="L107" s="11">
        <f t="shared" si="20"/>
        <v>0.34161976235146974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25" t="s">
        <v>805</v>
      </c>
      <c r="B108" s="4"/>
      <c r="C108" s="4" t="s">
        <v>1011</v>
      </c>
      <c r="D108" s="4" t="s">
        <v>1012</v>
      </c>
      <c r="E108" s="5" t="s">
        <v>13</v>
      </c>
      <c r="F108" s="6">
        <v>99.95</v>
      </c>
      <c r="G108" s="6">
        <v>52.63</v>
      </c>
      <c r="H108" s="7">
        <f t="shared" si="18"/>
        <v>0.47343671835917955</v>
      </c>
      <c r="I108" s="7"/>
      <c r="J108" s="7">
        <v>0.2</v>
      </c>
      <c r="K108" s="6">
        <f t="shared" si="19"/>
        <v>79.960000000000008</v>
      </c>
      <c r="L108" s="7">
        <f t="shared" si="20"/>
        <v>0.34179589794897447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25" t="s">
        <v>805</v>
      </c>
      <c r="B109" s="4"/>
      <c r="C109" s="4" t="s">
        <v>1013</v>
      </c>
      <c r="D109" s="4" t="s">
        <v>1014</v>
      </c>
      <c r="E109" s="5" t="s">
        <v>13</v>
      </c>
      <c r="F109" s="6">
        <v>179.95</v>
      </c>
      <c r="G109" s="6">
        <v>94.74</v>
      </c>
      <c r="H109" s="7">
        <f t="shared" si="18"/>
        <v>0.47352042233953873</v>
      </c>
      <c r="I109" s="7"/>
      <c r="J109" s="7">
        <v>0.2</v>
      </c>
      <c r="K109" s="6">
        <f t="shared" si="19"/>
        <v>143.96</v>
      </c>
      <c r="L109" s="7">
        <f t="shared" si="20"/>
        <v>0.34190052792442349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27" t="s">
        <v>805</v>
      </c>
      <c r="B110" s="8"/>
      <c r="C110" s="8" t="s">
        <v>1015</v>
      </c>
      <c r="D110" s="8" t="s">
        <v>1016</v>
      </c>
      <c r="E110" s="9" t="s">
        <v>13</v>
      </c>
      <c r="F110" s="10">
        <v>39.950000000000003</v>
      </c>
      <c r="G110" s="10">
        <v>21.05</v>
      </c>
      <c r="H110" s="11">
        <f t="shared" si="18"/>
        <v>0.47309136420525655</v>
      </c>
      <c r="I110" s="11"/>
      <c r="J110" s="11">
        <v>0.2</v>
      </c>
      <c r="K110" s="10">
        <f t="shared" si="19"/>
        <v>31.960000000000004</v>
      </c>
      <c r="L110" s="11">
        <f t="shared" si="20"/>
        <v>0.34136420525657074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25" t="s">
        <v>805</v>
      </c>
      <c r="B111" s="4" t="s">
        <v>1017</v>
      </c>
      <c r="C111" s="4" t="s">
        <v>1018</v>
      </c>
      <c r="D111" s="4" t="s">
        <v>1019</v>
      </c>
      <c r="E111" s="5" t="s">
        <v>13</v>
      </c>
      <c r="F111" s="6">
        <v>329.95</v>
      </c>
      <c r="G111" s="6">
        <v>173.68</v>
      </c>
      <c r="H111" s="7">
        <f t="shared" ref="H111:H122" si="21">1-(G111/F111)</f>
        <v>0.47361721472950447</v>
      </c>
      <c r="I111" s="7"/>
      <c r="J111" s="7">
        <v>0.2</v>
      </c>
      <c r="K111" s="6">
        <f t="shared" ref="K111:K122" si="22">F111*(1-J111)</f>
        <v>263.95999999999998</v>
      </c>
      <c r="L111" s="7">
        <f t="shared" ref="L111:L122" si="23">1-(G111/K111)</f>
        <v>0.34202151841188055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135" customFormat="1" ht="12.75" customHeight="1" x14ac:dyDescent="0.3">
      <c r="A112" s="162"/>
      <c r="B112" s="136" t="s">
        <v>1020</v>
      </c>
      <c r="C112" s="136" t="s">
        <v>1021</v>
      </c>
      <c r="D112" s="136" t="s">
        <v>1022</v>
      </c>
      <c r="E112" s="137"/>
      <c r="F112" s="139">
        <v>329.95</v>
      </c>
      <c r="G112" s="139">
        <v>173.68</v>
      </c>
      <c r="H112" s="140">
        <f t="shared" si="21"/>
        <v>0.47361721472950447</v>
      </c>
      <c r="I112" s="140"/>
      <c r="J112" s="140">
        <v>0.3</v>
      </c>
      <c r="K112" s="139">
        <f t="shared" si="22"/>
        <v>230.96499999999997</v>
      </c>
      <c r="L112" s="140">
        <f t="shared" si="23"/>
        <v>0.24802459247072051</v>
      </c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spans="1:26" ht="12.75" customHeight="1" x14ac:dyDescent="0.3">
      <c r="A113" s="25" t="s">
        <v>805</v>
      </c>
      <c r="B113" s="4" t="s">
        <v>1023</v>
      </c>
      <c r="C113" s="4" t="s">
        <v>1024</v>
      </c>
      <c r="D113" s="4" t="s">
        <v>1025</v>
      </c>
      <c r="E113" s="5" t="s">
        <v>13</v>
      </c>
      <c r="F113" s="6">
        <v>409.95</v>
      </c>
      <c r="G113" s="6">
        <v>215.79</v>
      </c>
      <c r="H113" s="7">
        <f t="shared" si="21"/>
        <v>0.4736187339919502</v>
      </c>
      <c r="I113" s="7"/>
      <c r="J113" s="7">
        <v>0.2</v>
      </c>
      <c r="K113" s="6">
        <f t="shared" si="22"/>
        <v>327.96000000000004</v>
      </c>
      <c r="L113" s="7">
        <f t="shared" si="23"/>
        <v>0.34202341748993792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25" t="s">
        <v>805</v>
      </c>
      <c r="B114" s="4" t="s">
        <v>1026</v>
      </c>
      <c r="C114" s="4" t="s">
        <v>1027</v>
      </c>
      <c r="D114" s="4" t="s">
        <v>1028</v>
      </c>
      <c r="E114" s="5" t="s">
        <v>13</v>
      </c>
      <c r="F114" s="6">
        <v>429.95</v>
      </c>
      <c r="G114" s="6">
        <v>226.32</v>
      </c>
      <c r="H114" s="7">
        <f t="shared" si="21"/>
        <v>0.47361321083846963</v>
      </c>
      <c r="I114" s="7"/>
      <c r="J114" s="7">
        <v>0.2</v>
      </c>
      <c r="K114" s="6">
        <f t="shared" si="22"/>
        <v>343.96000000000004</v>
      </c>
      <c r="L114" s="7">
        <f t="shared" si="23"/>
        <v>0.34201651354808704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135" customFormat="1" ht="12.75" customHeight="1" x14ac:dyDescent="0.3">
      <c r="A115" s="162"/>
      <c r="B115" s="136" t="s">
        <v>1029</v>
      </c>
      <c r="C115" s="136" t="s">
        <v>1030</v>
      </c>
      <c r="D115" s="136" t="s">
        <v>1031</v>
      </c>
      <c r="E115" s="137"/>
      <c r="F115" s="139">
        <v>349.95</v>
      </c>
      <c r="G115" s="139">
        <v>184.21</v>
      </c>
      <c r="H115" s="140">
        <f t="shared" si="21"/>
        <v>0.47361051578796964</v>
      </c>
      <c r="I115" s="140"/>
      <c r="J115" s="140">
        <v>0.3</v>
      </c>
      <c r="K115" s="139">
        <f t="shared" si="22"/>
        <v>244.96499999999997</v>
      </c>
      <c r="L115" s="140">
        <f t="shared" si="23"/>
        <v>0.24801502255424235</v>
      </c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spans="1:26" ht="12.75" customHeight="1" x14ac:dyDescent="0.3">
      <c r="A116" s="25" t="s">
        <v>805</v>
      </c>
      <c r="B116" s="4" t="s">
        <v>1032</v>
      </c>
      <c r="C116" s="4" t="s">
        <v>1033</v>
      </c>
      <c r="D116" s="4" t="s">
        <v>1034</v>
      </c>
      <c r="E116" s="5" t="s">
        <v>13</v>
      </c>
      <c r="F116" s="6">
        <v>329.95</v>
      </c>
      <c r="G116" s="6">
        <v>173.68</v>
      </c>
      <c r="H116" s="7">
        <f t="shared" si="21"/>
        <v>0.47361721472950447</v>
      </c>
      <c r="I116" s="7"/>
      <c r="J116" s="7">
        <v>0.2</v>
      </c>
      <c r="K116" s="6">
        <f t="shared" si="22"/>
        <v>263.95999999999998</v>
      </c>
      <c r="L116" s="7">
        <f t="shared" si="23"/>
        <v>0.34202151841188055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135" customFormat="1" ht="12.75" customHeight="1" x14ac:dyDescent="0.3">
      <c r="A117" s="162"/>
      <c r="B117" s="136" t="s">
        <v>1035</v>
      </c>
      <c r="C117" s="136" t="s">
        <v>1036</v>
      </c>
      <c r="D117" s="136" t="s">
        <v>1037</v>
      </c>
      <c r="E117" s="137"/>
      <c r="F117" s="139">
        <v>279.95</v>
      </c>
      <c r="G117" s="139">
        <v>162.11000000000001</v>
      </c>
      <c r="H117" s="140">
        <f t="shared" si="21"/>
        <v>0.42093230934095371</v>
      </c>
      <c r="I117" s="140"/>
      <c r="J117" s="140">
        <v>0.25</v>
      </c>
      <c r="K117" s="139">
        <f t="shared" si="22"/>
        <v>209.96249999999998</v>
      </c>
      <c r="L117" s="140">
        <f t="shared" si="23"/>
        <v>0.22790974578793821</v>
      </c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spans="1:26" ht="12.75" customHeight="1" x14ac:dyDescent="0.3">
      <c r="A118" s="25" t="s">
        <v>805</v>
      </c>
      <c r="B118" s="4" t="s">
        <v>1038</v>
      </c>
      <c r="C118" s="4" t="s">
        <v>1039</v>
      </c>
      <c r="D118" s="4" t="s">
        <v>1040</v>
      </c>
      <c r="E118" s="5" t="s">
        <v>13</v>
      </c>
      <c r="F118" s="6">
        <v>409.95</v>
      </c>
      <c r="G118" s="6">
        <v>215.79</v>
      </c>
      <c r="H118" s="7">
        <f t="shared" si="21"/>
        <v>0.4736187339919502</v>
      </c>
      <c r="I118" s="7"/>
      <c r="J118" s="7">
        <v>0.2</v>
      </c>
      <c r="K118" s="6">
        <f t="shared" si="22"/>
        <v>327.96000000000004</v>
      </c>
      <c r="L118" s="7">
        <f t="shared" si="23"/>
        <v>0.34202341748993792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25" t="s">
        <v>805</v>
      </c>
      <c r="B119" s="4" t="s">
        <v>1041</v>
      </c>
      <c r="C119" s="4" t="s">
        <v>1042</v>
      </c>
      <c r="D119" s="4" t="s">
        <v>1043</v>
      </c>
      <c r="E119" s="5" t="s">
        <v>13</v>
      </c>
      <c r="F119" s="6">
        <v>399.95</v>
      </c>
      <c r="G119" s="6">
        <v>210.53</v>
      </c>
      <c r="H119" s="7">
        <f t="shared" si="21"/>
        <v>0.47360920115014371</v>
      </c>
      <c r="I119" s="7"/>
      <c r="J119" s="7">
        <v>0.2</v>
      </c>
      <c r="K119" s="6">
        <f t="shared" si="22"/>
        <v>319.96000000000004</v>
      </c>
      <c r="L119" s="7">
        <f t="shared" si="23"/>
        <v>0.34201150143767978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25" t="s">
        <v>805</v>
      </c>
      <c r="B120" s="4" t="s">
        <v>1044</v>
      </c>
      <c r="C120" s="4" t="s">
        <v>1045</v>
      </c>
      <c r="D120" s="4" t="s">
        <v>1046</v>
      </c>
      <c r="E120" s="5" t="s">
        <v>13</v>
      </c>
      <c r="F120" s="6">
        <v>349.95</v>
      </c>
      <c r="G120" s="6">
        <v>184.21</v>
      </c>
      <c r="H120" s="7">
        <f t="shared" si="21"/>
        <v>0.47361051578796964</v>
      </c>
      <c r="I120" s="7"/>
      <c r="J120" s="7">
        <v>0.2</v>
      </c>
      <c r="K120" s="6">
        <f t="shared" si="22"/>
        <v>279.95999999999998</v>
      </c>
      <c r="L120" s="7">
        <f t="shared" si="23"/>
        <v>0.34201314473496203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25" t="s">
        <v>805</v>
      </c>
      <c r="B121" s="4" t="s">
        <v>1047</v>
      </c>
      <c r="C121" s="4" t="s">
        <v>1048</v>
      </c>
      <c r="D121" s="4" t="s">
        <v>1049</v>
      </c>
      <c r="E121" s="5" t="s">
        <v>13</v>
      </c>
      <c r="F121" s="6">
        <v>379.95</v>
      </c>
      <c r="G121" s="6">
        <v>200</v>
      </c>
      <c r="H121" s="7">
        <f t="shared" si="21"/>
        <v>0.47361494933543891</v>
      </c>
      <c r="I121" s="7"/>
      <c r="J121" s="7">
        <v>0.2</v>
      </c>
      <c r="K121" s="6">
        <f t="shared" si="22"/>
        <v>303.95999999999998</v>
      </c>
      <c r="L121" s="7">
        <f t="shared" si="23"/>
        <v>0.34201868666929858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26" t="s">
        <v>805</v>
      </c>
      <c r="B122" s="19" t="s">
        <v>1050</v>
      </c>
      <c r="C122" s="19" t="s">
        <v>1051</v>
      </c>
      <c r="D122" s="19" t="s">
        <v>1052</v>
      </c>
      <c r="E122" s="20" t="s">
        <v>13</v>
      </c>
      <c r="F122" s="22">
        <v>359.95</v>
      </c>
      <c r="G122" s="22">
        <v>189.47</v>
      </c>
      <c r="H122" s="23">
        <f t="shared" si="21"/>
        <v>0.47362133629670788</v>
      </c>
      <c r="I122" s="23"/>
      <c r="J122" s="23">
        <v>0.2</v>
      </c>
      <c r="K122" s="22">
        <f t="shared" si="22"/>
        <v>287.95999999999998</v>
      </c>
      <c r="L122" s="23">
        <f t="shared" si="23"/>
        <v>0.34202667037088486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25" t="s">
        <v>805</v>
      </c>
      <c r="B123" s="4"/>
      <c r="C123" s="4" t="s">
        <v>938</v>
      </c>
      <c r="D123" s="4" t="s">
        <v>1053</v>
      </c>
      <c r="E123" s="5" t="s">
        <v>13</v>
      </c>
      <c r="F123" s="6">
        <v>9.9499999999999993</v>
      </c>
      <c r="G123" s="6">
        <v>3.16</v>
      </c>
      <c r="H123" s="7">
        <f t="shared" ref="H123:H145" si="24">1-(G123/F123)</f>
        <v>0.68241206030150758</v>
      </c>
      <c r="I123" s="7"/>
      <c r="J123" s="7">
        <v>0.2</v>
      </c>
      <c r="K123" s="6">
        <f t="shared" ref="K123:K145" si="25">F123*(1-J123)</f>
        <v>7.96</v>
      </c>
      <c r="L123" s="7">
        <f t="shared" ref="L123:L145" si="26">1-(G123/K123)</f>
        <v>0.60301507537688437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25" t="s">
        <v>805</v>
      </c>
      <c r="B124" s="4"/>
      <c r="C124" s="4" t="s">
        <v>940</v>
      </c>
      <c r="D124" s="4" t="s">
        <v>1054</v>
      </c>
      <c r="E124" s="5" t="s">
        <v>13</v>
      </c>
      <c r="F124" s="6">
        <v>9.9499999999999993</v>
      </c>
      <c r="G124" s="6">
        <v>5.26</v>
      </c>
      <c r="H124" s="7">
        <f t="shared" si="24"/>
        <v>0.47135678391959801</v>
      </c>
      <c r="I124" s="7"/>
      <c r="J124" s="7">
        <v>0.2</v>
      </c>
      <c r="K124" s="6">
        <f t="shared" si="25"/>
        <v>7.96</v>
      </c>
      <c r="L124" s="7">
        <f t="shared" si="26"/>
        <v>0.33919597989949746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25" t="s">
        <v>805</v>
      </c>
      <c r="B125" s="4"/>
      <c r="C125" s="4" t="s">
        <v>843</v>
      </c>
      <c r="D125" s="4" t="s">
        <v>1055</v>
      </c>
      <c r="E125" s="5" t="s">
        <v>13</v>
      </c>
      <c r="F125" s="6">
        <v>4.95</v>
      </c>
      <c r="G125" s="6">
        <v>2.63</v>
      </c>
      <c r="H125" s="7">
        <f t="shared" si="24"/>
        <v>0.46868686868686871</v>
      </c>
      <c r="I125" s="7"/>
      <c r="J125" s="7">
        <v>0.2</v>
      </c>
      <c r="K125" s="6">
        <f t="shared" si="25"/>
        <v>3.9600000000000004</v>
      </c>
      <c r="L125" s="7">
        <f t="shared" si="26"/>
        <v>0.33585858585858597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25" t="s">
        <v>805</v>
      </c>
      <c r="B126" s="4"/>
      <c r="C126" s="4" t="s">
        <v>845</v>
      </c>
      <c r="D126" s="4" t="s">
        <v>943</v>
      </c>
      <c r="E126" s="5" t="s">
        <v>13</v>
      </c>
      <c r="F126" s="6">
        <v>19.95</v>
      </c>
      <c r="G126" s="6">
        <v>11.58</v>
      </c>
      <c r="H126" s="7">
        <f t="shared" si="24"/>
        <v>0.41954887218045112</v>
      </c>
      <c r="I126" s="7"/>
      <c r="J126" s="7">
        <v>0.2</v>
      </c>
      <c r="K126" s="6">
        <f t="shared" si="25"/>
        <v>15.96</v>
      </c>
      <c r="L126" s="7">
        <f t="shared" si="26"/>
        <v>0.27443609022556392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25" t="s">
        <v>805</v>
      </c>
      <c r="B127" s="4"/>
      <c r="C127" s="4" t="s">
        <v>950</v>
      </c>
      <c r="D127" s="4" t="s">
        <v>1056</v>
      </c>
      <c r="E127" s="5" t="s">
        <v>13</v>
      </c>
      <c r="F127" s="6">
        <v>34.950000000000003</v>
      </c>
      <c r="G127" s="6">
        <v>18.420000000000002</v>
      </c>
      <c r="H127" s="7">
        <f t="shared" si="24"/>
        <v>0.47296137339055788</v>
      </c>
      <c r="I127" s="7"/>
      <c r="J127" s="7">
        <v>0.2</v>
      </c>
      <c r="K127" s="6">
        <f t="shared" si="25"/>
        <v>27.960000000000004</v>
      </c>
      <c r="L127" s="7">
        <f t="shared" si="26"/>
        <v>0.34120171673819744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25" t="s">
        <v>805</v>
      </c>
      <c r="B128" s="4"/>
      <c r="C128" s="4" t="s">
        <v>869</v>
      </c>
      <c r="D128" s="4" t="s">
        <v>1057</v>
      </c>
      <c r="E128" s="5" t="s">
        <v>13</v>
      </c>
      <c r="F128" s="6">
        <v>14.95</v>
      </c>
      <c r="G128" s="6">
        <v>10.53</v>
      </c>
      <c r="H128" s="7">
        <f t="shared" si="24"/>
        <v>0.29565217391304344</v>
      </c>
      <c r="I128" s="7"/>
      <c r="J128" s="7">
        <v>0.12</v>
      </c>
      <c r="K128" s="6">
        <f t="shared" si="25"/>
        <v>13.155999999999999</v>
      </c>
      <c r="L128" s="7">
        <f t="shared" si="26"/>
        <v>0.19960474308300391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25" t="s">
        <v>805</v>
      </c>
      <c r="B129" s="4"/>
      <c r="C129" s="4" t="s">
        <v>871</v>
      </c>
      <c r="D129" s="4" t="s">
        <v>1058</v>
      </c>
      <c r="E129" s="5" t="s">
        <v>13</v>
      </c>
      <c r="F129" s="6">
        <v>19.95</v>
      </c>
      <c r="G129" s="6">
        <v>14.21</v>
      </c>
      <c r="H129" s="7">
        <f t="shared" si="24"/>
        <v>0.28771929824561393</v>
      </c>
      <c r="I129" s="7"/>
      <c r="J129" s="7">
        <v>0.12</v>
      </c>
      <c r="K129" s="6">
        <f t="shared" si="25"/>
        <v>17.556000000000001</v>
      </c>
      <c r="L129" s="7">
        <f t="shared" si="26"/>
        <v>0.1905901116427432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25" t="s">
        <v>805</v>
      </c>
      <c r="B130" s="4"/>
      <c r="C130" s="4" t="s">
        <v>1059</v>
      </c>
      <c r="D130" s="4" t="s">
        <v>960</v>
      </c>
      <c r="E130" s="5" t="s">
        <v>13</v>
      </c>
      <c r="F130" s="6">
        <v>14.95</v>
      </c>
      <c r="G130" s="6">
        <v>10.53</v>
      </c>
      <c r="H130" s="7">
        <f t="shared" si="24"/>
        <v>0.29565217391304344</v>
      </c>
      <c r="I130" s="7"/>
      <c r="J130" s="7">
        <v>0.12</v>
      </c>
      <c r="K130" s="6">
        <f t="shared" si="25"/>
        <v>13.155999999999999</v>
      </c>
      <c r="L130" s="7">
        <f t="shared" si="26"/>
        <v>0.19960474308300391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25" t="s">
        <v>805</v>
      </c>
      <c r="B131" s="4"/>
      <c r="C131" s="4" t="s">
        <v>1060</v>
      </c>
      <c r="D131" s="4" t="s">
        <v>1061</v>
      </c>
      <c r="E131" s="5" t="s">
        <v>13</v>
      </c>
      <c r="F131" s="6">
        <v>12.95</v>
      </c>
      <c r="G131" s="6">
        <v>7.37</v>
      </c>
      <c r="H131" s="7">
        <f t="shared" si="24"/>
        <v>0.43088803088803085</v>
      </c>
      <c r="I131" s="7"/>
      <c r="J131" s="7">
        <v>0.2</v>
      </c>
      <c r="K131" s="6">
        <f t="shared" si="25"/>
        <v>10.36</v>
      </c>
      <c r="L131" s="7">
        <f t="shared" si="26"/>
        <v>0.28861003861003853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25" t="s">
        <v>805</v>
      </c>
      <c r="B132" s="4"/>
      <c r="C132" s="4" t="s">
        <v>1062</v>
      </c>
      <c r="D132" s="4" t="s">
        <v>1063</v>
      </c>
      <c r="E132" s="5" t="s">
        <v>13</v>
      </c>
      <c r="F132" s="6">
        <v>159.94999999999999</v>
      </c>
      <c r="G132" s="6">
        <v>83.16</v>
      </c>
      <c r="H132" s="7">
        <f t="shared" si="24"/>
        <v>0.48008752735229754</v>
      </c>
      <c r="I132" s="7"/>
      <c r="J132" s="7">
        <v>0.2</v>
      </c>
      <c r="K132" s="6">
        <f t="shared" si="25"/>
        <v>127.96</v>
      </c>
      <c r="L132" s="7">
        <f t="shared" si="26"/>
        <v>0.35010940919037203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25" t="s">
        <v>805</v>
      </c>
      <c r="B133" s="4"/>
      <c r="C133" s="4" t="s">
        <v>1064</v>
      </c>
      <c r="D133" s="4" t="s">
        <v>1065</v>
      </c>
      <c r="E133" s="5" t="s">
        <v>13</v>
      </c>
      <c r="F133" s="6">
        <v>40</v>
      </c>
      <c r="G133" s="6">
        <v>31.05</v>
      </c>
      <c r="H133" s="7">
        <f t="shared" si="24"/>
        <v>0.22375</v>
      </c>
      <c r="I133" s="7"/>
      <c r="J133" s="7">
        <v>0.05</v>
      </c>
      <c r="K133" s="6">
        <f t="shared" si="25"/>
        <v>38</v>
      </c>
      <c r="L133" s="7">
        <f t="shared" si="26"/>
        <v>0.18289473684210522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25" t="s">
        <v>805</v>
      </c>
      <c r="B134" s="4"/>
      <c r="C134" s="4" t="s">
        <v>1060</v>
      </c>
      <c r="D134" s="4" t="s">
        <v>1066</v>
      </c>
      <c r="E134" s="5" t="s">
        <v>13</v>
      </c>
      <c r="F134" s="6">
        <v>12.95</v>
      </c>
      <c r="G134" s="6">
        <v>7.37</v>
      </c>
      <c r="H134" s="7">
        <f t="shared" si="24"/>
        <v>0.43088803088803085</v>
      </c>
      <c r="I134" s="7"/>
      <c r="J134" s="7">
        <v>0.2</v>
      </c>
      <c r="K134" s="6">
        <f t="shared" si="25"/>
        <v>10.36</v>
      </c>
      <c r="L134" s="7">
        <f t="shared" si="26"/>
        <v>0.28861003861003853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25" t="s">
        <v>805</v>
      </c>
      <c r="B135" s="4"/>
      <c r="C135" s="4" t="s">
        <v>1067</v>
      </c>
      <c r="D135" s="4" t="s">
        <v>1068</v>
      </c>
      <c r="E135" s="5" t="s">
        <v>13</v>
      </c>
      <c r="F135" s="6">
        <v>169.95</v>
      </c>
      <c r="G135" s="6">
        <v>89.47</v>
      </c>
      <c r="H135" s="7">
        <f t="shared" si="24"/>
        <v>0.47355104442483076</v>
      </c>
      <c r="I135" s="7"/>
      <c r="J135" s="7">
        <v>0.2</v>
      </c>
      <c r="K135" s="6">
        <f t="shared" si="25"/>
        <v>135.96</v>
      </c>
      <c r="L135" s="7">
        <f t="shared" si="26"/>
        <v>0.34193880553103861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25" t="s">
        <v>805</v>
      </c>
      <c r="B136" s="4"/>
      <c r="C136" s="4" t="s">
        <v>1069</v>
      </c>
      <c r="D136" s="4" t="s">
        <v>1070</v>
      </c>
      <c r="E136" s="5" t="s">
        <v>13</v>
      </c>
      <c r="F136" s="6">
        <v>189.95</v>
      </c>
      <c r="G136" s="6">
        <v>100</v>
      </c>
      <c r="H136" s="7">
        <f t="shared" si="24"/>
        <v>0.47354566991313496</v>
      </c>
      <c r="I136" s="7"/>
      <c r="J136" s="7">
        <v>0.2</v>
      </c>
      <c r="K136" s="6">
        <f t="shared" si="25"/>
        <v>151.96</v>
      </c>
      <c r="L136" s="7">
        <f t="shared" si="26"/>
        <v>0.34193208739141878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25" t="s">
        <v>805</v>
      </c>
      <c r="B137" s="4"/>
      <c r="C137" s="4" t="s">
        <v>1071</v>
      </c>
      <c r="D137" s="4" t="s">
        <v>1072</v>
      </c>
      <c r="E137" s="5" t="s">
        <v>13</v>
      </c>
      <c r="F137" s="6">
        <v>179.95</v>
      </c>
      <c r="G137" s="6">
        <v>100</v>
      </c>
      <c r="H137" s="7">
        <f t="shared" si="24"/>
        <v>0.44429008057793828</v>
      </c>
      <c r="I137" s="7"/>
      <c r="J137" s="7">
        <v>0.2</v>
      </c>
      <c r="K137" s="6">
        <f t="shared" si="25"/>
        <v>143.96</v>
      </c>
      <c r="L137" s="7">
        <f t="shared" si="26"/>
        <v>0.30536260072242294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25" t="s">
        <v>805</v>
      </c>
      <c r="B138" s="4"/>
      <c r="C138" s="4" t="s">
        <v>1073</v>
      </c>
      <c r="D138" s="4" t="s">
        <v>1074</v>
      </c>
      <c r="E138" s="5" t="s">
        <v>13</v>
      </c>
      <c r="F138" s="6">
        <v>39.950000000000003</v>
      </c>
      <c r="G138" s="6">
        <v>25.79</v>
      </c>
      <c r="H138" s="7">
        <f t="shared" si="24"/>
        <v>0.3544430538172717</v>
      </c>
      <c r="I138" s="7"/>
      <c r="J138" s="7">
        <v>0.2</v>
      </c>
      <c r="K138" s="6">
        <f t="shared" si="25"/>
        <v>31.960000000000004</v>
      </c>
      <c r="L138" s="7">
        <f t="shared" si="26"/>
        <v>0.19305381727158966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25" t="s">
        <v>805</v>
      </c>
      <c r="B139" s="4"/>
      <c r="C139" s="4" t="s">
        <v>1075</v>
      </c>
      <c r="D139" s="4" t="s">
        <v>1076</v>
      </c>
      <c r="E139" s="5" t="s">
        <v>13</v>
      </c>
      <c r="F139" s="6">
        <v>19.95</v>
      </c>
      <c r="G139" s="6">
        <v>14.21</v>
      </c>
      <c r="H139" s="7">
        <f t="shared" si="24"/>
        <v>0.28771929824561393</v>
      </c>
      <c r="I139" s="7"/>
      <c r="J139" s="7">
        <v>0.12</v>
      </c>
      <c r="K139" s="6">
        <f t="shared" si="25"/>
        <v>17.556000000000001</v>
      </c>
      <c r="L139" s="7">
        <f t="shared" si="26"/>
        <v>0.1905901116427432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25" t="s">
        <v>805</v>
      </c>
      <c r="B140" s="4"/>
      <c r="C140" s="4" t="s">
        <v>1077</v>
      </c>
      <c r="D140" s="4" t="s">
        <v>1078</v>
      </c>
      <c r="E140" s="5" t="s">
        <v>13</v>
      </c>
      <c r="F140" s="6">
        <v>179.95</v>
      </c>
      <c r="G140" s="6">
        <v>94.74</v>
      </c>
      <c r="H140" s="7">
        <f t="shared" si="24"/>
        <v>0.47352042233953873</v>
      </c>
      <c r="I140" s="7"/>
      <c r="J140" s="7">
        <v>0.2</v>
      </c>
      <c r="K140" s="6">
        <f t="shared" si="25"/>
        <v>143.96</v>
      </c>
      <c r="L140" s="7">
        <f t="shared" si="26"/>
        <v>0.34190052792442349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25" t="s">
        <v>805</v>
      </c>
      <c r="B141" s="4"/>
      <c r="C141" s="4" t="s">
        <v>1079</v>
      </c>
      <c r="D141" s="4" t="s">
        <v>1080</v>
      </c>
      <c r="E141" s="5" t="s">
        <v>13</v>
      </c>
      <c r="F141" s="6">
        <v>199.95</v>
      </c>
      <c r="G141" s="6">
        <v>105.26</v>
      </c>
      <c r="H141" s="7">
        <f t="shared" si="24"/>
        <v>0.47356839209802448</v>
      </c>
      <c r="I141" s="7"/>
      <c r="J141" s="7">
        <v>0.2</v>
      </c>
      <c r="K141" s="6">
        <f t="shared" si="25"/>
        <v>159.96</v>
      </c>
      <c r="L141" s="7">
        <f t="shared" si="26"/>
        <v>0.3419604901225306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25" t="s">
        <v>805</v>
      </c>
      <c r="B142" s="4"/>
      <c r="C142" s="4" t="s">
        <v>1081</v>
      </c>
      <c r="D142" s="4" t="s">
        <v>1082</v>
      </c>
      <c r="E142" s="5" t="s">
        <v>13</v>
      </c>
      <c r="F142" s="6">
        <v>169.95</v>
      </c>
      <c r="G142" s="6">
        <v>89.47</v>
      </c>
      <c r="H142" s="7">
        <f t="shared" si="24"/>
        <v>0.47355104442483076</v>
      </c>
      <c r="I142" s="7"/>
      <c r="J142" s="7">
        <v>0.2</v>
      </c>
      <c r="K142" s="6">
        <f t="shared" si="25"/>
        <v>135.96</v>
      </c>
      <c r="L142" s="7">
        <f t="shared" si="26"/>
        <v>0.34193880553103861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25" t="s">
        <v>805</v>
      </c>
      <c r="B143" s="4"/>
      <c r="C143" s="4" t="s">
        <v>1083</v>
      </c>
      <c r="D143" s="4" t="s">
        <v>1084</v>
      </c>
      <c r="E143" s="5" t="s">
        <v>13</v>
      </c>
      <c r="F143" s="6">
        <v>44.95</v>
      </c>
      <c r="G143" s="6">
        <v>23.68</v>
      </c>
      <c r="H143" s="7">
        <f t="shared" si="24"/>
        <v>0.47319243604004457</v>
      </c>
      <c r="I143" s="7"/>
      <c r="J143" s="7">
        <v>0.2</v>
      </c>
      <c r="K143" s="6">
        <f t="shared" si="25"/>
        <v>35.96</v>
      </c>
      <c r="L143" s="7">
        <f t="shared" si="26"/>
        <v>0.34149054505005561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25" t="s">
        <v>805</v>
      </c>
      <c r="B144" s="4"/>
      <c r="C144" s="4" t="s">
        <v>1085</v>
      </c>
      <c r="D144" s="4" t="s">
        <v>1086</v>
      </c>
      <c r="E144" s="5" t="s">
        <v>13</v>
      </c>
      <c r="F144" s="6">
        <v>79.95</v>
      </c>
      <c r="G144" s="6">
        <v>46.84</v>
      </c>
      <c r="H144" s="7">
        <f t="shared" si="24"/>
        <v>0.41413383364602874</v>
      </c>
      <c r="I144" s="7"/>
      <c r="J144" s="7">
        <v>0.2</v>
      </c>
      <c r="K144" s="6">
        <f t="shared" si="25"/>
        <v>63.960000000000008</v>
      </c>
      <c r="L144" s="7">
        <f t="shared" si="26"/>
        <v>0.26766729205753603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26" t="s">
        <v>805</v>
      </c>
      <c r="B145" s="19"/>
      <c r="C145" s="19" t="s">
        <v>863</v>
      </c>
      <c r="D145" s="19" t="s">
        <v>1087</v>
      </c>
      <c r="E145" s="20" t="s">
        <v>13</v>
      </c>
      <c r="F145" s="22">
        <v>39.950000000000003</v>
      </c>
      <c r="G145" s="22">
        <v>21.05</v>
      </c>
      <c r="H145" s="23">
        <f t="shared" si="24"/>
        <v>0.47309136420525655</v>
      </c>
      <c r="I145" s="23"/>
      <c r="J145" s="23">
        <v>0.2</v>
      </c>
      <c r="K145" s="22">
        <f t="shared" si="25"/>
        <v>31.960000000000004</v>
      </c>
      <c r="L145" s="23">
        <f t="shared" si="26"/>
        <v>0.34136420525657074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25" t="s">
        <v>805</v>
      </c>
      <c r="B146" s="4"/>
      <c r="C146" s="4" t="s">
        <v>1088</v>
      </c>
      <c r="D146" s="4" t="s">
        <v>1089</v>
      </c>
      <c r="E146" s="5" t="s">
        <v>13</v>
      </c>
      <c r="F146" s="6">
        <v>29.95</v>
      </c>
      <c r="G146" s="6">
        <v>15.79</v>
      </c>
      <c r="H146" s="7">
        <f t="shared" ref="H146:H152" si="27">1-(G146/F146)</f>
        <v>0.47278797996661104</v>
      </c>
      <c r="I146" s="7"/>
      <c r="J146" s="7">
        <v>0.2</v>
      </c>
      <c r="K146" s="6">
        <f t="shared" ref="K146:K152" si="28">F146*(1-J146)</f>
        <v>23.96</v>
      </c>
      <c r="L146" s="7">
        <f t="shared" ref="L146:L152" si="29">1-(G146/K146)</f>
        <v>0.34098497495826385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25" t="s">
        <v>805</v>
      </c>
      <c r="B147" s="4"/>
      <c r="C147" s="4" t="s">
        <v>964</v>
      </c>
      <c r="D147" s="4" t="s">
        <v>1090</v>
      </c>
      <c r="E147" s="5" t="s">
        <v>13</v>
      </c>
      <c r="F147" s="6">
        <v>4.95</v>
      </c>
      <c r="G147" s="6">
        <v>2.63</v>
      </c>
      <c r="H147" s="7">
        <f t="shared" si="27"/>
        <v>0.46868686868686871</v>
      </c>
      <c r="I147" s="7"/>
      <c r="J147" s="7">
        <v>0.2</v>
      </c>
      <c r="K147" s="6">
        <f t="shared" si="28"/>
        <v>3.9600000000000004</v>
      </c>
      <c r="L147" s="7">
        <f t="shared" si="29"/>
        <v>0.33585858585858597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25" t="s">
        <v>805</v>
      </c>
      <c r="B148" s="4"/>
      <c r="C148" s="4" t="s">
        <v>966</v>
      </c>
      <c r="D148" s="4" t="s">
        <v>967</v>
      </c>
      <c r="E148" s="5" t="s">
        <v>13</v>
      </c>
      <c r="F148" s="6">
        <v>29.95</v>
      </c>
      <c r="G148" s="6">
        <v>16.84</v>
      </c>
      <c r="H148" s="7">
        <f t="shared" si="27"/>
        <v>0.43772954924874785</v>
      </c>
      <c r="I148" s="7"/>
      <c r="J148" s="7">
        <v>0.2</v>
      </c>
      <c r="K148" s="6">
        <f t="shared" si="28"/>
        <v>23.96</v>
      </c>
      <c r="L148" s="7">
        <f t="shared" si="29"/>
        <v>0.29716193656093493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25" t="s">
        <v>805</v>
      </c>
      <c r="B149" s="4"/>
      <c r="C149" s="4" t="s">
        <v>873</v>
      </c>
      <c r="D149" s="4" t="s">
        <v>1091</v>
      </c>
      <c r="E149" s="5" t="s">
        <v>13</v>
      </c>
      <c r="F149" s="6">
        <v>14.95</v>
      </c>
      <c r="G149" s="6">
        <v>10.53</v>
      </c>
      <c r="H149" s="7">
        <f t="shared" si="27"/>
        <v>0.29565217391304344</v>
      </c>
      <c r="I149" s="7"/>
      <c r="J149" s="7">
        <v>0.12</v>
      </c>
      <c r="K149" s="6">
        <f t="shared" si="28"/>
        <v>13.155999999999999</v>
      </c>
      <c r="L149" s="7">
        <f t="shared" si="29"/>
        <v>0.19960474308300391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25" t="s">
        <v>805</v>
      </c>
      <c r="B150" s="4"/>
      <c r="C150" s="4" t="s">
        <v>893</v>
      </c>
      <c r="D150" s="4" t="s">
        <v>1092</v>
      </c>
      <c r="E150" s="5" t="s">
        <v>13</v>
      </c>
      <c r="F150" s="6">
        <v>14.95</v>
      </c>
      <c r="G150" s="6">
        <v>10.53</v>
      </c>
      <c r="H150" s="7">
        <f t="shared" si="27"/>
        <v>0.29565217391304344</v>
      </c>
      <c r="I150" s="7"/>
      <c r="J150" s="7">
        <v>0.12</v>
      </c>
      <c r="K150" s="6">
        <f t="shared" si="28"/>
        <v>13.155999999999999</v>
      </c>
      <c r="L150" s="7">
        <f t="shared" si="29"/>
        <v>0.19960474308300391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25" t="s">
        <v>805</v>
      </c>
      <c r="B151" s="4"/>
      <c r="C151" s="4" t="s">
        <v>895</v>
      </c>
      <c r="D151" s="4" t="s">
        <v>1093</v>
      </c>
      <c r="E151" s="5" t="s">
        <v>13</v>
      </c>
      <c r="F151" s="6">
        <v>14.95</v>
      </c>
      <c r="G151" s="6">
        <v>10.53</v>
      </c>
      <c r="H151" s="7">
        <f t="shared" si="27"/>
        <v>0.29565217391304344</v>
      </c>
      <c r="I151" s="7"/>
      <c r="J151" s="7">
        <v>0.12</v>
      </c>
      <c r="K151" s="6">
        <f t="shared" si="28"/>
        <v>13.155999999999999</v>
      </c>
      <c r="L151" s="7">
        <f t="shared" si="29"/>
        <v>0.19960474308300391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26" t="s">
        <v>805</v>
      </c>
      <c r="B152" s="19"/>
      <c r="C152" s="19" t="s">
        <v>897</v>
      </c>
      <c r="D152" s="19" t="s">
        <v>1094</v>
      </c>
      <c r="E152" s="20" t="s">
        <v>13</v>
      </c>
      <c r="F152" s="22">
        <v>14.95</v>
      </c>
      <c r="G152" s="22">
        <v>10.53</v>
      </c>
      <c r="H152" s="23">
        <f t="shared" si="27"/>
        <v>0.29565217391304344</v>
      </c>
      <c r="I152" s="23"/>
      <c r="J152" s="23">
        <v>0.12</v>
      </c>
      <c r="K152" s="22">
        <f t="shared" si="28"/>
        <v>13.155999999999999</v>
      </c>
      <c r="L152" s="23">
        <f t="shared" si="29"/>
        <v>0.19960474308300391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25" t="s">
        <v>805</v>
      </c>
      <c r="B153" s="4"/>
      <c r="C153" s="4" t="s">
        <v>857</v>
      </c>
      <c r="D153" s="4" t="s">
        <v>1095</v>
      </c>
      <c r="E153" s="5" t="s">
        <v>13</v>
      </c>
      <c r="F153" s="6">
        <v>19.95</v>
      </c>
      <c r="G153" s="6">
        <v>14.21</v>
      </c>
      <c r="H153" s="7">
        <f t="shared" ref="H153:H159" si="30">1-(G153/F153)</f>
        <v>0.28771929824561393</v>
      </c>
      <c r="I153" s="7"/>
      <c r="J153" s="7">
        <v>0.12</v>
      </c>
      <c r="K153" s="6">
        <f t="shared" ref="K153:K159" si="31">F153*(1-J153)</f>
        <v>17.556000000000001</v>
      </c>
      <c r="L153" s="7">
        <f t="shared" ref="L153:L159" si="32">1-(G153/K153)</f>
        <v>0.1905901116427432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25" t="s">
        <v>805</v>
      </c>
      <c r="B154" s="4"/>
      <c r="C154" s="4" t="s">
        <v>859</v>
      </c>
      <c r="D154" s="4" t="s">
        <v>1096</v>
      </c>
      <c r="E154" s="5" t="s">
        <v>13</v>
      </c>
      <c r="F154" s="6">
        <v>19.95</v>
      </c>
      <c r="G154" s="6">
        <v>14.21</v>
      </c>
      <c r="H154" s="7">
        <f t="shared" si="30"/>
        <v>0.28771929824561393</v>
      </c>
      <c r="I154" s="7"/>
      <c r="J154" s="7">
        <v>0.12</v>
      </c>
      <c r="K154" s="6">
        <f t="shared" si="31"/>
        <v>17.556000000000001</v>
      </c>
      <c r="L154" s="7">
        <f t="shared" si="32"/>
        <v>0.1905901116427432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25" t="s">
        <v>805</v>
      </c>
      <c r="B155" s="4"/>
      <c r="C155" s="4" t="s">
        <v>950</v>
      </c>
      <c r="D155" s="4" t="s">
        <v>1097</v>
      </c>
      <c r="E155" s="5" t="s">
        <v>13</v>
      </c>
      <c r="F155" s="6">
        <v>34.950000000000003</v>
      </c>
      <c r="G155" s="6">
        <v>18.420000000000002</v>
      </c>
      <c r="H155" s="7">
        <f t="shared" si="30"/>
        <v>0.47296137339055788</v>
      </c>
      <c r="I155" s="7"/>
      <c r="J155" s="7">
        <v>0.2</v>
      </c>
      <c r="K155" s="6">
        <f t="shared" si="31"/>
        <v>27.960000000000004</v>
      </c>
      <c r="L155" s="7">
        <f t="shared" si="32"/>
        <v>0.34120171673819744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25" t="s">
        <v>805</v>
      </c>
      <c r="B156" s="4"/>
      <c r="C156" s="4" t="s">
        <v>952</v>
      </c>
      <c r="D156" s="4" t="s">
        <v>1098</v>
      </c>
      <c r="E156" s="5" t="s">
        <v>13</v>
      </c>
      <c r="F156" s="6">
        <v>19.95</v>
      </c>
      <c r="G156" s="6">
        <v>14.21</v>
      </c>
      <c r="H156" s="7">
        <f t="shared" si="30"/>
        <v>0.28771929824561393</v>
      </c>
      <c r="I156" s="7"/>
      <c r="J156" s="7">
        <v>0.12</v>
      </c>
      <c r="K156" s="6">
        <f t="shared" si="31"/>
        <v>17.556000000000001</v>
      </c>
      <c r="L156" s="7">
        <f t="shared" si="32"/>
        <v>0.1905901116427432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25" t="s">
        <v>805</v>
      </c>
      <c r="B157" s="4"/>
      <c r="C157" s="4" t="s">
        <v>867</v>
      </c>
      <c r="D157" s="4" t="s">
        <v>1099</v>
      </c>
      <c r="E157" s="5" t="s">
        <v>13</v>
      </c>
      <c r="F157" s="6">
        <v>29.95</v>
      </c>
      <c r="G157" s="6">
        <v>21.05</v>
      </c>
      <c r="H157" s="7">
        <f t="shared" si="30"/>
        <v>0.29716193656093481</v>
      </c>
      <c r="I157" s="7"/>
      <c r="J157" s="7">
        <v>0.12</v>
      </c>
      <c r="K157" s="6">
        <f t="shared" si="31"/>
        <v>26.355999999999998</v>
      </c>
      <c r="L157" s="7">
        <f t="shared" si="32"/>
        <v>0.20132038245560779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25" t="s">
        <v>805</v>
      </c>
      <c r="B158" s="4"/>
      <c r="C158" s="4" t="s">
        <v>973</v>
      </c>
      <c r="D158" s="4" t="s">
        <v>974</v>
      </c>
      <c r="E158" s="5" t="s">
        <v>13</v>
      </c>
      <c r="F158" s="6">
        <v>99.95</v>
      </c>
      <c r="G158" s="6">
        <v>55.79</v>
      </c>
      <c r="H158" s="7">
        <f t="shared" si="30"/>
        <v>0.44182091045522764</v>
      </c>
      <c r="I158" s="7"/>
      <c r="J158" s="7">
        <v>0.2</v>
      </c>
      <c r="K158" s="6">
        <f t="shared" si="31"/>
        <v>79.960000000000008</v>
      </c>
      <c r="L158" s="7">
        <f t="shared" si="32"/>
        <v>0.30227613806903464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26" t="s">
        <v>805</v>
      </c>
      <c r="B159" s="19"/>
      <c r="C159" s="19" t="s">
        <v>875</v>
      </c>
      <c r="D159" s="19" t="s">
        <v>876</v>
      </c>
      <c r="E159" s="20" t="s">
        <v>13</v>
      </c>
      <c r="F159" s="22">
        <v>29.95</v>
      </c>
      <c r="G159" s="22">
        <v>16.84</v>
      </c>
      <c r="H159" s="23">
        <f t="shared" si="30"/>
        <v>0.43772954924874785</v>
      </c>
      <c r="I159" s="23"/>
      <c r="J159" s="23">
        <v>0.2</v>
      </c>
      <c r="K159" s="22">
        <f t="shared" si="31"/>
        <v>23.96</v>
      </c>
      <c r="L159" s="23">
        <f t="shared" si="32"/>
        <v>0.29716193656093493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25" t="s">
        <v>805</v>
      </c>
      <c r="B160" s="4"/>
      <c r="C160" s="4" t="s">
        <v>979</v>
      </c>
      <c r="D160" s="4" t="s">
        <v>1100</v>
      </c>
      <c r="E160" s="5" t="s">
        <v>13</v>
      </c>
      <c r="F160" s="6">
        <v>79.95</v>
      </c>
      <c r="G160" s="6">
        <v>45.26</v>
      </c>
      <c r="H160" s="7">
        <f t="shared" ref="H160:H176" si="33">1-(G160/F160)</f>
        <v>0.43389618511569739</v>
      </c>
      <c r="I160" s="7"/>
      <c r="J160" s="7">
        <v>0.2</v>
      </c>
      <c r="K160" s="6">
        <f t="shared" ref="K160:K176" si="34">F160*(1-J160)</f>
        <v>63.960000000000008</v>
      </c>
      <c r="L160" s="7">
        <f t="shared" ref="L160:L176" si="35">1-(G160/K160)</f>
        <v>0.2923702313946217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25" t="s">
        <v>805</v>
      </c>
      <c r="B161" s="4"/>
      <c r="C161" s="4" t="s">
        <v>981</v>
      </c>
      <c r="D161" s="4" t="s">
        <v>982</v>
      </c>
      <c r="E161" s="5" t="s">
        <v>13</v>
      </c>
      <c r="F161" s="6">
        <v>79.95</v>
      </c>
      <c r="G161" s="6">
        <v>45.26</v>
      </c>
      <c r="H161" s="7">
        <f t="shared" si="33"/>
        <v>0.43389618511569739</v>
      </c>
      <c r="I161" s="7"/>
      <c r="J161" s="7">
        <v>0.2</v>
      </c>
      <c r="K161" s="6">
        <f t="shared" si="34"/>
        <v>63.960000000000008</v>
      </c>
      <c r="L161" s="7">
        <f t="shared" si="35"/>
        <v>0.2923702313946217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25" t="s">
        <v>805</v>
      </c>
      <c r="B162" s="4"/>
      <c r="C162" s="4" t="s">
        <v>983</v>
      </c>
      <c r="D162" s="4" t="s">
        <v>984</v>
      </c>
      <c r="E162" s="5" t="s">
        <v>13</v>
      </c>
      <c r="F162" s="6">
        <v>79.95</v>
      </c>
      <c r="G162" s="6">
        <v>45.26</v>
      </c>
      <c r="H162" s="7">
        <f t="shared" si="33"/>
        <v>0.43389618511569739</v>
      </c>
      <c r="I162" s="7"/>
      <c r="J162" s="7">
        <v>0.2</v>
      </c>
      <c r="K162" s="6">
        <f t="shared" si="34"/>
        <v>63.960000000000008</v>
      </c>
      <c r="L162" s="7">
        <f t="shared" si="35"/>
        <v>0.2923702313946217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25" t="s">
        <v>805</v>
      </c>
      <c r="B163" s="4"/>
      <c r="C163" s="4" t="s">
        <v>985</v>
      </c>
      <c r="D163" s="4" t="s">
        <v>986</v>
      </c>
      <c r="E163" s="5" t="s">
        <v>13</v>
      </c>
      <c r="F163" s="6">
        <v>79.95</v>
      </c>
      <c r="G163" s="6">
        <v>45.26</v>
      </c>
      <c r="H163" s="7">
        <f t="shared" si="33"/>
        <v>0.43389618511569739</v>
      </c>
      <c r="I163" s="7"/>
      <c r="J163" s="7">
        <v>0.2</v>
      </c>
      <c r="K163" s="6">
        <f t="shared" si="34"/>
        <v>63.960000000000008</v>
      </c>
      <c r="L163" s="7">
        <f t="shared" si="35"/>
        <v>0.2923702313946217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25" t="s">
        <v>805</v>
      </c>
      <c r="B164" s="4"/>
      <c r="C164" s="4" t="s">
        <v>987</v>
      </c>
      <c r="D164" s="4" t="s">
        <v>988</v>
      </c>
      <c r="E164" s="5" t="s">
        <v>13</v>
      </c>
      <c r="F164" s="6">
        <v>79.95</v>
      </c>
      <c r="G164" s="6">
        <v>45.26</v>
      </c>
      <c r="H164" s="7">
        <f t="shared" si="33"/>
        <v>0.43389618511569739</v>
      </c>
      <c r="I164" s="7"/>
      <c r="J164" s="7">
        <v>0.2</v>
      </c>
      <c r="K164" s="6">
        <f t="shared" si="34"/>
        <v>63.960000000000008</v>
      </c>
      <c r="L164" s="7">
        <f t="shared" si="35"/>
        <v>0.2923702313946217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25" t="s">
        <v>805</v>
      </c>
      <c r="B165" s="4"/>
      <c r="C165" s="4" t="s">
        <v>1101</v>
      </c>
      <c r="D165" s="4" t="s">
        <v>990</v>
      </c>
      <c r="E165" s="5" t="s">
        <v>13</v>
      </c>
      <c r="F165" s="6">
        <v>79.95</v>
      </c>
      <c r="G165" s="6">
        <v>45.26</v>
      </c>
      <c r="H165" s="7">
        <f t="shared" si="33"/>
        <v>0.43389618511569739</v>
      </c>
      <c r="I165" s="7"/>
      <c r="J165" s="7">
        <v>0.2</v>
      </c>
      <c r="K165" s="6">
        <f t="shared" si="34"/>
        <v>63.960000000000008</v>
      </c>
      <c r="L165" s="7">
        <f t="shared" si="35"/>
        <v>0.2923702313946217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25" t="s">
        <v>805</v>
      </c>
      <c r="B166" s="4"/>
      <c r="C166" s="4" t="s">
        <v>991</v>
      </c>
      <c r="D166" s="4" t="s">
        <v>992</v>
      </c>
      <c r="E166" s="5" t="s">
        <v>13</v>
      </c>
      <c r="F166" s="6">
        <v>79.95</v>
      </c>
      <c r="G166" s="6">
        <v>45.26</v>
      </c>
      <c r="H166" s="7">
        <f t="shared" si="33"/>
        <v>0.43389618511569739</v>
      </c>
      <c r="I166" s="7"/>
      <c r="J166" s="7">
        <v>0.2</v>
      </c>
      <c r="K166" s="6">
        <f t="shared" si="34"/>
        <v>63.960000000000008</v>
      </c>
      <c r="L166" s="7">
        <f t="shared" si="35"/>
        <v>0.2923702313946217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25" t="s">
        <v>805</v>
      </c>
      <c r="B167" s="4"/>
      <c r="C167" s="4" t="s">
        <v>993</v>
      </c>
      <c r="D167" s="4" t="s">
        <v>994</v>
      </c>
      <c r="E167" s="5" t="s">
        <v>13</v>
      </c>
      <c r="F167" s="6">
        <v>24.99</v>
      </c>
      <c r="G167" s="6">
        <v>13.16</v>
      </c>
      <c r="H167" s="7">
        <f t="shared" si="33"/>
        <v>0.4733893557422969</v>
      </c>
      <c r="I167" s="7"/>
      <c r="J167" s="7">
        <v>0.2</v>
      </c>
      <c r="K167" s="6">
        <f t="shared" si="34"/>
        <v>19.992000000000001</v>
      </c>
      <c r="L167" s="7">
        <f t="shared" si="35"/>
        <v>0.34173669467787116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25" t="s">
        <v>805</v>
      </c>
      <c r="B168" s="4"/>
      <c r="C168" s="4" t="s">
        <v>995</v>
      </c>
      <c r="D168" s="4" t="s">
        <v>996</v>
      </c>
      <c r="E168" s="5" t="s">
        <v>13</v>
      </c>
      <c r="F168" s="6">
        <v>14.95</v>
      </c>
      <c r="G168" s="6">
        <v>7.89</v>
      </c>
      <c r="H168" s="7">
        <f t="shared" si="33"/>
        <v>0.47224080267558532</v>
      </c>
      <c r="I168" s="7"/>
      <c r="J168" s="7">
        <v>0.2</v>
      </c>
      <c r="K168" s="6">
        <f t="shared" si="34"/>
        <v>11.96</v>
      </c>
      <c r="L168" s="7">
        <f t="shared" si="35"/>
        <v>0.34030100334448166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25" t="s">
        <v>805</v>
      </c>
      <c r="B169" s="4"/>
      <c r="C169" s="4" t="s">
        <v>997</v>
      </c>
      <c r="D169" s="4" t="s">
        <v>1102</v>
      </c>
      <c r="E169" s="5" t="s">
        <v>13</v>
      </c>
      <c r="F169" s="6">
        <v>86</v>
      </c>
      <c r="G169" s="6">
        <v>45.26</v>
      </c>
      <c r="H169" s="7">
        <f t="shared" si="33"/>
        <v>0.47372093023255812</v>
      </c>
      <c r="I169" s="7"/>
      <c r="J169" s="7">
        <v>0.2</v>
      </c>
      <c r="K169" s="6">
        <f t="shared" si="34"/>
        <v>68.8</v>
      </c>
      <c r="L169" s="7">
        <f t="shared" si="35"/>
        <v>0.34215116279069768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25" t="s">
        <v>805</v>
      </c>
      <c r="B170" s="4"/>
      <c r="C170" s="4" t="s">
        <v>999</v>
      </c>
      <c r="D170" s="4" t="s">
        <v>1000</v>
      </c>
      <c r="E170" s="5" t="s">
        <v>13</v>
      </c>
      <c r="F170" s="6">
        <v>79.95</v>
      </c>
      <c r="G170" s="6">
        <v>45.26</v>
      </c>
      <c r="H170" s="7">
        <f t="shared" si="33"/>
        <v>0.43389618511569739</v>
      </c>
      <c r="I170" s="7"/>
      <c r="J170" s="7">
        <v>0.2</v>
      </c>
      <c r="K170" s="6">
        <f t="shared" si="34"/>
        <v>63.960000000000008</v>
      </c>
      <c r="L170" s="7">
        <f t="shared" si="35"/>
        <v>0.2923702313946217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25" t="s">
        <v>805</v>
      </c>
      <c r="B171" s="4"/>
      <c r="C171" s="4" t="s">
        <v>1001</v>
      </c>
      <c r="D171" s="4" t="s">
        <v>1002</v>
      </c>
      <c r="E171" s="5" t="s">
        <v>13</v>
      </c>
      <c r="F171" s="6">
        <v>79.95</v>
      </c>
      <c r="G171" s="6">
        <v>45.26</v>
      </c>
      <c r="H171" s="7">
        <f t="shared" si="33"/>
        <v>0.43389618511569739</v>
      </c>
      <c r="I171" s="7"/>
      <c r="J171" s="7">
        <v>0.2</v>
      </c>
      <c r="K171" s="6">
        <f t="shared" si="34"/>
        <v>63.960000000000008</v>
      </c>
      <c r="L171" s="7">
        <f t="shared" si="35"/>
        <v>0.2923702313946217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25" t="s">
        <v>805</v>
      </c>
      <c r="B172" s="4"/>
      <c r="C172" s="4" t="s">
        <v>1103</v>
      </c>
      <c r="D172" s="4" t="s">
        <v>1004</v>
      </c>
      <c r="E172" s="5" t="s">
        <v>13</v>
      </c>
      <c r="F172" s="6">
        <v>79.95</v>
      </c>
      <c r="G172" s="6">
        <v>45.26</v>
      </c>
      <c r="H172" s="7">
        <f t="shared" si="33"/>
        <v>0.43389618511569739</v>
      </c>
      <c r="I172" s="7"/>
      <c r="J172" s="7">
        <v>0.2</v>
      </c>
      <c r="K172" s="6">
        <f t="shared" si="34"/>
        <v>63.960000000000008</v>
      </c>
      <c r="L172" s="7">
        <f t="shared" si="35"/>
        <v>0.2923702313946217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25" t="s">
        <v>805</v>
      </c>
      <c r="B173" s="4"/>
      <c r="C173" s="4" t="s">
        <v>1104</v>
      </c>
      <c r="D173" s="4" t="s">
        <v>1105</v>
      </c>
      <c r="E173" s="5" t="s">
        <v>13</v>
      </c>
      <c r="F173" s="6">
        <v>79.95</v>
      </c>
      <c r="G173" s="6">
        <v>45.26</v>
      </c>
      <c r="H173" s="7">
        <f t="shared" si="33"/>
        <v>0.43389618511569739</v>
      </c>
      <c r="I173" s="7"/>
      <c r="J173" s="7">
        <v>0.2</v>
      </c>
      <c r="K173" s="6">
        <f t="shared" si="34"/>
        <v>63.960000000000008</v>
      </c>
      <c r="L173" s="7">
        <f t="shared" si="35"/>
        <v>0.2923702313946217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25" t="s">
        <v>805</v>
      </c>
      <c r="B174" s="4"/>
      <c r="C174" s="4" t="s">
        <v>1005</v>
      </c>
      <c r="D174" s="4" t="s">
        <v>1106</v>
      </c>
      <c r="E174" s="5" t="s">
        <v>13</v>
      </c>
      <c r="F174" s="6">
        <v>79.95</v>
      </c>
      <c r="G174" s="6">
        <v>45.26</v>
      </c>
      <c r="H174" s="7">
        <f t="shared" si="33"/>
        <v>0.43389618511569739</v>
      </c>
      <c r="I174" s="7"/>
      <c r="J174" s="7">
        <v>0.2</v>
      </c>
      <c r="K174" s="6">
        <f t="shared" si="34"/>
        <v>63.960000000000008</v>
      </c>
      <c r="L174" s="7">
        <f t="shared" si="35"/>
        <v>0.2923702313946217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25" t="s">
        <v>805</v>
      </c>
      <c r="B175" s="4"/>
      <c r="C175" s="4" t="s">
        <v>1107</v>
      </c>
      <c r="D175" s="4" t="s">
        <v>1108</v>
      </c>
      <c r="E175" s="5" t="s">
        <v>13</v>
      </c>
      <c r="F175" s="6">
        <v>79.95</v>
      </c>
      <c r="G175" s="6">
        <v>45.26</v>
      </c>
      <c r="H175" s="7">
        <f t="shared" si="33"/>
        <v>0.43389618511569739</v>
      </c>
      <c r="I175" s="7"/>
      <c r="J175" s="7">
        <v>0.2</v>
      </c>
      <c r="K175" s="6">
        <f t="shared" si="34"/>
        <v>63.960000000000008</v>
      </c>
      <c r="L175" s="7">
        <f t="shared" si="35"/>
        <v>0.2923702313946217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27" t="s">
        <v>805</v>
      </c>
      <c r="B176" s="8"/>
      <c r="C176" s="8" t="s">
        <v>1009</v>
      </c>
      <c r="D176" s="8" t="s">
        <v>1010</v>
      </c>
      <c r="E176" s="5" t="s">
        <v>13</v>
      </c>
      <c r="F176" s="10">
        <v>79.95</v>
      </c>
      <c r="G176" s="10">
        <v>45.26</v>
      </c>
      <c r="H176" s="11">
        <f t="shared" si="33"/>
        <v>0.43389618511569739</v>
      </c>
      <c r="I176" s="11"/>
      <c r="J176" s="7">
        <v>0.2</v>
      </c>
      <c r="K176" s="10">
        <f t="shared" si="34"/>
        <v>63.960000000000008</v>
      </c>
      <c r="L176" s="11">
        <f t="shared" si="35"/>
        <v>0.2923702313946217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25" t="s">
        <v>805</v>
      </c>
      <c r="B177" s="4" t="s">
        <v>1109</v>
      </c>
      <c r="C177" s="4" t="s">
        <v>1110</v>
      </c>
      <c r="D177" s="4" t="s">
        <v>1111</v>
      </c>
      <c r="E177" s="5" t="s">
        <v>13</v>
      </c>
      <c r="F177" s="6">
        <v>299.95</v>
      </c>
      <c r="G177" s="6">
        <v>166.67</v>
      </c>
      <c r="H177" s="7">
        <f t="shared" ref="H177:H178" si="36">1-(G177/F177)</f>
        <v>0.44434072345390896</v>
      </c>
      <c r="I177" s="7"/>
      <c r="J177" s="7">
        <v>0.2</v>
      </c>
      <c r="K177" s="6">
        <f t="shared" ref="K177:K178" si="37">F177*(1-J177)</f>
        <v>239.96</v>
      </c>
      <c r="L177" s="7">
        <f t="shared" ref="L177:L178" si="38">1-(G177/K177)</f>
        <v>0.30542590431738625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25" t="s">
        <v>805</v>
      </c>
      <c r="B178" s="4" t="s">
        <v>1112</v>
      </c>
      <c r="C178" s="4" t="s">
        <v>1113</v>
      </c>
      <c r="D178" s="4" t="s">
        <v>1114</v>
      </c>
      <c r="E178" s="5" t="s">
        <v>13</v>
      </c>
      <c r="F178" s="6">
        <v>199.95</v>
      </c>
      <c r="G178" s="6">
        <v>115.79</v>
      </c>
      <c r="H178" s="7">
        <f t="shared" si="36"/>
        <v>0.42090522630657656</v>
      </c>
      <c r="I178" s="7"/>
      <c r="J178" s="7">
        <v>0.28000000000000003</v>
      </c>
      <c r="K178" s="6">
        <f t="shared" si="37"/>
        <v>143.964</v>
      </c>
      <c r="L178" s="7">
        <f t="shared" si="38"/>
        <v>0.1957017032035786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s="135" customFormat="1" ht="12.75" customHeight="1" x14ac:dyDescent="0.3">
      <c r="A179" s="162" t="s">
        <v>805</v>
      </c>
      <c r="B179" s="136"/>
      <c r="C179" s="136" t="s">
        <v>1115</v>
      </c>
      <c r="D179" s="136" t="s">
        <v>1116</v>
      </c>
      <c r="E179" s="137" t="s">
        <v>13</v>
      </c>
      <c r="F179" s="139">
        <v>49.95</v>
      </c>
      <c r="G179" s="139">
        <v>42.11</v>
      </c>
      <c r="H179" s="140">
        <f t="shared" ref="H179:H191" si="39">1-(G179/F179)</f>
        <v>0.15695695695695699</v>
      </c>
      <c r="I179" s="140"/>
      <c r="J179" s="140">
        <v>0</v>
      </c>
      <c r="K179" s="139">
        <f t="shared" ref="K179:K191" si="40">F179*(1-J179)</f>
        <v>49.95</v>
      </c>
      <c r="L179" s="140">
        <f t="shared" ref="L179:L191" si="41">1-(G179/K179)</f>
        <v>0.15695695695695699</v>
      </c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spans="1:26" ht="12.75" customHeight="1" x14ac:dyDescent="0.3">
      <c r="A180" s="25" t="s">
        <v>805</v>
      </c>
      <c r="B180" s="4"/>
      <c r="C180" s="4" t="s">
        <v>1117</v>
      </c>
      <c r="D180" s="4" t="s">
        <v>1118</v>
      </c>
      <c r="E180" s="5" t="s">
        <v>13</v>
      </c>
      <c r="F180" s="6">
        <v>49.95</v>
      </c>
      <c r="G180" s="6">
        <v>42.11</v>
      </c>
      <c r="H180" s="7">
        <f t="shared" si="39"/>
        <v>0.15695695695695699</v>
      </c>
      <c r="I180" s="7"/>
      <c r="J180" s="7">
        <v>0</v>
      </c>
      <c r="K180" s="6">
        <f t="shared" si="40"/>
        <v>49.95</v>
      </c>
      <c r="L180" s="7">
        <f t="shared" si="41"/>
        <v>0.15695695695695699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25" t="s">
        <v>805</v>
      </c>
      <c r="B181" s="4"/>
      <c r="C181" s="4" t="s">
        <v>1119</v>
      </c>
      <c r="D181" s="4" t="s">
        <v>1120</v>
      </c>
      <c r="E181" s="5" t="s">
        <v>13</v>
      </c>
      <c r="F181" s="6">
        <v>29.95</v>
      </c>
      <c r="G181" s="6">
        <v>25.26</v>
      </c>
      <c r="H181" s="7">
        <f t="shared" si="39"/>
        <v>0.15659432387312178</v>
      </c>
      <c r="I181" s="7"/>
      <c r="J181" s="7">
        <v>0</v>
      </c>
      <c r="K181" s="6">
        <f t="shared" si="40"/>
        <v>29.95</v>
      </c>
      <c r="L181" s="7">
        <f t="shared" si="41"/>
        <v>0.15659432387312178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25" t="s">
        <v>805</v>
      </c>
      <c r="B182" s="4"/>
      <c r="C182" s="4" t="s">
        <v>1121</v>
      </c>
      <c r="D182" s="4" t="s">
        <v>1122</v>
      </c>
      <c r="E182" s="5" t="s">
        <v>13</v>
      </c>
      <c r="F182" s="6">
        <v>9.9499999999999993</v>
      </c>
      <c r="G182" s="6">
        <v>7.11</v>
      </c>
      <c r="H182" s="7">
        <f t="shared" si="39"/>
        <v>0.28542713567839184</v>
      </c>
      <c r="I182" s="7"/>
      <c r="J182" s="7">
        <v>0.12</v>
      </c>
      <c r="K182" s="6">
        <f t="shared" si="40"/>
        <v>8.7560000000000002</v>
      </c>
      <c r="L182" s="7">
        <f t="shared" si="41"/>
        <v>0.18798538145271815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25" t="s">
        <v>805</v>
      </c>
      <c r="B183" s="4"/>
      <c r="C183" s="4" t="s">
        <v>1123</v>
      </c>
      <c r="D183" s="4" t="s">
        <v>1124</v>
      </c>
      <c r="E183" s="5" t="s">
        <v>13</v>
      </c>
      <c r="F183" s="6">
        <v>14.95</v>
      </c>
      <c r="G183" s="6">
        <v>5</v>
      </c>
      <c r="H183" s="7">
        <f t="shared" si="39"/>
        <v>0.66555183946488294</v>
      </c>
      <c r="I183" s="7"/>
      <c r="J183" s="7">
        <v>0.55000000000000004</v>
      </c>
      <c r="K183" s="6">
        <f t="shared" si="40"/>
        <v>6.7274999999999991</v>
      </c>
      <c r="L183" s="7">
        <f t="shared" si="41"/>
        <v>0.25678186547751758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25" t="s">
        <v>805</v>
      </c>
      <c r="B184" s="4"/>
      <c r="C184" s="4" t="s">
        <v>1125</v>
      </c>
      <c r="D184" s="4" t="s">
        <v>1126</v>
      </c>
      <c r="E184" s="5" t="s">
        <v>13</v>
      </c>
      <c r="F184" s="6">
        <v>29.95</v>
      </c>
      <c r="G184" s="6">
        <v>25.26</v>
      </c>
      <c r="H184" s="7">
        <f t="shared" si="39"/>
        <v>0.15659432387312178</v>
      </c>
      <c r="I184" s="7"/>
      <c r="J184" s="7">
        <v>0</v>
      </c>
      <c r="K184" s="6">
        <f t="shared" si="40"/>
        <v>29.95</v>
      </c>
      <c r="L184" s="7">
        <f t="shared" si="41"/>
        <v>0.15659432387312178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25" t="s">
        <v>805</v>
      </c>
      <c r="B185" s="4"/>
      <c r="C185" s="4" t="s">
        <v>1127</v>
      </c>
      <c r="D185" s="4" t="s">
        <v>1128</v>
      </c>
      <c r="E185" s="5" t="s">
        <v>13</v>
      </c>
      <c r="F185" s="6">
        <v>4.95</v>
      </c>
      <c r="G185" s="6">
        <v>3.16</v>
      </c>
      <c r="H185" s="7">
        <f t="shared" si="39"/>
        <v>0.36161616161616161</v>
      </c>
      <c r="I185" s="7"/>
      <c r="J185" s="7">
        <v>0.2</v>
      </c>
      <c r="K185" s="6">
        <f t="shared" si="40"/>
        <v>3.9600000000000004</v>
      </c>
      <c r="L185" s="7">
        <f t="shared" si="41"/>
        <v>0.2020202020202021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25" t="s">
        <v>805</v>
      </c>
      <c r="B186" s="4"/>
      <c r="C186" s="4" t="s">
        <v>1129</v>
      </c>
      <c r="D186" s="4" t="s">
        <v>1130</v>
      </c>
      <c r="E186" s="5" t="s">
        <v>13</v>
      </c>
      <c r="F186" s="6">
        <v>4.95</v>
      </c>
      <c r="G186" s="6">
        <v>3.16</v>
      </c>
      <c r="H186" s="7">
        <f t="shared" si="39"/>
        <v>0.36161616161616161</v>
      </c>
      <c r="I186" s="7"/>
      <c r="J186" s="7">
        <v>0.2</v>
      </c>
      <c r="K186" s="6">
        <f t="shared" si="40"/>
        <v>3.9600000000000004</v>
      </c>
      <c r="L186" s="7">
        <f t="shared" si="41"/>
        <v>0.2020202020202021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25" t="s">
        <v>805</v>
      </c>
      <c r="B187" s="4"/>
      <c r="C187" s="4" t="s">
        <v>1131</v>
      </c>
      <c r="D187" s="4" t="s">
        <v>1132</v>
      </c>
      <c r="E187" s="5" t="s">
        <v>13</v>
      </c>
      <c r="F187" s="6">
        <v>4.95</v>
      </c>
      <c r="G187" s="6">
        <v>3.16</v>
      </c>
      <c r="H187" s="7">
        <f t="shared" si="39"/>
        <v>0.36161616161616161</v>
      </c>
      <c r="I187" s="7"/>
      <c r="J187" s="7">
        <v>0.2</v>
      </c>
      <c r="K187" s="6">
        <f t="shared" si="40"/>
        <v>3.9600000000000004</v>
      </c>
      <c r="L187" s="7">
        <f t="shared" si="41"/>
        <v>0.2020202020202021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25" t="s">
        <v>805</v>
      </c>
      <c r="B188" s="4"/>
      <c r="C188" s="4" t="s">
        <v>1133</v>
      </c>
      <c r="D188" s="4" t="s">
        <v>1134</v>
      </c>
      <c r="E188" s="5" t="s">
        <v>13</v>
      </c>
      <c r="F188" s="6">
        <v>14.95</v>
      </c>
      <c r="G188" s="6">
        <v>7.89</v>
      </c>
      <c r="H188" s="7">
        <f t="shared" si="39"/>
        <v>0.47224080267558532</v>
      </c>
      <c r="I188" s="7"/>
      <c r="J188" s="7">
        <v>0.35</v>
      </c>
      <c r="K188" s="6">
        <f t="shared" si="40"/>
        <v>9.7174999999999994</v>
      </c>
      <c r="L188" s="7">
        <f t="shared" si="41"/>
        <v>0.18806277334705424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25" t="s">
        <v>805</v>
      </c>
      <c r="B189" s="4"/>
      <c r="C189" s="4" t="s">
        <v>1135</v>
      </c>
      <c r="D189" s="4" t="s">
        <v>1136</v>
      </c>
      <c r="E189" s="5" t="s">
        <v>13</v>
      </c>
      <c r="F189" s="6">
        <v>14.95</v>
      </c>
      <c r="G189" s="6">
        <v>5</v>
      </c>
      <c r="H189" s="7">
        <f t="shared" si="39"/>
        <v>0.66555183946488294</v>
      </c>
      <c r="I189" s="7"/>
      <c r="J189" s="7">
        <v>0.2</v>
      </c>
      <c r="K189" s="6">
        <f t="shared" si="40"/>
        <v>11.96</v>
      </c>
      <c r="L189" s="7">
        <f t="shared" si="41"/>
        <v>0.58193979933110374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25" t="s">
        <v>805</v>
      </c>
      <c r="B190" s="4"/>
      <c r="C190" s="4" t="s">
        <v>1127</v>
      </c>
      <c r="D190" s="4" t="s">
        <v>1137</v>
      </c>
      <c r="E190" s="5" t="s">
        <v>13</v>
      </c>
      <c r="F190" s="6">
        <v>4.95</v>
      </c>
      <c r="G190" s="6">
        <v>3.16</v>
      </c>
      <c r="H190" s="7">
        <f t="shared" si="39"/>
        <v>0.36161616161616161</v>
      </c>
      <c r="I190" s="7"/>
      <c r="J190" s="7">
        <v>0.2</v>
      </c>
      <c r="K190" s="6">
        <f t="shared" si="40"/>
        <v>3.9600000000000004</v>
      </c>
      <c r="L190" s="7">
        <f t="shared" si="41"/>
        <v>0.2020202020202021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26" t="s">
        <v>805</v>
      </c>
      <c r="B191" s="19"/>
      <c r="C191" s="19" t="s">
        <v>1129</v>
      </c>
      <c r="D191" s="19" t="s">
        <v>1130</v>
      </c>
      <c r="E191" s="20" t="s">
        <v>13</v>
      </c>
      <c r="F191" s="22">
        <v>4.95</v>
      </c>
      <c r="G191" s="22">
        <v>3.16</v>
      </c>
      <c r="H191" s="23">
        <f t="shared" si="39"/>
        <v>0.36161616161616161</v>
      </c>
      <c r="I191" s="23"/>
      <c r="J191" s="23">
        <v>0.2</v>
      </c>
      <c r="K191" s="22">
        <f t="shared" si="40"/>
        <v>3.9600000000000004</v>
      </c>
      <c r="L191" s="23">
        <f t="shared" si="41"/>
        <v>0.2020202020202021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25" t="s">
        <v>805</v>
      </c>
      <c r="B192" s="4"/>
      <c r="C192" s="4" t="s">
        <v>981</v>
      </c>
      <c r="D192" s="4" t="s">
        <v>1138</v>
      </c>
      <c r="E192" s="5" t="s">
        <v>13</v>
      </c>
      <c r="F192" s="6">
        <v>79.95</v>
      </c>
      <c r="G192" s="6">
        <v>45.26</v>
      </c>
      <c r="H192" s="7">
        <f t="shared" ref="H192:H206" si="42">1-(G192/F192)</f>
        <v>0.43389618511569739</v>
      </c>
      <c r="I192" s="7"/>
      <c r="J192" s="7">
        <v>0.2</v>
      </c>
      <c r="K192" s="6">
        <f t="shared" ref="K192:K206" si="43">F192*(1-J192)</f>
        <v>63.960000000000008</v>
      </c>
      <c r="L192" s="7">
        <f t="shared" ref="L192:L206" si="44">1-(G192/K192)</f>
        <v>0.2923702313946217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25" t="s">
        <v>805</v>
      </c>
      <c r="B193" s="4"/>
      <c r="C193" s="4" t="s">
        <v>983</v>
      </c>
      <c r="D193" s="4" t="s">
        <v>984</v>
      </c>
      <c r="E193" s="5" t="s">
        <v>13</v>
      </c>
      <c r="F193" s="6">
        <v>79.95</v>
      </c>
      <c r="G193" s="6">
        <v>45.26</v>
      </c>
      <c r="H193" s="7">
        <f t="shared" si="42"/>
        <v>0.43389618511569739</v>
      </c>
      <c r="I193" s="7"/>
      <c r="J193" s="7">
        <v>0.2</v>
      </c>
      <c r="K193" s="6">
        <f t="shared" si="43"/>
        <v>63.960000000000008</v>
      </c>
      <c r="L193" s="7">
        <f t="shared" si="44"/>
        <v>0.2923702313946217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25" t="s">
        <v>805</v>
      </c>
      <c r="B194" s="4"/>
      <c r="C194" s="4" t="s">
        <v>1139</v>
      </c>
      <c r="D194" s="4" t="s">
        <v>986</v>
      </c>
      <c r="E194" s="5" t="s">
        <v>13</v>
      </c>
      <c r="F194" s="6">
        <v>79.95</v>
      </c>
      <c r="G194" s="6">
        <v>45.26</v>
      </c>
      <c r="H194" s="7">
        <f t="shared" si="42"/>
        <v>0.43389618511569739</v>
      </c>
      <c r="I194" s="7"/>
      <c r="J194" s="7">
        <v>0.2</v>
      </c>
      <c r="K194" s="6">
        <f t="shared" si="43"/>
        <v>63.960000000000008</v>
      </c>
      <c r="L194" s="7">
        <f t="shared" si="44"/>
        <v>0.2923702313946217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25" t="s">
        <v>805</v>
      </c>
      <c r="B195" s="4"/>
      <c r="C195" s="4" t="s">
        <v>987</v>
      </c>
      <c r="D195" s="4" t="s">
        <v>988</v>
      </c>
      <c r="E195" s="5" t="s">
        <v>13</v>
      </c>
      <c r="F195" s="6">
        <v>79.95</v>
      </c>
      <c r="G195" s="6">
        <v>45.26</v>
      </c>
      <c r="H195" s="7">
        <f t="shared" si="42"/>
        <v>0.43389618511569739</v>
      </c>
      <c r="I195" s="7"/>
      <c r="J195" s="7">
        <v>0.2</v>
      </c>
      <c r="K195" s="6">
        <f t="shared" si="43"/>
        <v>63.960000000000008</v>
      </c>
      <c r="L195" s="7">
        <f t="shared" si="44"/>
        <v>0.2923702313946217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25" t="s">
        <v>805</v>
      </c>
      <c r="B196" s="4"/>
      <c r="C196" s="4" t="s">
        <v>1140</v>
      </c>
      <c r="D196" s="4" t="s">
        <v>990</v>
      </c>
      <c r="E196" s="5" t="s">
        <v>13</v>
      </c>
      <c r="F196" s="6">
        <v>79.95</v>
      </c>
      <c r="G196" s="6">
        <v>45.26</v>
      </c>
      <c r="H196" s="7">
        <f t="shared" si="42"/>
        <v>0.43389618511569739</v>
      </c>
      <c r="I196" s="7"/>
      <c r="J196" s="7">
        <v>0.2</v>
      </c>
      <c r="K196" s="6">
        <f t="shared" si="43"/>
        <v>63.960000000000008</v>
      </c>
      <c r="L196" s="7">
        <f t="shared" si="44"/>
        <v>0.2923702313946217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25" t="s">
        <v>805</v>
      </c>
      <c r="B197" s="4"/>
      <c r="C197" s="4" t="s">
        <v>991</v>
      </c>
      <c r="D197" s="4" t="s">
        <v>992</v>
      </c>
      <c r="E197" s="5" t="s">
        <v>13</v>
      </c>
      <c r="F197" s="6">
        <v>79.95</v>
      </c>
      <c r="G197" s="6">
        <v>45.26</v>
      </c>
      <c r="H197" s="7">
        <f t="shared" si="42"/>
        <v>0.43389618511569739</v>
      </c>
      <c r="I197" s="7"/>
      <c r="J197" s="7">
        <v>0.2</v>
      </c>
      <c r="K197" s="6">
        <f t="shared" si="43"/>
        <v>63.960000000000008</v>
      </c>
      <c r="L197" s="7">
        <f t="shared" si="44"/>
        <v>0.2923702313946217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25" t="s">
        <v>805</v>
      </c>
      <c r="B198" s="4"/>
      <c r="C198" s="4" t="s">
        <v>993</v>
      </c>
      <c r="D198" s="4" t="s">
        <v>994</v>
      </c>
      <c r="E198" s="5" t="s">
        <v>13</v>
      </c>
      <c r="F198" s="6">
        <v>24.99</v>
      </c>
      <c r="G198" s="6">
        <v>13.16</v>
      </c>
      <c r="H198" s="7">
        <f t="shared" si="42"/>
        <v>0.4733893557422969</v>
      </c>
      <c r="I198" s="7"/>
      <c r="J198" s="7">
        <v>0.2</v>
      </c>
      <c r="K198" s="6">
        <f t="shared" si="43"/>
        <v>19.992000000000001</v>
      </c>
      <c r="L198" s="7">
        <f t="shared" si="44"/>
        <v>0.34173669467787116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25" t="s">
        <v>805</v>
      </c>
      <c r="B199" s="4"/>
      <c r="C199" s="4" t="s">
        <v>995</v>
      </c>
      <c r="D199" s="4" t="s">
        <v>1141</v>
      </c>
      <c r="E199" s="5" t="s">
        <v>13</v>
      </c>
      <c r="F199" s="6">
        <v>14.95</v>
      </c>
      <c r="G199" s="6">
        <v>7.89</v>
      </c>
      <c r="H199" s="7">
        <f t="shared" si="42"/>
        <v>0.47224080267558532</v>
      </c>
      <c r="I199" s="7"/>
      <c r="J199" s="7">
        <v>0.2</v>
      </c>
      <c r="K199" s="6">
        <f t="shared" si="43"/>
        <v>11.96</v>
      </c>
      <c r="L199" s="7">
        <f t="shared" si="44"/>
        <v>0.34030100334448166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25" t="s">
        <v>805</v>
      </c>
      <c r="B200" s="4"/>
      <c r="C200" s="4" t="s">
        <v>997</v>
      </c>
      <c r="D200" s="4" t="s">
        <v>1102</v>
      </c>
      <c r="E200" s="5" t="s">
        <v>13</v>
      </c>
      <c r="F200" s="6">
        <v>86</v>
      </c>
      <c r="G200" s="6">
        <v>45.26</v>
      </c>
      <c r="H200" s="7">
        <f t="shared" si="42"/>
        <v>0.47372093023255812</v>
      </c>
      <c r="I200" s="7"/>
      <c r="J200" s="7">
        <v>0.2</v>
      </c>
      <c r="K200" s="6">
        <f t="shared" si="43"/>
        <v>68.8</v>
      </c>
      <c r="L200" s="7">
        <f t="shared" si="44"/>
        <v>0.34215116279069768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25" t="s">
        <v>805</v>
      </c>
      <c r="B201" s="4"/>
      <c r="C201" s="4" t="s">
        <v>999</v>
      </c>
      <c r="D201" s="4" t="s">
        <v>1000</v>
      </c>
      <c r="E201" s="5" t="s">
        <v>13</v>
      </c>
      <c r="F201" s="6">
        <v>79.95</v>
      </c>
      <c r="G201" s="6">
        <v>45.26</v>
      </c>
      <c r="H201" s="7">
        <f t="shared" si="42"/>
        <v>0.43389618511569739</v>
      </c>
      <c r="I201" s="7"/>
      <c r="J201" s="7">
        <v>0.2</v>
      </c>
      <c r="K201" s="6">
        <f t="shared" si="43"/>
        <v>63.960000000000008</v>
      </c>
      <c r="L201" s="7">
        <f t="shared" si="44"/>
        <v>0.2923702313946217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25" t="s">
        <v>805</v>
      </c>
      <c r="B202" s="4"/>
      <c r="C202" s="4" t="s">
        <v>1001</v>
      </c>
      <c r="D202" s="4" t="s">
        <v>1002</v>
      </c>
      <c r="E202" s="5" t="s">
        <v>13</v>
      </c>
      <c r="F202" s="6">
        <v>79.95</v>
      </c>
      <c r="G202" s="6">
        <v>45.26</v>
      </c>
      <c r="H202" s="7">
        <f t="shared" si="42"/>
        <v>0.43389618511569739</v>
      </c>
      <c r="I202" s="7"/>
      <c r="J202" s="7">
        <v>0.2</v>
      </c>
      <c r="K202" s="6">
        <f t="shared" si="43"/>
        <v>63.960000000000008</v>
      </c>
      <c r="L202" s="7">
        <f t="shared" si="44"/>
        <v>0.2923702313946217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25" t="s">
        <v>805</v>
      </c>
      <c r="B203" s="4"/>
      <c r="C203" s="4" t="s">
        <v>1103</v>
      </c>
      <c r="D203" s="4" t="s">
        <v>1004</v>
      </c>
      <c r="E203" s="5" t="s">
        <v>13</v>
      </c>
      <c r="F203" s="6">
        <v>79.95</v>
      </c>
      <c r="G203" s="6">
        <v>45.26</v>
      </c>
      <c r="H203" s="7">
        <f t="shared" si="42"/>
        <v>0.43389618511569739</v>
      </c>
      <c r="I203" s="7"/>
      <c r="J203" s="7">
        <v>0.2</v>
      </c>
      <c r="K203" s="6">
        <f t="shared" si="43"/>
        <v>63.960000000000008</v>
      </c>
      <c r="L203" s="7">
        <f t="shared" si="44"/>
        <v>0.2923702313946217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25" t="s">
        <v>805</v>
      </c>
      <c r="B204" s="4"/>
      <c r="C204" s="4" t="s">
        <v>1005</v>
      </c>
      <c r="D204" s="4" t="s">
        <v>1106</v>
      </c>
      <c r="E204" s="5" t="s">
        <v>13</v>
      </c>
      <c r="F204" s="6">
        <v>79.95</v>
      </c>
      <c r="G204" s="6">
        <v>45.26</v>
      </c>
      <c r="H204" s="7">
        <f t="shared" si="42"/>
        <v>0.43389618511569739</v>
      </c>
      <c r="I204" s="7"/>
      <c r="J204" s="7">
        <v>0.2</v>
      </c>
      <c r="K204" s="6">
        <f t="shared" si="43"/>
        <v>63.960000000000008</v>
      </c>
      <c r="L204" s="7">
        <f t="shared" si="44"/>
        <v>0.2923702313946217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25" t="s">
        <v>805</v>
      </c>
      <c r="B205" s="4"/>
      <c r="C205" s="4" t="s">
        <v>1007</v>
      </c>
      <c r="D205" s="4" t="s">
        <v>1108</v>
      </c>
      <c r="E205" s="5" t="s">
        <v>13</v>
      </c>
      <c r="F205" s="6">
        <v>79.95</v>
      </c>
      <c r="G205" s="6">
        <v>42.11</v>
      </c>
      <c r="H205" s="7">
        <f t="shared" si="42"/>
        <v>0.47329580988117581</v>
      </c>
      <c r="I205" s="7"/>
      <c r="J205" s="7">
        <v>0.2</v>
      </c>
      <c r="K205" s="6">
        <f t="shared" si="43"/>
        <v>63.960000000000008</v>
      </c>
      <c r="L205" s="7">
        <f t="shared" si="44"/>
        <v>0.34161976235146974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27" t="s">
        <v>805</v>
      </c>
      <c r="B206" s="8"/>
      <c r="C206" s="8" t="s">
        <v>1142</v>
      </c>
      <c r="D206" s="8" t="s">
        <v>1010</v>
      </c>
      <c r="E206" s="9" t="s">
        <v>13</v>
      </c>
      <c r="F206" s="10">
        <v>79.95</v>
      </c>
      <c r="G206" s="10">
        <v>42.11</v>
      </c>
      <c r="H206" s="11">
        <f t="shared" si="42"/>
        <v>0.47329580988117581</v>
      </c>
      <c r="I206" s="11"/>
      <c r="J206" s="11">
        <v>0.2</v>
      </c>
      <c r="K206" s="10">
        <f t="shared" si="43"/>
        <v>63.960000000000008</v>
      </c>
      <c r="L206" s="11">
        <f t="shared" si="44"/>
        <v>0.34161976235146974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s="135" customFormat="1" ht="12.75" customHeight="1" x14ac:dyDescent="0.3">
      <c r="A207" s="163" t="s">
        <v>805</v>
      </c>
      <c r="B207" s="143" t="s">
        <v>1143</v>
      </c>
      <c r="C207" s="143" t="s">
        <v>1144</v>
      </c>
      <c r="D207" s="143" t="s">
        <v>1145</v>
      </c>
      <c r="E207" s="144" t="s">
        <v>13</v>
      </c>
      <c r="F207" s="146">
        <v>299.95</v>
      </c>
      <c r="G207" s="146">
        <v>157.88999999999999</v>
      </c>
      <c r="H207" s="147">
        <f>1-(G207/F207)</f>
        <v>0.4736122687114519</v>
      </c>
      <c r="I207" s="147"/>
      <c r="J207" s="147">
        <v>0.3</v>
      </c>
      <c r="K207" s="146">
        <f>F207*(1-J207)</f>
        <v>209.96499999999997</v>
      </c>
      <c r="L207" s="147">
        <f>1-(G207/K207)</f>
        <v>0.24801752673064559</v>
      </c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spans="1:26" s="135" customFormat="1" ht="12.75" customHeight="1" x14ac:dyDescent="0.3">
      <c r="A208" s="162" t="s">
        <v>805</v>
      </c>
      <c r="B208" s="136"/>
      <c r="C208" s="136" t="s">
        <v>1146</v>
      </c>
      <c r="D208" s="136" t="s">
        <v>1147</v>
      </c>
      <c r="E208" s="137" t="s">
        <v>13</v>
      </c>
      <c r="F208" s="139">
        <v>98</v>
      </c>
      <c r="G208" s="139">
        <v>51.58</v>
      </c>
      <c r="H208" s="140">
        <f t="shared" ref="H208:H213" si="45">1-(G208/F208)</f>
        <v>0.47367346938775512</v>
      </c>
      <c r="I208" s="140"/>
      <c r="J208" s="140">
        <v>0.3</v>
      </c>
      <c r="K208" s="139">
        <f t="shared" ref="K208:K213" si="46">F208*(1-J208)</f>
        <v>68.599999999999994</v>
      </c>
      <c r="L208" s="140">
        <f t="shared" ref="L208:L213" si="47">1-(G208/K208)</f>
        <v>0.24810495626822149</v>
      </c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spans="1:26" ht="12.75" customHeight="1" x14ac:dyDescent="0.3">
      <c r="A209" s="25" t="s">
        <v>805</v>
      </c>
      <c r="B209" s="4"/>
      <c r="C209" s="4" t="s">
        <v>1148</v>
      </c>
      <c r="D209" s="4" t="s">
        <v>1149</v>
      </c>
      <c r="E209" s="5" t="s">
        <v>13</v>
      </c>
      <c r="F209" s="6">
        <v>9.9499999999999993</v>
      </c>
      <c r="G209" s="6">
        <v>5.26</v>
      </c>
      <c r="H209" s="7">
        <f t="shared" si="45"/>
        <v>0.47135678391959801</v>
      </c>
      <c r="I209" s="7"/>
      <c r="J209" s="7">
        <v>0.2</v>
      </c>
      <c r="K209" s="6">
        <f t="shared" si="46"/>
        <v>7.96</v>
      </c>
      <c r="L209" s="7">
        <f t="shared" si="47"/>
        <v>0.33919597989949746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25" t="s">
        <v>805</v>
      </c>
      <c r="B210" s="4"/>
      <c r="C210" s="4" t="s">
        <v>1150</v>
      </c>
      <c r="D210" s="4" t="s">
        <v>1151</v>
      </c>
      <c r="E210" s="5" t="s">
        <v>13</v>
      </c>
      <c r="F210" s="6">
        <v>14.95</v>
      </c>
      <c r="G210" s="6">
        <v>10.53</v>
      </c>
      <c r="H210" s="7">
        <f t="shared" si="45"/>
        <v>0.29565217391304344</v>
      </c>
      <c r="I210" s="7"/>
      <c r="J210" s="7">
        <v>0.2</v>
      </c>
      <c r="K210" s="6">
        <f t="shared" si="46"/>
        <v>11.96</v>
      </c>
      <c r="L210" s="7">
        <f t="shared" si="47"/>
        <v>0.11956521739130443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25" t="s">
        <v>805</v>
      </c>
      <c r="B211" s="4"/>
      <c r="C211" s="4" t="s">
        <v>1152</v>
      </c>
      <c r="D211" s="4" t="s">
        <v>1153</v>
      </c>
      <c r="E211" s="5" t="s">
        <v>13</v>
      </c>
      <c r="F211" s="6">
        <v>34.950000000000003</v>
      </c>
      <c r="G211" s="6">
        <v>30.53</v>
      </c>
      <c r="H211" s="7">
        <f t="shared" si="45"/>
        <v>0.12646638054363379</v>
      </c>
      <c r="I211" s="7"/>
      <c r="J211" s="7">
        <v>0</v>
      </c>
      <c r="K211" s="6">
        <f t="shared" si="46"/>
        <v>34.950000000000003</v>
      </c>
      <c r="L211" s="7">
        <f t="shared" si="47"/>
        <v>0.12646638054363379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25" t="s">
        <v>805</v>
      </c>
      <c r="B212" s="4"/>
      <c r="C212" s="4" t="s">
        <v>1154</v>
      </c>
      <c r="D212" s="4" t="s">
        <v>1155</v>
      </c>
      <c r="E212" s="5" t="s">
        <v>13</v>
      </c>
      <c r="F212" s="6">
        <v>98</v>
      </c>
      <c r="G212" s="6">
        <v>51.58</v>
      </c>
      <c r="H212" s="7">
        <f t="shared" si="45"/>
        <v>0.47367346938775512</v>
      </c>
      <c r="I212" s="7"/>
      <c r="J212" s="7">
        <v>0.2</v>
      </c>
      <c r="K212" s="6">
        <f t="shared" si="46"/>
        <v>78.400000000000006</v>
      </c>
      <c r="L212" s="7">
        <f t="shared" si="47"/>
        <v>0.3420918367346939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27" t="s">
        <v>805</v>
      </c>
      <c r="B213" s="8"/>
      <c r="C213" s="8" t="s">
        <v>1123</v>
      </c>
      <c r="D213" s="8" t="s">
        <v>1124</v>
      </c>
      <c r="E213" s="9" t="s">
        <v>13</v>
      </c>
      <c r="F213" s="10">
        <v>14.95</v>
      </c>
      <c r="G213" s="10">
        <v>5</v>
      </c>
      <c r="H213" s="11">
        <f t="shared" si="45"/>
        <v>0.66555183946488294</v>
      </c>
      <c r="I213" s="11"/>
      <c r="J213" s="11">
        <v>0.2</v>
      </c>
      <c r="K213" s="10">
        <f t="shared" si="46"/>
        <v>11.96</v>
      </c>
      <c r="L213" s="11">
        <f t="shared" si="47"/>
        <v>0.58193979933110374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805</v>
      </c>
      <c r="B214" s="4" t="s">
        <v>1156</v>
      </c>
      <c r="C214" s="4" t="s">
        <v>1157</v>
      </c>
      <c r="D214" s="4" t="s">
        <v>1158</v>
      </c>
      <c r="E214" s="5" t="s">
        <v>13</v>
      </c>
      <c r="F214" s="6">
        <v>219.95</v>
      </c>
      <c r="G214" s="6">
        <v>127.37</v>
      </c>
      <c r="H214" s="7">
        <f>1-(G214/F214)</f>
        <v>0.42091384405546706</v>
      </c>
      <c r="I214" s="7"/>
      <c r="J214" s="7">
        <v>0.2</v>
      </c>
      <c r="K214" s="6">
        <f>F214*(1-J214)</f>
        <v>175.96</v>
      </c>
      <c r="L214" s="7">
        <f>1-(G214/K214)</f>
        <v>0.2761423050693339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25" t="s">
        <v>805</v>
      </c>
      <c r="B215" s="4"/>
      <c r="C215" s="4" t="s">
        <v>1159</v>
      </c>
      <c r="D215" s="4" t="s">
        <v>1160</v>
      </c>
      <c r="E215" s="5" t="s">
        <v>13</v>
      </c>
      <c r="F215" s="6">
        <v>4.95</v>
      </c>
      <c r="G215" s="6">
        <v>2.63</v>
      </c>
      <c r="H215" s="7">
        <f t="shared" ref="H215:H222" si="48">1-(G215/F215)</f>
        <v>0.46868686868686871</v>
      </c>
      <c r="I215" s="7"/>
      <c r="J215" s="7">
        <v>0.2</v>
      </c>
      <c r="K215" s="6">
        <f t="shared" ref="K215:K222" si="49">F215*(1-J215)</f>
        <v>3.9600000000000004</v>
      </c>
      <c r="L215" s="7">
        <f t="shared" ref="L215:L222" si="50">1-(G215/K215)</f>
        <v>0.33585858585858597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25" t="s">
        <v>805</v>
      </c>
      <c r="B216" s="4"/>
      <c r="C216" s="4" t="s">
        <v>1161</v>
      </c>
      <c r="D216" s="4" t="s">
        <v>1162</v>
      </c>
      <c r="E216" s="5" t="s">
        <v>13</v>
      </c>
      <c r="F216" s="6">
        <v>4.95</v>
      </c>
      <c r="G216" s="6">
        <v>2.63</v>
      </c>
      <c r="H216" s="7">
        <f t="shared" si="48"/>
        <v>0.46868686868686871</v>
      </c>
      <c r="I216" s="7"/>
      <c r="J216" s="7">
        <v>0.2</v>
      </c>
      <c r="K216" s="6">
        <f t="shared" si="49"/>
        <v>3.9600000000000004</v>
      </c>
      <c r="L216" s="7">
        <f t="shared" si="50"/>
        <v>0.33585858585858597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25" t="s">
        <v>805</v>
      </c>
      <c r="B217" s="4"/>
      <c r="C217" s="4" t="s">
        <v>1163</v>
      </c>
      <c r="D217" s="4" t="s">
        <v>1164</v>
      </c>
      <c r="E217" s="5" t="s">
        <v>13</v>
      </c>
      <c r="F217" s="6">
        <v>4.95</v>
      </c>
      <c r="G217" s="6">
        <v>2.63</v>
      </c>
      <c r="H217" s="7">
        <f t="shared" si="48"/>
        <v>0.46868686868686871</v>
      </c>
      <c r="I217" s="7"/>
      <c r="J217" s="7">
        <v>0.2</v>
      </c>
      <c r="K217" s="6">
        <f t="shared" si="49"/>
        <v>3.9600000000000004</v>
      </c>
      <c r="L217" s="7">
        <f t="shared" si="50"/>
        <v>0.33585858585858597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25" t="s">
        <v>805</v>
      </c>
      <c r="B218" s="4"/>
      <c r="C218" s="4" t="s">
        <v>1165</v>
      </c>
      <c r="D218" s="4" t="s">
        <v>1166</v>
      </c>
      <c r="E218" s="5" t="s">
        <v>13</v>
      </c>
      <c r="F218" s="6">
        <v>4.95</v>
      </c>
      <c r="G218" s="6">
        <v>2.63</v>
      </c>
      <c r="H218" s="7">
        <f t="shared" si="48"/>
        <v>0.46868686868686871</v>
      </c>
      <c r="I218" s="7"/>
      <c r="J218" s="7">
        <v>0.2</v>
      </c>
      <c r="K218" s="6">
        <f t="shared" si="49"/>
        <v>3.9600000000000004</v>
      </c>
      <c r="L218" s="7">
        <f t="shared" si="50"/>
        <v>0.33585858585858597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25" t="s">
        <v>805</v>
      </c>
      <c r="B219" s="4"/>
      <c r="C219" s="4" t="s">
        <v>1154</v>
      </c>
      <c r="D219" s="4" t="s">
        <v>1167</v>
      </c>
      <c r="E219" s="5" t="s">
        <v>13</v>
      </c>
      <c r="F219" s="6">
        <v>98</v>
      </c>
      <c r="G219" s="6">
        <v>51.58</v>
      </c>
      <c r="H219" s="7">
        <f t="shared" si="48"/>
        <v>0.47367346938775512</v>
      </c>
      <c r="I219" s="7"/>
      <c r="J219" s="7">
        <v>0.2</v>
      </c>
      <c r="K219" s="6">
        <f t="shared" si="49"/>
        <v>78.400000000000006</v>
      </c>
      <c r="L219" s="7">
        <f t="shared" si="50"/>
        <v>0.3420918367346939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135" customFormat="1" ht="12.75" customHeight="1" x14ac:dyDescent="0.3">
      <c r="A220" s="162" t="s">
        <v>805</v>
      </c>
      <c r="B220" s="136"/>
      <c r="C220" s="136" t="s">
        <v>1168</v>
      </c>
      <c r="D220" s="136" t="s">
        <v>1169</v>
      </c>
      <c r="E220" s="137" t="s">
        <v>13</v>
      </c>
      <c r="F220" s="139">
        <v>98</v>
      </c>
      <c r="G220" s="139">
        <v>51.58</v>
      </c>
      <c r="H220" s="140">
        <f t="shared" si="48"/>
        <v>0.47367346938775512</v>
      </c>
      <c r="I220" s="140"/>
      <c r="J220" s="140">
        <v>0.2</v>
      </c>
      <c r="K220" s="139">
        <f t="shared" si="49"/>
        <v>78.400000000000006</v>
      </c>
      <c r="L220" s="140">
        <f t="shared" si="50"/>
        <v>0.3420918367346939</v>
      </c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spans="1:26" ht="12.75" customHeight="1" x14ac:dyDescent="0.3">
      <c r="A221" s="25" t="s">
        <v>805</v>
      </c>
      <c r="B221" s="4"/>
      <c r="C221" s="4" t="s">
        <v>1170</v>
      </c>
      <c r="D221" s="4" t="s">
        <v>1171</v>
      </c>
      <c r="E221" s="5" t="s">
        <v>13</v>
      </c>
      <c r="F221" s="6">
        <v>14.95</v>
      </c>
      <c r="G221" s="6">
        <v>5</v>
      </c>
      <c r="H221" s="7">
        <f t="shared" si="48"/>
        <v>0.66555183946488294</v>
      </c>
      <c r="I221" s="7"/>
      <c r="J221" s="7">
        <v>0.2</v>
      </c>
      <c r="K221" s="6">
        <f t="shared" si="49"/>
        <v>11.96</v>
      </c>
      <c r="L221" s="7">
        <f t="shared" si="50"/>
        <v>0.58193979933110374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27" t="s">
        <v>805</v>
      </c>
      <c r="B222" s="8"/>
      <c r="C222" s="8" t="s">
        <v>1172</v>
      </c>
      <c r="D222" s="8" t="s">
        <v>1173</v>
      </c>
      <c r="E222" s="9" t="s">
        <v>13</v>
      </c>
      <c r="F222" s="10">
        <v>14.95</v>
      </c>
      <c r="G222" s="10">
        <v>7.89</v>
      </c>
      <c r="H222" s="11">
        <f t="shared" si="48"/>
        <v>0.47224080267558532</v>
      </c>
      <c r="I222" s="11"/>
      <c r="J222" s="11">
        <v>0.2</v>
      </c>
      <c r="K222" s="10">
        <f t="shared" si="49"/>
        <v>11.96</v>
      </c>
      <c r="L222" s="11">
        <f t="shared" si="50"/>
        <v>0.34030100334448166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35" customFormat="1" ht="12.75" customHeight="1" x14ac:dyDescent="0.3">
      <c r="A223" s="162" t="s">
        <v>805</v>
      </c>
      <c r="B223" s="136" t="s">
        <v>1174</v>
      </c>
      <c r="C223" s="136" t="s">
        <v>1175</v>
      </c>
      <c r="D223" s="136" t="s">
        <v>1176</v>
      </c>
      <c r="E223" s="137" t="s">
        <v>13</v>
      </c>
      <c r="F223" s="139">
        <v>181.81</v>
      </c>
      <c r="G223" s="139">
        <v>105.26</v>
      </c>
      <c r="H223" s="140">
        <f t="shared" ref="H223:H226" si="51">1-(G223/F223)</f>
        <v>0.42104394697761394</v>
      </c>
      <c r="I223" s="140"/>
      <c r="J223" s="140">
        <v>0.25</v>
      </c>
      <c r="K223" s="139">
        <f t="shared" ref="K223:K226" si="52">F223*(1-J223)</f>
        <v>136.35750000000002</v>
      </c>
      <c r="L223" s="140">
        <f t="shared" ref="L223:L226" si="53">1-(G223/K223)</f>
        <v>0.22805859597015199</v>
      </c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spans="1:26" s="135" customFormat="1" ht="12.75" customHeight="1" x14ac:dyDescent="0.3">
      <c r="A224" s="162" t="s">
        <v>805</v>
      </c>
      <c r="B224" s="136" t="s">
        <v>1177</v>
      </c>
      <c r="C224" s="136" t="s">
        <v>1178</v>
      </c>
      <c r="D224" s="136" t="s">
        <v>1179</v>
      </c>
      <c r="E224" s="137" t="s">
        <v>13</v>
      </c>
      <c r="F224" s="139">
        <v>200</v>
      </c>
      <c r="G224" s="139">
        <v>115.79</v>
      </c>
      <c r="H224" s="140">
        <f t="shared" si="51"/>
        <v>0.42104999999999992</v>
      </c>
      <c r="I224" s="140"/>
      <c r="J224" s="140">
        <v>0.25</v>
      </c>
      <c r="K224" s="139">
        <f t="shared" si="52"/>
        <v>150</v>
      </c>
      <c r="L224" s="140">
        <f t="shared" si="53"/>
        <v>0.22806666666666664</v>
      </c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spans="1:26" ht="12.75" customHeight="1" x14ac:dyDescent="0.3">
      <c r="A225" s="25"/>
      <c r="B225" s="4"/>
      <c r="C225" s="4" t="s">
        <v>1180</v>
      </c>
      <c r="D225" s="4" t="s">
        <v>1181</v>
      </c>
      <c r="E225" s="5"/>
      <c r="F225" s="6">
        <v>299.95</v>
      </c>
      <c r="G225" s="6">
        <v>173.68</v>
      </c>
      <c r="H225" s="7">
        <f t="shared" si="51"/>
        <v>0.42097016169361556</v>
      </c>
      <c r="I225" s="7"/>
      <c r="J225" s="7">
        <v>0.25</v>
      </c>
      <c r="K225" s="6">
        <f t="shared" si="52"/>
        <v>224.96249999999998</v>
      </c>
      <c r="L225" s="7">
        <f t="shared" si="53"/>
        <v>0.22796021559148738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25"/>
      <c r="B226" s="4"/>
      <c r="C226" s="4" t="s">
        <v>1182</v>
      </c>
      <c r="D226" s="4" t="s">
        <v>1183</v>
      </c>
      <c r="E226" s="5"/>
      <c r="F226" s="6">
        <v>299.95</v>
      </c>
      <c r="G226" s="6">
        <v>173.68</v>
      </c>
      <c r="H226" s="7">
        <f t="shared" si="51"/>
        <v>0.42097016169361556</v>
      </c>
      <c r="I226" s="7"/>
      <c r="J226" s="7">
        <v>0.25</v>
      </c>
      <c r="K226" s="6">
        <f t="shared" si="52"/>
        <v>224.96249999999998</v>
      </c>
      <c r="L226" s="7">
        <f t="shared" si="53"/>
        <v>0.22796021559148738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25" t="s">
        <v>805</v>
      </c>
      <c r="B227" s="4"/>
      <c r="C227" s="4" t="s">
        <v>1123</v>
      </c>
      <c r="D227" s="4" t="s">
        <v>1184</v>
      </c>
      <c r="E227" s="5" t="s">
        <v>13</v>
      </c>
      <c r="F227" s="6">
        <v>14.95</v>
      </c>
      <c r="G227" s="6">
        <v>5</v>
      </c>
      <c r="H227" s="7">
        <f t="shared" ref="H227:H229" si="54">1-(G227/F227)</f>
        <v>0.66555183946488294</v>
      </c>
      <c r="I227" s="7"/>
      <c r="J227" s="7">
        <v>0.2</v>
      </c>
      <c r="K227" s="6">
        <f t="shared" ref="K227:K229" si="55">F227*(1-J227)</f>
        <v>11.96</v>
      </c>
      <c r="L227" s="7">
        <f t="shared" ref="L227:L229" si="56">1-(G227/K227)</f>
        <v>0.58193979933110374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135" customFormat="1" ht="12.75" customHeight="1" x14ac:dyDescent="0.3">
      <c r="A228" s="162" t="s">
        <v>805</v>
      </c>
      <c r="B228" s="136"/>
      <c r="C228" s="136" t="s">
        <v>1146</v>
      </c>
      <c r="D228" s="136" t="s">
        <v>1185</v>
      </c>
      <c r="E228" s="137" t="s">
        <v>13</v>
      </c>
      <c r="F228" s="139">
        <v>98</v>
      </c>
      <c r="G228" s="139">
        <v>51.58</v>
      </c>
      <c r="H228" s="140">
        <f t="shared" si="54"/>
        <v>0.47367346938775512</v>
      </c>
      <c r="I228" s="140"/>
      <c r="J228" s="140">
        <v>0.2</v>
      </c>
      <c r="K228" s="139">
        <f t="shared" si="55"/>
        <v>78.400000000000006</v>
      </c>
      <c r="L228" s="140">
        <f t="shared" si="56"/>
        <v>0.3420918367346939</v>
      </c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spans="1:26" ht="12.75" customHeight="1" x14ac:dyDescent="0.3">
      <c r="A229" s="27" t="s">
        <v>805</v>
      </c>
      <c r="B229" s="8"/>
      <c r="C229" s="8" t="s">
        <v>1154</v>
      </c>
      <c r="D229" s="8" t="s">
        <v>1186</v>
      </c>
      <c r="E229" s="9" t="s">
        <v>13</v>
      </c>
      <c r="F229" s="10">
        <v>98</v>
      </c>
      <c r="G229" s="10">
        <v>51.58</v>
      </c>
      <c r="H229" s="11">
        <f t="shared" si="54"/>
        <v>0.47367346938775512</v>
      </c>
      <c r="I229" s="11"/>
      <c r="J229" s="11">
        <v>0.2</v>
      </c>
      <c r="K229" s="10">
        <f t="shared" si="55"/>
        <v>78.400000000000006</v>
      </c>
      <c r="L229" s="11">
        <f t="shared" si="56"/>
        <v>0.3420918367346939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135" customFormat="1" ht="12.75" customHeight="1" x14ac:dyDescent="0.3">
      <c r="A230" s="162" t="s">
        <v>805</v>
      </c>
      <c r="B230" s="136" t="s">
        <v>1187</v>
      </c>
      <c r="C230" s="136" t="s">
        <v>1188</v>
      </c>
      <c r="D230" s="136" t="s">
        <v>1189</v>
      </c>
      <c r="E230" s="137" t="s">
        <v>13</v>
      </c>
      <c r="F230" s="139">
        <v>219.95</v>
      </c>
      <c r="G230" s="139">
        <v>127.37</v>
      </c>
      <c r="H230" s="140">
        <f>1-(G230/F230)</f>
        <v>0.42091384405546706</v>
      </c>
      <c r="I230" s="140"/>
      <c r="J230" s="140">
        <v>0.2</v>
      </c>
      <c r="K230" s="139">
        <f>F230*(1-J230)</f>
        <v>175.96</v>
      </c>
      <c r="L230" s="140">
        <f>1-(G230/K230)</f>
        <v>0.2761423050693339</v>
      </c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spans="1:26" ht="12.75" customHeight="1" x14ac:dyDescent="0.3">
      <c r="A231" s="4"/>
      <c r="B231" s="4"/>
      <c r="C231" s="4" t="s">
        <v>1190</v>
      </c>
      <c r="D231" s="4" t="s">
        <v>1191</v>
      </c>
      <c r="E231" s="5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 t="s">
        <v>1192</v>
      </c>
      <c r="D232" s="4" t="s">
        <v>1193</v>
      </c>
      <c r="E232" s="5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 t="s">
        <v>1194</v>
      </c>
      <c r="D233" s="4" t="s">
        <v>1195</v>
      </c>
      <c r="E233" s="5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25" t="s">
        <v>805</v>
      </c>
      <c r="B234" s="4"/>
      <c r="C234" s="4" t="s">
        <v>1196</v>
      </c>
      <c r="D234" s="4" t="s">
        <v>1197</v>
      </c>
      <c r="E234" s="5" t="s">
        <v>13</v>
      </c>
      <c r="F234" s="6">
        <v>119.95</v>
      </c>
      <c r="G234" s="6">
        <v>75.790000000000006</v>
      </c>
      <c r="H234" s="7">
        <f>1-(G234/F234)</f>
        <v>0.36815339724885365</v>
      </c>
      <c r="I234" s="7"/>
      <c r="J234" s="7">
        <v>0.2</v>
      </c>
      <c r="K234" s="6">
        <f>F234*(1-J234)</f>
        <v>95.960000000000008</v>
      </c>
      <c r="L234" s="7">
        <f>1-(G234/K234)</f>
        <v>0.21019174656106709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25" t="s">
        <v>805</v>
      </c>
      <c r="B235" s="4"/>
      <c r="C235" s="4" t="s">
        <v>1198</v>
      </c>
      <c r="D235" s="4" t="s">
        <v>1128</v>
      </c>
      <c r="E235" s="5" t="s">
        <v>13</v>
      </c>
      <c r="F235" s="6">
        <v>4.95</v>
      </c>
      <c r="G235" s="6">
        <v>2.63</v>
      </c>
      <c r="H235" s="7">
        <f t="shared" ref="H235:H242" si="57">1-(G235/F235)</f>
        <v>0.46868686868686871</v>
      </c>
      <c r="I235" s="7"/>
      <c r="J235" s="7">
        <v>0.35</v>
      </c>
      <c r="K235" s="6">
        <f t="shared" ref="K235:K242" si="58">F235*(1-J235)</f>
        <v>3.2175000000000002</v>
      </c>
      <c r="L235" s="7">
        <f t="shared" ref="L235:L242" si="59">1-(G235/K235)</f>
        <v>0.1825951825951827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25" t="s">
        <v>805</v>
      </c>
      <c r="B236" s="4"/>
      <c r="C236" s="4" t="s">
        <v>1199</v>
      </c>
      <c r="D236" s="4" t="s">
        <v>1130</v>
      </c>
      <c r="E236" s="5" t="s">
        <v>13</v>
      </c>
      <c r="F236" s="6">
        <v>4.95</v>
      </c>
      <c r="G236" s="6">
        <v>2.63</v>
      </c>
      <c r="H236" s="7">
        <f t="shared" si="57"/>
        <v>0.46868686868686871</v>
      </c>
      <c r="I236" s="7"/>
      <c r="J236" s="7">
        <v>0.35</v>
      </c>
      <c r="K236" s="6">
        <f t="shared" si="58"/>
        <v>3.2175000000000002</v>
      </c>
      <c r="L236" s="7">
        <f t="shared" si="59"/>
        <v>0.1825951825951827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25" t="s">
        <v>805</v>
      </c>
      <c r="B237" s="4"/>
      <c r="C237" s="4" t="s">
        <v>1200</v>
      </c>
      <c r="D237" s="4" t="s">
        <v>1132</v>
      </c>
      <c r="E237" s="5" t="s">
        <v>13</v>
      </c>
      <c r="F237" s="6">
        <v>4.95</v>
      </c>
      <c r="G237" s="6">
        <v>2.63</v>
      </c>
      <c r="H237" s="7">
        <f t="shared" si="57"/>
        <v>0.46868686868686871</v>
      </c>
      <c r="I237" s="7"/>
      <c r="J237" s="7">
        <v>0.35</v>
      </c>
      <c r="K237" s="6">
        <f t="shared" si="58"/>
        <v>3.2175000000000002</v>
      </c>
      <c r="L237" s="7">
        <f t="shared" si="59"/>
        <v>0.1825951825951827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25" t="s">
        <v>805</v>
      </c>
      <c r="B238" s="4"/>
      <c r="C238" s="4" t="s">
        <v>1127</v>
      </c>
      <c r="D238" s="4" t="s">
        <v>1201</v>
      </c>
      <c r="E238" s="5" t="s">
        <v>13</v>
      </c>
      <c r="F238" s="6">
        <v>4.95</v>
      </c>
      <c r="G238" s="6">
        <v>3.16</v>
      </c>
      <c r="H238" s="7">
        <f t="shared" si="57"/>
        <v>0.36161616161616161</v>
      </c>
      <c r="I238" s="7"/>
      <c r="J238" s="7">
        <v>0.22</v>
      </c>
      <c r="K238" s="6">
        <f t="shared" si="58"/>
        <v>3.8610000000000002</v>
      </c>
      <c r="L238" s="7">
        <f t="shared" si="59"/>
        <v>0.1815591815591816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s="135" customFormat="1" ht="12.75" customHeight="1" x14ac:dyDescent="0.3">
      <c r="A239" s="162" t="s">
        <v>805</v>
      </c>
      <c r="B239" s="136"/>
      <c r="C239" s="136" t="s">
        <v>1146</v>
      </c>
      <c r="D239" s="136" t="s">
        <v>1202</v>
      </c>
      <c r="E239" s="137" t="s">
        <v>13</v>
      </c>
      <c r="F239" s="139">
        <v>98</v>
      </c>
      <c r="G239" s="139">
        <v>51.58</v>
      </c>
      <c r="H239" s="140">
        <f t="shared" si="57"/>
        <v>0.47367346938775512</v>
      </c>
      <c r="I239" s="140"/>
      <c r="J239" s="140">
        <v>0.35</v>
      </c>
      <c r="K239" s="139">
        <f t="shared" si="58"/>
        <v>63.7</v>
      </c>
      <c r="L239" s="140">
        <f t="shared" si="59"/>
        <v>0.19026687598116176</v>
      </c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spans="1:26" ht="12.75" customHeight="1" x14ac:dyDescent="0.3">
      <c r="A240" s="25" t="s">
        <v>805</v>
      </c>
      <c r="B240" s="4"/>
      <c r="C240" s="4" t="s">
        <v>1154</v>
      </c>
      <c r="D240" s="4" t="s">
        <v>1167</v>
      </c>
      <c r="E240" s="5" t="s">
        <v>13</v>
      </c>
      <c r="F240" s="6">
        <v>98</v>
      </c>
      <c r="G240" s="6">
        <v>51.58</v>
      </c>
      <c r="H240" s="7">
        <f t="shared" si="57"/>
        <v>0.47367346938775512</v>
      </c>
      <c r="I240" s="7"/>
      <c r="J240" s="7">
        <v>0.35</v>
      </c>
      <c r="K240" s="6">
        <f t="shared" si="58"/>
        <v>63.7</v>
      </c>
      <c r="L240" s="7">
        <f t="shared" si="59"/>
        <v>0.19026687598116176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25" t="s">
        <v>805</v>
      </c>
      <c r="B241" s="4"/>
      <c r="C241" s="4" t="s">
        <v>1123</v>
      </c>
      <c r="D241" s="4" t="s">
        <v>1124</v>
      </c>
      <c r="E241" s="5" t="s">
        <v>13</v>
      </c>
      <c r="F241" s="6">
        <v>14.95</v>
      </c>
      <c r="G241" s="6">
        <v>5</v>
      </c>
      <c r="H241" s="7">
        <f t="shared" si="57"/>
        <v>0.66555183946488294</v>
      </c>
      <c r="I241" s="7"/>
      <c r="J241" s="7">
        <v>0.55000000000000004</v>
      </c>
      <c r="K241" s="6">
        <f t="shared" si="58"/>
        <v>6.7274999999999991</v>
      </c>
      <c r="L241" s="7">
        <f t="shared" si="59"/>
        <v>0.25678186547751758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27" t="s">
        <v>805</v>
      </c>
      <c r="B242" s="8"/>
      <c r="C242" s="8" t="s">
        <v>1133</v>
      </c>
      <c r="D242" s="8" t="s">
        <v>1134</v>
      </c>
      <c r="E242" s="5" t="s">
        <v>13</v>
      </c>
      <c r="F242" s="10">
        <v>14.95</v>
      </c>
      <c r="G242" s="10">
        <v>7.89</v>
      </c>
      <c r="H242" s="11">
        <f t="shared" si="57"/>
        <v>0.47224080267558532</v>
      </c>
      <c r="I242" s="11"/>
      <c r="J242" s="11">
        <v>0.35</v>
      </c>
      <c r="K242" s="10">
        <f t="shared" si="58"/>
        <v>9.7174999999999994</v>
      </c>
      <c r="L242" s="11">
        <f t="shared" si="59"/>
        <v>0.18806277334705424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25" t="s">
        <v>805</v>
      </c>
      <c r="B243" s="4" t="s">
        <v>1203</v>
      </c>
      <c r="C243" s="4" t="s">
        <v>1204</v>
      </c>
      <c r="D243" s="4" t="s">
        <v>1205</v>
      </c>
      <c r="E243" s="5" t="s">
        <v>13</v>
      </c>
      <c r="F243" s="6">
        <v>299.95</v>
      </c>
      <c r="G243" s="6">
        <v>173.68</v>
      </c>
      <c r="H243" s="7">
        <f t="shared" ref="H243:H248" si="60">1-(G243/F243)</f>
        <v>0.42097016169361556</v>
      </c>
      <c r="I243" s="7"/>
      <c r="J243" s="7">
        <v>0.25</v>
      </c>
      <c r="K243" s="6">
        <f t="shared" ref="K243:K248" si="61">F243*(1-J243)</f>
        <v>224.96249999999998</v>
      </c>
      <c r="L243" s="7">
        <f t="shared" ref="L243:L248" si="62">1-(G243/K243)</f>
        <v>0.22796021559148738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25" t="s">
        <v>805</v>
      </c>
      <c r="B244" s="4" t="s">
        <v>1203</v>
      </c>
      <c r="C244" s="4" t="s">
        <v>1206</v>
      </c>
      <c r="D244" s="4" t="s">
        <v>1207</v>
      </c>
      <c r="E244" s="5" t="s">
        <v>13</v>
      </c>
      <c r="F244" s="6">
        <v>299.95</v>
      </c>
      <c r="G244" s="6">
        <v>173.68</v>
      </c>
      <c r="H244" s="7">
        <f t="shared" si="60"/>
        <v>0.42097016169361556</v>
      </c>
      <c r="I244" s="7"/>
      <c r="J244" s="7">
        <v>0.25</v>
      </c>
      <c r="K244" s="6">
        <f t="shared" si="61"/>
        <v>224.96249999999998</v>
      </c>
      <c r="L244" s="7">
        <f t="shared" si="62"/>
        <v>0.22796021559148738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s="135" customFormat="1" ht="12.75" customHeight="1" x14ac:dyDescent="0.3">
      <c r="A245" s="162"/>
      <c r="B245" s="136" t="s">
        <v>1203</v>
      </c>
      <c r="C245" s="136" t="s">
        <v>1208</v>
      </c>
      <c r="D245" s="136" t="s">
        <v>1209</v>
      </c>
      <c r="E245" s="137"/>
      <c r="F245" s="139">
        <v>299.95</v>
      </c>
      <c r="G245" s="139">
        <v>173.68</v>
      </c>
      <c r="H245" s="140">
        <f t="shared" si="60"/>
        <v>0.42097016169361556</v>
      </c>
      <c r="I245" s="140"/>
      <c r="J245" s="140">
        <v>0.25</v>
      </c>
      <c r="K245" s="139">
        <f t="shared" si="61"/>
        <v>224.96249999999998</v>
      </c>
      <c r="L245" s="140">
        <f t="shared" si="62"/>
        <v>0.22796021559148738</v>
      </c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spans="1:26" s="135" customFormat="1" ht="12.75" customHeight="1" x14ac:dyDescent="0.3">
      <c r="A246" s="162"/>
      <c r="B246" s="136"/>
      <c r="C246" s="136" t="s">
        <v>1210</v>
      </c>
      <c r="D246" s="136" t="s">
        <v>1211</v>
      </c>
      <c r="E246" s="137"/>
      <c r="F246" s="139">
        <v>299.95</v>
      </c>
      <c r="G246" s="139">
        <v>173.68</v>
      </c>
      <c r="H246" s="140">
        <f t="shared" si="60"/>
        <v>0.42097016169361556</v>
      </c>
      <c r="I246" s="140"/>
      <c r="J246" s="140">
        <v>0.25</v>
      </c>
      <c r="K246" s="139">
        <f t="shared" si="61"/>
        <v>224.96249999999998</v>
      </c>
      <c r="L246" s="140">
        <f t="shared" si="62"/>
        <v>0.22796021559148738</v>
      </c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spans="1:26" s="135" customFormat="1" ht="12.75" customHeight="1" x14ac:dyDescent="0.3">
      <c r="A247" s="162"/>
      <c r="B247" s="136"/>
      <c r="C247" s="136" t="s">
        <v>1212</v>
      </c>
      <c r="D247" s="136" t="s">
        <v>1213</v>
      </c>
      <c r="E247" s="137"/>
      <c r="F247" s="139">
        <v>299.95</v>
      </c>
      <c r="G247" s="139">
        <v>173.68</v>
      </c>
      <c r="H247" s="140">
        <f t="shared" si="60"/>
        <v>0.42097016169361556</v>
      </c>
      <c r="I247" s="140"/>
      <c r="J247" s="140">
        <v>0.25</v>
      </c>
      <c r="K247" s="139">
        <f t="shared" si="61"/>
        <v>224.96249999999998</v>
      </c>
      <c r="L247" s="140">
        <f t="shared" si="62"/>
        <v>0.22796021559148738</v>
      </c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spans="1:26" ht="12.75" customHeight="1" x14ac:dyDescent="0.3">
      <c r="A248" s="25"/>
      <c r="B248" s="4"/>
      <c r="C248" s="4" t="s">
        <v>1214</v>
      </c>
      <c r="D248" s="4" t="s">
        <v>1215</v>
      </c>
      <c r="E248" s="5"/>
      <c r="F248" s="6">
        <v>299.95</v>
      </c>
      <c r="G248" s="6">
        <v>173.68</v>
      </c>
      <c r="H248" s="7">
        <f t="shared" si="60"/>
        <v>0.42097016169361556</v>
      </c>
      <c r="I248" s="7"/>
      <c r="J248" s="7">
        <v>0.25</v>
      </c>
      <c r="K248" s="6">
        <f t="shared" si="61"/>
        <v>224.96249999999998</v>
      </c>
      <c r="L248" s="7">
        <f t="shared" si="62"/>
        <v>0.22796021559148738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25" t="s">
        <v>805</v>
      </c>
      <c r="B249" s="4"/>
      <c r="C249" s="4" t="s">
        <v>1165</v>
      </c>
      <c r="D249" s="4" t="s">
        <v>1216</v>
      </c>
      <c r="E249" s="5" t="s">
        <v>13</v>
      </c>
      <c r="F249" s="6">
        <v>4.95</v>
      </c>
      <c r="G249" s="6">
        <v>2.63</v>
      </c>
      <c r="H249" s="7">
        <f t="shared" ref="H249:H256" si="63">1-(G249/F249)</f>
        <v>0.46868686868686871</v>
      </c>
      <c r="I249" s="7"/>
      <c r="J249" s="7">
        <v>0.35</v>
      </c>
      <c r="K249" s="6">
        <f t="shared" ref="K249:K256" si="64">F249*(1-J249)</f>
        <v>3.2175000000000002</v>
      </c>
      <c r="L249" s="7">
        <f t="shared" ref="L249:L256" si="65">1-(G249/K249)</f>
        <v>0.1825951825951827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25" t="s">
        <v>805</v>
      </c>
      <c r="B250" s="4"/>
      <c r="C250" s="4" t="s">
        <v>1217</v>
      </c>
      <c r="D250" s="4" t="s">
        <v>1218</v>
      </c>
      <c r="E250" s="5" t="s">
        <v>13</v>
      </c>
      <c r="F250" s="6">
        <v>4.95</v>
      </c>
      <c r="G250" s="6">
        <v>2.63</v>
      </c>
      <c r="H250" s="7">
        <f t="shared" si="63"/>
        <v>0.46868686868686871</v>
      </c>
      <c r="I250" s="7"/>
      <c r="J250" s="7">
        <v>0.35</v>
      </c>
      <c r="K250" s="6">
        <f t="shared" si="64"/>
        <v>3.2175000000000002</v>
      </c>
      <c r="L250" s="7">
        <f t="shared" si="65"/>
        <v>0.1825951825951827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25" t="s">
        <v>805</v>
      </c>
      <c r="B251" s="4"/>
      <c r="C251" s="4" t="s">
        <v>1219</v>
      </c>
      <c r="D251" s="4" t="s">
        <v>1220</v>
      </c>
      <c r="E251" s="5" t="s">
        <v>13</v>
      </c>
      <c r="F251" s="6">
        <v>4.95</v>
      </c>
      <c r="G251" s="6">
        <v>2.63</v>
      </c>
      <c r="H251" s="7">
        <f t="shared" si="63"/>
        <v>0.46868686868686871</v>
      </c>
      <c r="I251" s="7"/>
      <c r="J251" s="7">
        <v>0.35</v>
      </c>
      <c r="K251" s="6">
        <f t="shared" si="64"/>
        <v>3.2175000000000002</v>
      </c>
      <c r="L251" s="7">
        <f t="shared" si="65"/>
        <v>0.1825951825951827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25" t="s">
        <v>805</v>
      </c>
      <c r="B252" s="4"/>
      <c r="C252" s="4" t="s">
        <v>1221</v>
      </c>
      <c r="D252" s="4" t="s">
        <v>1222</v>
      </c>
      <c r="E252" s="5" t="s">
        <v>13</v>
      </c>
      <c r="F252" s="6">
        <v>4.95</v>
      </c>
      <c r="G252" s="6">
        <v>2.63</v>
      </c>
      <c r="H252" s="7">
        <f t="shared" si="63"/>
        <v>0.46868686868686871</v>
      </c>
      <c r="I252" s="7"/>
      <c r="J252" s="7">
        <v>0.35</v>
      </c>
      <c r="K252" s="6">
        <f t="shared" si="64"/>
        <v>3.2175000000000002</v>
      </c>
      <c r="L252" s="7">
        <f t="shared" si="65"/>
        <v>0.1825951825951827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s="135" customFormat="1" ht="12.75" customHeight="1" x14ac:dyDescent="0.3">
      <c r="A253" s="162" t="s">
        <v>805</v>
      </c>
      <c r="B253" s="136"/>
      <c r="C253" s="136" t="s">
        <v>1146</v>
      </c>
      <c r="D253" s="136" t="s">
        <v>1185</v>
      </c>
      <c r="E253" s="137" t="s">
        <v>13</v>
      </c>
      <c r="F253" s="139">
        <v>98</v>
      </c>
      <c r="G253" s="139">
        <v>51.58</v>
      </c>
      <c r="H253" s="140">
        <f t="shared" si="63"/>
        <v>0.47367346938775512</v>
      </c>
      <c r="I253" s="140"/>
      <c r="J253" s="140">
        <v>0.35</v>
      </c>
      <c r="K253" s="139">
        <f t="shared" si="64"/>
        <v>63.7</v>
      </c>
      <c r="L253" s="140">
        <f t="shared" si="65"/>
        <v>0.19026687598116176</v>
      </c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spans="1:26" ht="12.75" customHeight="1" x14ac:dyDescent="0.3">
      <c r="A254" s="25" t="s">
        <v>805</v>
      </c>
      <c r="B254" s="4"/>
      <c r="C254" s="4" t="s">
        <v>1154</v>
      </c>
      <c r="D254" s="4" t="s">
        <v>1167</v>
      </c>
      <c r="E254" s="5" t="s">
        <v>13</v>
      </c>
      <c r="F254" s="6">
        <v>98</v>
      </c>
      <c r="G254" s="6">
        <v>51.58</v>
      </c>
      <c r="H254" s="7">
        <f t="shared" si="63"/>
        <v>0.47367346938775512</v>
      </c>
      <c r="I254" s="7"/>
      <c r="J254" s="7">
        <v>0.35</v>
      </c>
      <c r="K254" s="6">
        <f t="shared" si="64"/>
        <v>63.7</v>
      </c>
      <c r="L254" s="7">
        <f t="shared" si="65"/>
        <v>0.19026687598116176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25" t="s">
        <v>805</v>
      </c>
      <c r="B255" s="4"/>
      <c r="C255" s="4" t="s">
        <v>1123</v>
      </c>
      <c r="D255" s="4" t="s">
        <v>1223</v>
      </c>
      <c r="E255" s="5" t="s">
        <v>13</v>
      </c>
      <c r="F255" s="6">
        <v>14.95</v>
      </c>
      <c r="G255" s="6">
        <v>5</v>
      </c>
      <c r="H255" s="7">
        <f t="shared" si="63"/>
        <v>0.66555183946488294</v>
      </c>
      <c r="I255" s="7"/>
      <c r="J255" s="7">
        <v>0.55000000000000004</v>
      </c>
      <c r="K255" s="6">
        <f t="shared" si="64"/>
        <v>6.7274999999999991</v>
      </c>
      <c r="L255" s="7">
        <f t="shared" si="65"/>
        <v>0.25678186547751758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27" t="s">
        <v>805</v>
      </c>
      <c r="B256" s="8"/>
      <c r="C256" s="8" t="s">
        <v>1133</v>
      </c>
      <c r="D256" s="8" t="s">
        <v>1224</v>
      </c>
      <c r="E256" s="9" t="s">
        <v>13</v>
      </c>
      <c r="F256" s="10">
        <v>14.95</v>
      </c>
      <c r="G256" s="10">
        <v>7.89</v>
      </c>
      <c r="H256" s="11">
        <f t="shared" si="63"/>
        <v>0.47224080267558532</v>
      </c>
      <c r="I256" s="11"/>
      <c r="J256" s="11">
        <v>0.35</v>
      </c>
      <c r="K256" s="10">
        <f t="shared" si="64"/>
        <v>9.7174999999999994</v>
      </c>
      <c r="L256" s="11">
        <f t="shared" si="65"/>
        <v>0.18806277334705424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s="135" customFormat="1" ht="12.75" customHeight="1" x14ac:dyDescent="0.3">
      <c r="A257" s="162" t="s">
        <v>805</v>
      </c>
      <c r="B257" s="136" t="s">
        <v>1225</v>
      </c>
      <c r="C257" s="136" t="s">
        <v>1226</v>
      </c>
      <c r="D257" s="136" t="s">
        <v>1227</v>
      </c>
      <c r="E257" s="137" t="s">
        <v>13</v>
      </c>
      <c r="F257" s="139">
        <v>379.95</v>
      </c>
      <c r="G257" s="139">
        <v>220</v>
      </c>
      <c r="H257" s="140">
        <f t="shared" ref="H257:H258" si="66">1-(G257/F257)</f>
        <v>0.42097644426898273</v>
      </c>
      <c r="I257" s="140"/>
      <c r="J257" s="140">
        <v>0.3</v>
      </c>
      <c r="K257" s="139">
        <f t="shared" ref="K257:K258" si="67">F257*(1-J257)</f>
        <v>265.96499999999997</v>
      </c>
      <c r="L257" s="140">
        <f t="shared" ref="L257:L258" si="68">1-(G257/K257)</f>
        <v>0.17282349181283241</v>
      </c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spans="1:26" s="135" customFormat="1" ht="12.75" customHeight="1" x14ac:dyDescent="0.3">
      <c r="A258" s="163" t="s">
        <v>805</v>
      </c>
      <c r="B258" s="143"/>
      <c r="C258" s="143" t="s">
        <v>1228</v>
      </c>
      <c r="D258" s="143" t="s">
        <v>1229</v>
      </c>
      <c r="E258" s="144" t="s">
        <v>13</v>
      </c>
      <c r="F258" s="146">
        <v>379.95</v>
      </c>
      <c r="G258" s="146">
        <v>220</v>
      </c>
      <c r="H258" s="147">
        <f t="shared" si="66"/>
        <v>0.42097644426898273</v>
      </c>
      <c r="I258" s="147"/>
      <c r="J258" s="147">
        <v>0.3</v>
      </c>
      <c r="K258" s="146">
        <f t="shared" si="67"/>
        <v>265.96499999999997</v>
      </c>
      <c r="L258" s="147">
        <f t="shared" si="68"/>
        <v>0.17282349181283241</v>
      </c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spans="1:26" s="135" customFormat="1" ht="12.75" customHeight="1" x14ac:dyDescent="0.3">
      <c r="A259" s="162" t="s">
        <v>805</v>
      </c>
      <c r="B259" s="136"/>
      <c r="C259" s="136" t="s">
        <v>1146</v>
      </c>
      <c r="D259" s="136" t="s">
        <v>1230</v>
      </c>
      <c r="E259" s="137" t="s">
        <v>13</v>
      </c>
      <c r="F259" s="139">
        <v>98</v>
      </c>
      <c r="G259" s="139">
        <v>51.58</v>
      </c>
      <c r="H259" s="140">
        <f t="shared" ref="H259:H262" si="69">1-(G259/F259)</f>
        <v>0.47367346938775512</v>
      </c>
      <c r="I259" s="140"/>
      <c r="J259" s="140">
        <v>0.35</v>
      </c>
      <c r="K259" s="139">
        <f t="shared" ref="K259:K262" si="70">F259*(1-J259)</f>
        <v>63.7</v>
      </c>
      <c r="L259" s="140">
        <f t="shared" ref="L259:L262" si="71">1-(G259/K259)</f>
        <v>0.19026687598116176</v>
      </c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spans="1:26" ht="12.75" customHeight="1" x14ac:dyDescent="0.3">
      <c r="A260" s="25" t="s">
        <v>805</v>
      </c>
      <c r="B260" s="4"/>
      <c r="C260" s="4" t="s">
        <v>1154</v>
      </c>
      <c r="D260" s="4" t="s">
        <v>1167</v>
      </c>
      <c r="E260" s="5" t="s">
        <v>13</v>
      </c>
      <c r="F260" s="6">
        <v>98</v>
      </c>
      <c r="G260" s="6">
        <v>51.58</v>
      </c>
      <c r="H260" s="7">
        <f t="shared" si="69"/>
        <v>0.47367346938775512</v>
      </c>
      <c r="I260" s="7"/>
      <c r="J260" s="7">
        <v>0.35</v>
      </c>
      <c r="K260" s="6">
        <f t="shared" si="70"/>
        <v>63.7</v>
      </c>
      <c r="L260" s="7">
        <f t="shared" si="71"/>
        <v>0.19026687598116176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25" t="s">
        <v>805</v>
      </c>
      <c r="B261" s="4"/>
      <c r="C261" s="4" t="s">
        <v>1123</v>
      </c>
      <c r="D261" s="4" t="s">
        <v>1223</v>
      </c>
      <c r="E261" s="5" t="s">
        <v>13</v>
      </c>
      <c r="F261" s="6">
        <v>14.95</v>
      </c>
      <c r="G261" s="6">
        <v>5</v>
      </c>
      <c r="H261" s="7">
        <f t="shared" si="69"/>
        <v>0.66555183946488294</v>
      </c>
      <c r="I261" s="7"/>
      <c r="J261" s="7">
        <v>0.55000000000000004</v>
      </c>
      <c r="K261" s="6">
        <f t="shared" si="70"/>
        <v>6.7274999999999991</v>
      </c>
      <c r="L261" s="7">
        <f t="shared" si="71"/>
        <v>0.25678186547751758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27" t="s">
        <v>805</v>
      </c>
      <c r="B262" s="8"/>
      <c r="C262" s="8" t="s">
        <v>1133</v>
      </c>
      <c r="D262" s="8" t="s">
        <v>1224</v>
      </c>
      <c r="E262" s="9" t="s">
        <v>13</v>
      </c>
      <c r="F262" s="10">
        <v>14.95</v>
      </c>
      <c r="G262" s="10">
        <v>7.89</v>
      </c>
      <c r="H262" s="11">
        <f t="shared" si="69"/>
        <v>0.47224080267558532</v>
      </c>
      <c r="I262" s="11"/>
      <c r="J262" s="11">
        <v>0.35</v>
      </c>
      <c r="K262" s="10">
        <f t="shared" si="70"/>
        <v>9.7174999999999994</v>
      </c>
      <c r="L262" s="11">
        <f t="shared" si="71"/>
        <v>0.18806277334705424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s="135" customFormat="1" ht="12.75" customHeight="1" x14ac:dyDescent="0.3">
      <c r="A263" s="163" t="s">
        <v>805</v>
      </c>
      <c r="B263" s="143" t="s">
        <v>1231</v>
      </c>
      <c r="C263" s="143" t="s">
        <v>1232</v>
      </c>
      <c r="D263" s="143" t="s">
        <v>1233</v>
      </c>
      <c r="E263" s="144" t="s">
        <v>13</v>
      </c>
      <c r="F263" s="146">
        <v>79.95</v>
      </c>
      <c r="G263" s="146">
        <v>45.26</v>
      </c>
      <c r="H263" s="147">
        <f>1-(G263/F263)</f>
        <v>0.43389618511569739</v>
      </c>
      <c r="I263" s="147"/>
      <c r="J263" s="147">
        <v>0.3</v>
      </c>
      <c r="K263" s="146">
        <f>F263*(1-J263)</f>
        <v>55.964999999999996</v>
      </c>
      <c r="L263" s="147">
        <f>1-(G263/K263)</f>
        <v>0.19128026445099611</v>
      </c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spans="1:26" ht="12.75" customHeight="1" x14ac:dyDescent="0.3">
      <c r="A264" s="25" t="s">
        <v>805</v>
      </c>
      <c r="B264" s="4"/>
      <c r="C264" s="4" t="s">
        <v>1234</v>
      </c>
      <c r="D264" s="4" t="s">
        <v>1235</v>
      </c>
      <c r="E264" s="5" t="s">
        <v>13</v>
      </c>
      <c r="F264" s="6">
        <v>4.95</v>
      </c>
      <c r="G264" s="6">
        <v>2.63</v>
      </c>
      <c r="H264" s="7">
        <f t="shared" ref="H264:H265" si="72">1-(G264/F264)</f>
        <v>0.46868686868686871</v>
      </c>
      <c r="I264" s="7"/>
      <c r="J264" s="7">
        <v>0.35</v>
      </c>
      <c r="K264" s="6">
        <f t="shared" ref="K264:K265" si="73">F264*(1-J264)</f>
        <v>3.2175000000000002</v>
      </c>
      <c r="L264" s="7">
        <f t="shared" ref="L264:L265" si="74">1-(G264/K264)</f>
        <v>0.1825951825951827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27" t="s">
        <v>805</v>
      </c>
      <c r="B265" s="8"/>
      <c r="C265" s="8" t="s">
        <v>1236</v>
      </c>
      <c r="D265" s="8" t="s">
        <v>1237</v>
      </c>
      <c r="E265" s="5" t="s">
        <v>13</v>
      </c>
      <c r="F265" s="10">
        <v>9.9499999999999993</v>
      </c>
      <c r="G265" s="10">
        <v>5.26</v>
      </c>
      <c r="H265" s="11">
        <f t="shared" si="72"/>
        <v>0.47135678391959801</v>
      </c>
      <c r="I265" s="11"/>
      <c r="J265" s="11">
        <v>0.35</v>
      </c>
      <c r="K265" s="10">
        <f t="shared" si="73"/>
        <v>6.4674999999999994</v>
      </c>
      <c r="L265" s="11">
        <f t="shared" si="74"/>
        <v>0.18670274449168922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26" t="s">
        <v>805</v>
      </c>
      <c r="B266" s="19" t="s">
        <v>1238</v>
      </c>
      <c r="C266" s="19" t="s">
        <v>1239</v>
      </c>
      <c r="D266" s="19" t="s">
        <v>1240</v>
      </c>
      <c r="E266" s="20" t="s">
        <v>13</v>
      </c>
      <c r="F266" s="22">
        <v>29.95</v>
      </c>
      <c r="G266" s="22">
        <v>16.84</v>
      </c>
      <c r="H266" s="23">
        <f>1-(G266/F266)</f>
        <v>0.43772954924874785</v>
      </c>
      <c r="I266" s="23"/>
      <c r="J266" s="23">
        <v>0.3</v>
      </c>
      <c r="K266" s="22">
        <f>F266*(1-J266)</f>
        <v>20.965</v>
      </c>
      <c r="L266" s="23">
        <f>1-(G266/K266)</f>
        <v>0.19675649892678271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27" t="s">
        <v>805</v>
      </c>
      <c r="B267" s="8"/>
      <c r="C267" s="8" t="s">
        <v>1241</v>
      </c>
      <c r="D267" s="8" t="s">
        <v>1242</v>
      </c>
      <c r="E267" s="9" t="s">
        <v>13</v>
      </c>
      <c r="F267" s="10">
        <v>19.95</v>
      </c>
      <c r="G267" s="10">
        <v>10.53</v>
      </c>
      <c r="H267" s="11">
        <f>1-(G267/F267)</f>
        <v>0.47218045112781959</v>
      </c>
      <c r="I267" s="11"/>
      <c r="J267" s="11">
        <v>0.35</v>
      </c>
      <c r="K267" s="10">
        <f>F267*(1-J267)</f>
        <v>12.967499999999999</v>
      </c>
      <c r="L267" s="11">
        <f>1-(G267/K267)</f>
        <v>0.18796992481203012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25" t="s">
        <v>805</v>
      </c>
      <c r="B268" s="4" t="s">
        <v>1243</v>
      </c>
      <c r="C268" s="4" t="s">
        <v>1244</v>
      </c>
      <c r="D268" s="4" t="s">
        <v>1245</v>
      </c>
      <c r="E268" s="5" t="s">
        <v>13</v>
      </c>
      <c r="F268" s="6">
        <v>99.95</v>
      </c>
      <c r="G268" s="6">
        <v>52.11</v>
      </c>
      <c r="H268" s="7">
        <f t="shared" ref="H268:H272" si="75">1-(G268/F268)</f>
        <v>0.47863931965982998</v>
      </c>
      <c r="I268" s="7"/>
      <c r="J268" s="7">
        <v>0.35</v>
      </c>
      <c r="K268" s="6">
        <f t="shared" ref="K268:K272" si="76">F268*(1-J268)</f>
        <v>64.967500000000001</v>
      </c>
      <c r="L268" s="7">
        <f t="shared" ref="L268:L272" si="77">1-(G268/K268)</f>
        <v>0.19790664563050764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25" t="s">
        <v>805</v>
      </c>
      <c r="B269" s="4" t="s">
        <v>1246</v>
      </c>
      <c r="C269" s="4" t="s">
        <v>1247</v>
      </c>
      <c r="D269" s="4" t="s">
        <v>1248</v>
      </c>
      <c r="E269" s="5" t="s">
        <v>13</v>
      </c>
      <c r="F269" s="6">
        <v>149.94999999999999</v>
      </c>
      <c r="G269" s="6">
        <v>97.89</v>
      </c>
      <c r="H269" s="7">
        <f t="shared" si="75"/>
        <v>0.34718239413137708</v>
      </c>
      <c r="I269" s="7"/>
      <c r="J269" s="7">
        <v>0.2</v>
      </c>
      <c r="K269" s="6">
        <f t="shared" si="76"/>
        <v>119.96</v>
      </c>
      <c r="L269" s="7">
        <f t="shared" si="77"/>
        <v>0.18397799266422132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s="135" customFormat="1" ht="12.75" customHeight="1" x14ac:dyDescent="0.3">
      <c r="A270" s="162" t="s">
        <v>805</v>
      </c>
      <c r="B270" s="136" t="s">
        <v>1249</v>
      </c>
      <c r="C270" s="136" t="s">
        <v>1250</v>
      </c>
      <c r="D270" s="136" t="s">
        <v>1251</v>
      </c>
      <c r="E270" s="137"/>
      <c r="F270" s="139">
        <v>179.95</v>
      </c>
      <c r="G270" s="139">
        <v>117.47</v>
      </c>
      <c r="H270" s="140">
        <f t="shared" si="75"/>
        <v>0.34720755765490408</v>
      </c>
      <c r="I270" s="140"/>
      <c r="J270" s="140">
        <v>0.2</v>
      </c>
      <c r="K270" s="139">
        <f t="shared" si="76"/>
        <v>143.96</v>
      </c>
      <c r="L270" s="140">
        <f t="shared" si="77"/>
        <v>0.18400944706863021</v>
      </c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spans="1:26" ht="12.75" customHeight="1" x14ac:dyDescent="0.3">
      <c r="A271" s="25"/>
      <c r="B271" s="4" t="s">
        <v>1252</v>
      </c>
      <c r="C271" s="4" t="s">
        <v>1253</v>
      </c>
      <c r="D271" s="4" t="s">
        <v>1254</v>
      </c>
      <c r="E271" s="5"/>
      <c r="F271" s="6">
        <v>179.95</v>
      </c>
      <c r="G271" s="6">
        <v>117.47</v>
      </c>
      <c r="H271" s="7">
        <f t="shared" si="75"/>
        <v>0.34720755765490408</v>
      </c>
      <c r="I271" s="7"/>
      <c r="J271" s="7">
        <v>0.2</v>
      </c>
      <c r="K271" s="6">
        <f t="shared" si="76"/>
        <v>143.96</v>
      </c>
      <c r="L271" s="7">
        <f t="shared" si="77"/>
        <v>0.18400944706863021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26" t="s">
        <v>805</v>
      </c>
      <c r="B272" s="19" t="s">
        <v>1255</v>
      </c>
      <c r="C272" s="19" t="s">
        <v>1256</v>
      </c>
      <c r="D272" s="19" t="s">
        <v>1248</v>
      </c>
      <c r="E272" s="20" t="s">
        <v>13</v>
      </c>
      <c r="F272" s="22">
        <v>99.95</v>
      </c>
      <c r="G272" s="22">
        <v>65.260000000000005</v>
      </c>
      <c r="H272" s="23">
        <f t="shared" si="75"/>
        <v>0.34707353676838415</v>
      </c>
      <c r="I272" s="23"/>
      <c r="J272" s="23">
        <v>0.2</v>
      </c>
      <c r="K272" s="22">
        <f t="shared" si="76"/>
        <v>79.960000000000008</v>
      </c>
      <c r="L272" s="23">
        <f t="shared" si="77"/>
        <v>0.18384192096048024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25" t="s">
        <v>805</v>
      </c>
      <c r="B273" s="4"/>
      <c r="C273" s="25" t="s">
        <v>1257</v>
      </c>
      <c r="D273" s="4" t="s">
        <v>1258</v>
      </c>
      <c r="E273" s="5" t="s">
        <v>13</v>
      </c>
      <c r="F273" s="6">
        <v>19.95</v>
      </c>
      <c r="G273" s="6">
        <v>10.53</v>
      </c>
      <c r="H273" s="7">
        <f t="shared" ref="H273:H280" si="78">1-(G273/F273)</f>
        <v>0.47218045112781959</v>
      </c>
      <c r="I273" s="7"/>
      <c r="J273" s="7">
        <v>0.35</v>
      </c>
      <c r="K273" s="6">
        <f t="shared" ref="K273:K280" si="79">F273*(1-J273)</f>
        <v>12.967499999999999</v>
      </c>
      <c r="L273" s="7">
        <f t="shared" ref="L273:L280" si="80">1-(G273/K273)</f>
        <v>0.18796992481203012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25" t="s">
        <v>805</v>
      </c>
      <c r="B274" s="4"/>
      <c r="C274" s="4" t="s">
        <v>1259</v>
      </c>
      <c r="D274" s="4" t="s">
        <v>1260</v>
      </c>
      <c r="E274" s="5" t="s">
        <v>13</v>
      </c>
      <c r="F274" s="6">
        <v>19.95</v>
      </c>
      <c r="G274" s="6">
        <v>7.89</v>
      </c>
      <c r="H274" s="7">
        <f t="shared" si="78"/>
        <v>0.60451127819548867</v>
      </c>
      <c r="I274" s="7"/>
      <c r="J274" s="7">
        <v>0.5</v>
      </c>
      <c r="K274" s="6">
        <f t="shared" si="79"/>
        <v>9.9749999999999996</v>
      </c>
      <c r="L274" s="7">
        <f t="shared" si="80"/>
        <v>0.20902255639097744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25" t="s">
        <v>805</v>
      </c>
      <c r="B275" s="4"/>
      <c r="C275" s="4" t="s">
        <v>1261</v>
      </c>
      <c r="D275" s="4" t="s">
        <v>1262</v>
      </c>
      <c r="E275" s="5" t="s">
        <v>13</v>
      </c>
      <c r="F275" s="6">
        <v>7.95</v>
      </c>
      <c r="G275" s="6">
        <v>2.63</v>
      </c>
      <c r="H275" s="7">
        <f t="shared" si="78"/>
        <v>0.66918238993710699</v>
      </c>
      <c r="I275" s="7"/>
      <c r="J275" s="7">
        <v>0.55000000000000004</v>
      </c>
      <c r="K275" s="6">
        <f t="shared" si="79"/>
        <v>3.5774999999999997</v>
      </c>
      <c r="L275" s="7">
        <f t="shared" si="80"/>
        <v>0.26484975541579314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25" t="s">
        <v>805</v>
      </c>
      <c r="B276" s="4"/>
      <c r="C276" s="4" t="s">
        <v>1263</v>
      </c>
      <c r="D276" s="4" t="s">
        <v>1264</v>
      </c>
      <c r="E276" s="5" t="s">
        <v>13</v>
      </c>
      <c r="F276" s="6">
        <v>4.95</v>
      </c>
      <c r="G276" s="6">
        <v>2.63</v>
      </c>
      <c r="H276" s="7">
        <f t="shared" si="78"/>
        <v>0.46868686868686871</v>
      </c>
      <c r="I276" s="7"/>
      <c r="J276" s="7">
        <v>0.35</v>
      </c>
      <c r="K276" s="6">
        <f t="shared" si="79"/>
        <v>3.2175000000000002</v>
      </c>
      <c r="L276" s="7">
        <f t="shared" si="80"/>
        <v>0.1825951825951827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s="135" customFormat="1" ht="12.75" customHeight="1" x14ac:dyDescent="0.3">
      <c r="A277" s="162" t="s">
        <v>805</v>
      </c>
      <c r="B277" s="136"/>
      <c r="C277" s="136" t="s">
        <v>1265</v>
      </c>
      <c r="D277" s="136" t="s">
        <v>1266</v>
      </c>
      <c r="E277" s="137" t="s">
        <v>13</v>
      </c>
      <c r="F277" s="139">
        <v>24.95</v>
      </c>
      <c r="G277" s="139">
        <v>17.37</v>
      </c>
      <c r="H277" s="140">
        <f t="shared" si="78"/>
        <v>0.30380761523046085</v>
      </c>
      <c r="I277" s="140"/>
      <c r="J277" s="140">
        <v>0</v>
      </c>
      <c r="K277" s="139">
        <f t="shared" si="79"/>
        <v>24.95</v>
      </c>
      <c r="L277" s="140">
        <f t="shared" si="80"/>
        <v>0.30380761523046085</v>
      </c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spans="1:26" s="135" customFormat="1" ht="12.75" customHeight="1" x14ac:dyDescent="0.3">
      <c r="A278" s="162" t="s">
        <v>805</v>
      </c>
      <c r="B278" s="136"/>
      <c r="C278" s="136" t="s">
        <v>1267</v>
      </c>
      <c r="D278" s="136" t="s">
        <v>1268</v>
      </c>
      <c r="E278" s="137" t="s">
        <v>13</v>
      </c>
      <c r="F278" s="139">
        <v>24.95</v>
      </c>
      <c r="G278" s="139">
        <v>17.37</v>
      </c>
      <c r="H278" s="140">
        <f t="shared" si="78"/>
        <v>0.30380761523046085</v>
      </c>
      <c r="I278" s="140"/>
      <c r="J278" s="140">
        <v>0</v>
      </c>
      <c r="K278" s="139">
        <f t="shared" si="79"/>
        <v>24.95</v>
      </c>
      <c r="L278" s="140">
        <f t="shared" si="80"/>
        <v>0.30380761523046085</v>
      </c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spans="1:26" s="135" customFormat="1" ht="12.75" customHeight="1" x14ac:dyDescent="0.3">
      <c r="A279" s="162" t="s">
        <v>805</v>
      </c>
      <c r="B279" s="136"/>
      <c r="C279" s="136" t="s">
        <v>1168</v>
      </c>
      <c r="D279" s="136" t="s">
        <v>1269</v>
      </c>
      <c r="E279" s="137" t="s">
        <v>13</v>
      </c>
      <c r="F279" s="139">
        <v>98</v>
      </c>
      <c r="G279" s="139">
        <v>51.58</v>
      </c>
      <c r="H279" s="140">
        <f t="shared" si="78"/>
        <v>0.47367346938775512</v>
      </c>
      <c r="I279" s="140"/>
      <c r="J279" s="140">
        <v>0.35</v>
      </c>
      <c r="K279" s="139">
        <f t="shared" si="79"/>
        <v>63.7</v>
      </c>
      <c r="L279" s="140">
        <f t="shared" si="80"/>
        <v>0.19026687598116176</v>
      </c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spans="1:26" ht="12.75" customHeight="1" x14ac:dyDescent="0.3">
      <c r="A280" s="27" t="s">
        <v>805</v>
      </c>
      <c r="B280" s="8"/>
      <c r="C280" s="8" t="s">
        <v>1270</v>
      </c>
      <c r="D280" s="8" t="s">
        <v>1271</v>
      </c>
      <c r="E280" s="9" t="s">
        <v>13</v>
      </c>
      <c r="F280" s="10">
        <v>9.9499999999999993</v>
      </c>
      <c r="G280" s="10">
        <v>5.26</v>
      </c>
      <c r="H280" s="11">
        <f t="shared" si="78"/>
        <v>0.47135678391959801</v>
      </c>
      <c r="I280" s="11"/>
      <c r="J280" s="11">
        <v>0.35</v>
      </c>
      <c r="K280" s="10">
        <f t="shared" si="79"/>
        <v>6.4674999999999994</v>
      </c>
      <c r="L280" s="11">
        <f t="shared" si="80"/>
        <v>0.18670274449168922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25" t="s">
        <v>805</v>
      </c>
      <c r="B281" s="4" t="s">
        <v>1272</v>
      </c>
      <c r="C281" s="4" t="s">
        <v>1273</v>
      </c>
      <c r="D281" s="4" t="s">
        <v>1274</v>
      </c>
      <c r="E281" s="5" t="s">
        <v>13</v>
      </c>
      <c r="F281" s="6">
        <v>99.95</v>
      </c>
      <c r="G281" s="6">
        <v>65.260000000000005</v>
      </c>
      <c r="H281" s="7">
        <f t="shared" ref="H281:H282" si="81">1-(G281/F281)</f>
        <v>0.34707353676838415</v>
      </c>
      <c r="I281" s="7"/>
      <c r="J281" s="7">
        <v>0.2</v>
      </c>
      <c r="K281" s="6">
        <f t="shared" ref="K281:K282" si="82">F281*(1-J281)</f>
        <v>79.960000000000008</v>
      </c>
      <c r="L281" s="7">
        <f t="shared" ref="L281:L282" si="83">1-(G281/K281)</f>
        <v>0.18384192096048024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27" t="s">
        <v>805</v>
      </c>
      <c r="B282" s="8" t="s">
        <v>1275</v>
      </c>
      <c r="C282" s="8" t="s">
        <v>1276</v>
      </c>
      <c r="D282" s="8" t="s">
        <v>1277</v>
      </c>
      <c r="E282" s="9" t="s">
        <v>13</v>
      </c>
      <c r="F282" s="10">
        <v>149.94999999999999</v>
      </c>
      <c r="G282" s="10">
        <v>97.89</v>
      </c>
      <c r="H282" s="11">
        <f t="shared" si="81"/>
        <v>0.34718239413137708</v>
      </c>
      <c r="I282" s="11"/>
      <c r="J282" s="11">
        <v>0.2</v>
      </c>
      <c r="K282" s="10">
        <f t="shared" si="82"/>
        <v>119.96</v>
      </c>
      <c r="L282" s="11">
        <f t="shared" si="83"/>
        <v>0.18397799266422132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26" t="s">
        <v>805</v>
      </c>
      <c r="B283" s="19" t="s">
        <v>1278</v>
      </c>
      <c r="C283" s="19" t="s">
        <v>1279</v>
      </c>
      <c r="D283" s="19" t="s">
        <v>1280</v>
      </c>
      <c r="E283" s="20" t="s">
        <v>13</v>
      </c>
      <c r="F283" s="22">
        <v>159.94999999999999</v>
      </c>
      <c r="G283" s="22">
        <v>84.21</v>
      </c>
      <c r="H283" s="23">
        <f>1-(G283/F283)</f>
        <v>0.47352297592997816</v>
      </c>
      <c r="I283" s="23"/>
      <c r="J283" s="23">
        <v>0.35</v>
      </c>
      <c r="K283" s="22">
        <f>F283*(1-J283)</f>
        <v>103.9675</v>
      </c>
      <c r="L283" s="23">
        <f>1-(G283/K283)</f>
        <v>0.19003534758458174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25" t="s">
        <v>805</v>
      </c>
      <c r="B284" s="4"/>
      <c r="C284" s="4" t="s">
        <v>1281</v>
      </c>
      <c r="D284" s="4" t="s">
        <v>535</v>
      </c>
      <c r="E284" s="5" t="s">
        <v>13</v>
      </c>
      <c r="F284" s="6">
        <v>14.95</v>
      </c>
      <c r="G284" s="6">
        <v>7.89</v>
      </c>
      <c r="H284" s="7">
        <f t="shared" ref="H284:H290" si="84">1-(G284/F284)</f>
        <v>0.47224080267558532</v>
      </c>
      <c r="I284" s="7"/>
      <c r="J284" s="7">
        <v>0.35</v>
      </c>
      <c r="K284" s="6">
        <f t="shared" ref="K284:K290" si="85">F284*(1-J284)</f>
        <v>9.7174999999999994</v>
      </c>
      <c r="L284" s="7">
        <f t="shared" ref="L284:L290" si="86">1-(G284/K284)</f>
        <v>0.18806277334705424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25" t="s">
        <v>805</v>
      </c>
      <c r="B285" s="4"/>
      <c r="C285" s="4" t="s">
        <v>1282</v>
      </c>
      <c r="D285" s="4" t="s">
        <v>1283</v>
      </c>
      <c r="E285" s="5" t="s">
        <v>13</v>
      </c>
      <c r="F285" s="6">
        <v>4.95</v>
      </c>
      <c r="G285" s="6">
        <v>2.63</v>
      </c>
      <c r="H285" s="7">
        <f t="shared" si="84"/>
        <v>0.46868686868686871</v>
      </c>
      <c r="I285" s="7"/>
      <c r="J285" s="7">
        <v>0.35</v>
      </c>
      <c r="K285" s="6">
        <f t="shared" si="85"/>
        <v>3.2175000000000002</v>
      </c>
      <c r="L285" s="7">
        <f t="shared" si="86"/>
        <v>0.1825951825951827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25" t="s">
        <v>805</v>
      </c>
      <c r="B286" s="4"/>
      <c r="C286" s="4" t="s">
        <v>1284</v>
      </c>
      <c r="D286" s="4" t="s">
        <v>1285</v>
      </c>
      <c r="E286" s="5" t="s">
        <v>13</v>
      </c>
      <c r="F286" s="6">
        <v>4.95</v>
      </c>
      <c r="G286" s="6">
        <v>1.68</v>
      </c>
      <c r="H286" s="7">
        <f t="shared" si="84"/>
        <v>0.66060606060606064</v>
      </c>
      <c r="I286" s="7"/>
      <c r="J286" s="7">
        <v>0.55000000000000004</v>
      </c>
      <c r="K286" s="6">
        <f t="shared" si="85"/>
        <v>2.2275</v>
      </c>
      <c r="L286" s="7">
        <f t="shared" si="86"/>
        <v>0.24579124579124578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25" t="s">
        <v>805</v>
      </c>
      <c r="B287" s="4"/>
      <c r="C287" s="4" t="s">
        <v>1286</v>
      </c>
      <c r="D287" s="4" t="s">
        <v>1287</v>
      </c>
      <c r="E287" s="5" t="s">
        <v>13</v>
      </c>
      <c r="F287" s="6">
        <v>29.95</v>
      </c>
      <c r="G287" s="6">
        <v>15.79</v>
      </c>
      <c r="H287" s="7">
        <f t="shared" si="84"/>
        <v>0.47278797996661104</v>
      </c>
      <c r="I287" s="7"/>
      <c r="J287" s="7">
        <v>0.35</v>
      </c>
      <c r="K287" s="6">
        <f t="shared" si="85"/>
        <v>19.467500000000001</v>
      </c>
      <c r="L287" s="7">
        <f t="shared" si="86"/>
        <v>0.18890458456401704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25" t="s">
        <v>805</v>
      </c>
      <c r="B288" s="4"/>
      <c r="C288" s="4" t="s">
        <v>1288</v>
      </c>
      <c r="D288" s="4" t="s">
        <v>1289</v>
      </c>
      <c r="E288" s="5" t="s">
        <v>13</v>
      </c>
      <c r="F288" s="6">
        <v>4.95</v>
      </c>
      <c r="G288" s="6">
        <v>2.63</v>
      </c>
      <c r="H288" s="7">
        <f t="shared" si="84"/>
        <v>0.46868686868686871</v>
      </c>
      <c r="I288" s="7"/>
      <c r="J288" s="7">
        <v>0.35</v>
      </c>
      <c r="K288" s="6">
        <f t="shared" si="85"/>
        <v>3.2175000000000002</v>
      </c>
      <c r="L288" s="7">
        <f t="shared" si="86"/>
        <v>0.1825951825951827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25" t="s">
        <v>805</v>
      </c>
      <c r="B289" s="4"/>
      <c r="C289" s="4" t="s">
        <v>1290</v>
      </c>
      <c r="D289" s="4" t="s">
        <v>1291</v>
      </c>
      <c r="E289" s="5" t="s">
        <v>13</v>
      </c>
      <c r="F289" s="6">
        <v>4.95</v>
      </c>
      <c r="G289" s="6">
        <v>2.63</v>
      </c>
      <c r="H289" s="7">
        <f t="shared" si="84"/>
        <v>0.46868686868686871</v>
      </c>
      <c r="I289" s="7"/>
      <c r="J289" s="7">
        <v>0.35</v>
      </c>
      <c r="K289" s="6">
        <f t="shared" si="85"/>
        <v>3.2175000000000002</v>
      </c>
      <c r="L289" s="7">
        <f t="shared" si="86"/>
        <v>0.1825951825951827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27" t="s">
        <v>805</v>
      </c>
      <c r="B290" s="8"/>
      <c r="C290" s="8" t="s">
        <v>1292</v>
      </c>
      <c r="D290" s="8" t="s">
        <v>1293</v>
      </c>
      <c r="E290" s="9" t="s">
        <v>13</v>
      </c>
      <c r="F290" s="10">
        <v>14.95</v>
      </c>
      <c r="G290" s="10">
        <v>7.89</v>
      </c>
      <c r="H290" s="11">
        <f t="shared" si="84"/>
        <v>0.47224080267558532</v>
      </c>
      <c r="I290" s="11"/>
      <c r="J290" s="11">
        <v>0.35</v>
      </c>
      <c r="K290" s="10">
        <f t="shared" si="85"/>
        <v>9.7174999999999994</v>
      </c>
      <c r="L290" s="11">
        <f t="shared" si="86"/>
        <v>0.18806277334705424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25" t="s">
        <v>805</v>
      </c>
      <c r="B291" s="4" t="s">
        <v>1294</v>
      </c>
      <c r="C291" s="4" t="s">
        <v>1295</v>
      </c>
      <c r="D291" s="4" t="s">
        <v>1296</v>
      </c>
      <c r="E291" s="5" t="s">
        <v>13</v>
      </c>
      <c r="F291" s="6">
        <v>34.950000000000003</v>
      </c>
      <c r="G291" s="6">
        <v>22.84</v>
      </c>
      <c r="H291" s="7">
        <f t="shared" ref="H291:H295" si="87">1-(G291/F291)</f>
        <v>0.3464949928469242</v>
      </c>
      <c r="I291" s="7"/>
      <c r="J291" s="7">
        <v>0.2</v>
      </c>
      <c r="K291" s="6">
        <f t="shared" ref="K291:K295" si="88">F291*(1-J291)</f>
        <v>27.960000000000004</v>
      </c>
      <c r="L291" s="7">
        <f t="shared" ref="L291:L295" si="89">1-(G291/K291)</f>
        <v>0.18311874105865533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135" customFormat="1" ht="12.75" customHeight="1" x14ac:dyDescent="0.3">
      <c r="A292" s="162"/>
      <c r="B292" s="136"/>
      <c r="C292" s="136" t="s">
        <v>1297</v>
      </c>
      <c r="D292" s="136" t="s">
        <v>1298</v>
      </c>
      <c r="E292" s="137"/>
      <c r="F292" s="139">
        <v>74.95</v>
      </c>
      <c r="G292" s="139">
        <v>48.95</v>
      </c>
      <c r="H292" s="140">
        <f t="shared" si="87"/>
        <v>0.34689793195463636</v>
      </c>
      <c r="I292" s="140"/>
      <c r="J292" s="140">
        <v>0.2</v>
      </c>
      <c r="K292" s="139">
        <f t="shared" si="88"/>
        <v>59.960000000000008</v>
      </c>
      <c r="L292" s="140">
        <f t="shared" si="89"/>
        <v>0.18362241494329556</v>
      </c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spans="1:26" s="135" customFormat="1" ht="12.75" customHeight="1" x14ac:dyDescent="0.3">
      <c r="A293" s="162"/>
      <c r="B293" s="136"/>
      <c r="C293" s="136" t="s">
        <v>1299</v>
      </c>
      <c r="D293" s="136" t="s">
        <v>1300</v>
      </c>
      <c r="E293" s="137"/>
      <c r="F293" s="139">
        <v>79.95</v>
      </c>
      <c r="G293" s="139">
        <v>52.21</v>
      </c>
      <c r="H293" s="140">
        <f t="shared" si="87"/>
        <v>0.34696685428392748</v>
      </c>
      <c r="I293" s="140"/>
      <c r="J293" s="140">
        <v>0.2</v>
      </c>
      <c r="K293" s="139">
        <f t="shared" si="88"/>
        <v>63.960000000000008</v>
      </c>
      <c r="L293" s="140">
        <f t="shared" si="89"/>
        <v>0.18370856785490941</v>
      </c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spans="1:26" ht="12.75" customHeight="1" x14ac:dyDescent="0.3">
      <c r="A294" s="25" t="s">
        <v>805</v>
      </c>
      <c r="B294" s="4" t="s">
        <v>1301</v>
      </c>
      <c r="C294" s="4" t="s">
        <v>1302</v>
      </c>
      <c r="D294" s="4" t="s">
        <v>1303</v>
      </c>
      <c r="E294" s="5" t="s">
        <v>13</v>
      </c>
      <c r="F294" s="6">
        <v>39.950000000000003</v>
      </c>
      <c r="G294" s="6">
        <v>26.11</v>
      </c>
      <c r="H294" s="7">
        <f t="shared" si="87"/>
        <v>0.34643304130162711</v>
      </c>
      <c r="I294" s="7"/>
      <c r="J294" s="7">
        <v>0.2</v>
      </c>
      <c r="K294" s="6">
        <f t="shared" si="88"/>
        <v>31.960000000000004</v>
      </c>
      <c r="L294" s="7">
        <f t="shared" si="89"/>
        <v>0.18304130162703391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135" customFormat="1" ht="12.75" customHeight="1" x14ac:dyDescent="0.3">
      <c r="A295" s="163"/>
      <c r="B295" s="143"/>
      <c r="C295" s="143" t="s">
        <v>1304</v>
      </c>
      <c r="D295" s="143" t="s">
        <v>1305</v>
      </c>
      <c r="E295" s="144"/>
      <c r="F295" s="146">
        <v>84.95</v>
      </c>
      <c r="G295" s="146">
        <v>55.47</v>
      </c>
      <c r="H295" s="147">
        <f t="shared" si="87"/>
        <v>0.34702766333137147</v>
      </c>
      <c r="I295" s="147"/>
      <c r="J295" s="147">
        <v>0.2</v>
      </c>
      <c r="K295" s="146">
        <f t="shared" si="88"/>
        <v>67.960000000000008</v>
      </c>
      <c r="L295" s="147">
        <f t="shared" si="89"/>
        <v>0.18378457916421431</v>
      </c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spans="1:26" ht="12.75" customHeight="1" x14ac:dyDescent="0.3">
      <c r="A296" s="25" t="s">
        <v>805</v>
      </c>
      <c r="B296" s="4"/>
      <c r="C296" s="4" t="s">
        <v>1306</v>
      </c>
      <c r="D296" s="4" t="s">
        <v>1307</v>
      </c>
      <c r="E296" s="5" t="s">
        <v>13</v>
      </c>
      <c r="F296" s="6">
        <v>4.95</v>
      </c>
      <c r="G296" s="6">
        <v>2.63</v>
      </c>
      <c r="H296" s="7">
        <f t="shared" ref="H296:H298" si="90">1-(G296/F296)</f>
        <v>0.46868686868686871</v>
      </c>
      <c r="I296" s="7"/>
      <c r="J296" s="7">
        <v>0.35</v>
      </c>
      <c r="K296" s="6">
        <f t="shared" ref="K296:K298" si="91">F296*(1-J296)</f>
        <v>3.2175000000000002</v>
      </c>
      <c r="L296" s="7">
        <f t="shared" ref="L296:L298" si="92">1-(G296/K296)</f>
        <v>0.1825951825951827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25" t="s">
        <v>805</v>
      </c>
      <c r="B297" s="4"/>
      <c r="C297" s="4" t="s">
        <v>1308</v>
      </c>
      <c r="D297" s="4" t="s">
        <v>1309</v>
      </c>
      <c r="E297" s="5" t="s">
        <v>13</v>
      </c>
      <c r="F297" s="6">
        <v>9.9499999999999993</v>
      </c>
      <c r="G297" s="6">
        <v>4.21</v>
      </c>
      <c r="H297" s="7">
        <f t="shared" si="90"/>
        <v>0.57688442211055269</v>
      </c>
      <c r="I297" s="7"/>
      <c r="J297" s="7">
        <v>0.48</v>
      </c>
      <c r="K297" s="6">
        <f t="shared" si="91"/>
        <v>5.1739999999999995</v>
      </c>
      <c r="L297" s="7">
        <f t="shared" si="92"/>
        <v>0.18631619636644758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27" t="s">
        <v>805</v>
      </c>
      <c r="B298" s="8"/>
      <c r="C298" s="8" t="s">
        <v>1310</v>
      </c>
      <c r="D298" s="8" t="s">
        <v>1311</v>
      </c>
      <c r="E298" s="9" t="s">
        <v>13</v>
      </c>
      <c r="F298" s="10">
        <v>9.9499999999999993</v>
      </c>
      <c r="G298" s="10">
        <v>6.84</v>
      </c>
      <c r="H298" s="11">
        <f t="shared" si="90"/>
        <v>0.31256281407035169</v>
      </c>
      <c r="I298" s="11"/>
      <c r="J298" s="11">
        <v>0.15</v>
      </c>
      <c r="K298" s="10">
        <f t="shared" si="91"/>
        <v>8.4574999999999996</v>
      </c>
      <c r="L298" s="11">
        <f t="shared" si="92"/>
        <v>0.19125036949453145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26" t="s">
        <v>805</v>
      </c>
      <c r="B299" s="19" t="s">
        <v>1312</v>
      </c>
      <c r="C299" s="19" t="s">
        <v>1313</v>
      </c>
      <c r="D299" s="19" t="s">
        <v>1314</v>
      </c>
      <c r="E299" s="20" t="s">
        <v>13</v>
      </c>
      <c r="F299" s="22">
        <v>69.95</v>
      </c>
      <c r="G299" s="22">
        <v>45.68</v>
      </c>
      <c r="H299" s="23">
        <f>1-(G299/F299)</f>
        <v>0.34696211579699787</v>
      </c>
      <c r="I299" s="23"/>
      <c r="J299" s="23">
        <v>0.2</v>
      </c>
      <c r="K299" s="22">
        <f>F299*(1-J299)</f>
        <v>55.960000000000008</v>
      </c>
      <c r="L299" s="23">
        <f>1-(G299/K299)</f>
        <v>0.18370264474624742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25" t="s">
        <v>805</v>
      </c>
      <c r="B300" s="4"/>
      <c r="C300" s="4" t="s">
        <v>1315</v>
      </c>
      <c r="D300" s="4" t="s">
        <v>1316</v>
      </c>
      <c r="E300" s="5" t="s">
        <v>13</v>
      </c>
      <c r="F300" s="6">
        <v>9.9499999999999993</v>
      </c>
      <c r="G300" s="6">
        <v>6.32</v>
      </c>
      <c r="H300" s="7">
        <f t="shared" ref="H300:H302" si="93">1-(G300/F300)</f>
        <v>0.36482412060301506</v>
      </c>
      <c r="I300" s="7"/>
      <c r="J300" s="7">
        <v>0.22</v>
      </c>
      <c r="K300" s="6">
        <f t="shared" ref="K300:K302" si="94">F300*(1-J300)</f>
        <v>7.7610000000000001</v>
      </c>
      <c r="L300" s="7">
        <f t="shared" ref="L300:L302" si="95">1-(G300/K300)</f>
        <v>0.18567194949104493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25" t="s">
        <v>805</v>
      </c>
      <c r="B301" s="4"/>
      <c r="C301" s="4" t="s">
        <v>1317</v>
      </c>
      <c r="D301" s="4" t="s">
        <v>1318</v>
      </c>
      <c r="E301" s="5" t="s">
        <v>13</v>
      </c>
      <c r="F301" s="6">
        <v>14.95</v>
      </c>
      <c r="G301" s="6">
        <v>9.4700000000000006</v>
      </c>
      <c r="H301" s="7">
        <f t="shared" si="93"/>
        <v>0.36655518394648823</v>
      </c>
      <c r="I301" s="7"/>
      <c r="J301" s="7">
        <v>0.22</v>
      </c>
      <c r="K301" s="6">
        <f t="shared" si="94"/>
        <v>11.661</v>
      </c>
      <c r="L301" s="7">
        <f t="shared" si="95"/>
        <v>0.18789126146985669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27" t="s">
        <v>805</v>
      </c>
      <c r="B302" s="8"/>
      <c r="C302" s="8" t="s">
        <v>1319</v>
      </c>
      <c r="D302" s="8" t="s">
        <v>1320</v>
      </c>
      <c r="E302" s="9" t="s">
        <v>13</v>
      </c>
      <c r="F302" s="10">
        <v>24.95</v>
      </c>
      <c r="G302" s="10">
        <v>15.79</v>
      </c>
      <c r="H302" s="11">
        <f t="shared" si="93"/>
        <v>0.3671342685370742</v>
      </c>
      <c r="I302" s="11"/>
      <c r="J302" s="11">
        <v>0.22</v>
      </c>
      <c r="K302" s="10">
        <f t="shared" si="94"/>
        <v>19.460999999999999</v>
      </c>
      <c r="L302" s="11">
        <f t="shared" si="95"/>
        <v>0.18863367761163352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25" t="s">
        <v>805</v>
      </c>
      <c r="B303" s="4" t="s">
        <v>1321</v>
      </c>
      <c r="C303" s="4" t="s">
        <v>1322</v>
      </c>
      <c r="D303" s="4" t="s">
        <v>1323</v>
      </c>
      <c r="E303" s="5" t="s">
        <v>13</v>
      </c>
      <c r="F303" s="6">
        <v>129.94999999999999</v>
      </c>
      <c r="G303" s="6">
        <v>84.84</v>
      </c>
      <c r="H303" s="7">
        <f t="shared" ref="H303:H305" si="96">1-(G303/F303)</f>
        <v>0.34713351288957284</v>
      </c>
      <c r="I303" s="7"/>
      <c r="J303" s="7">
        <v>0.2</v>
      </c>
      <c r="K303" s="6">
        <f t="shared" ref="K303:K305" si="97">F303*(1-J303)</f>
        <v>103.96</v>
      </c>
      <c r="L303" s="7">
        <f t="shared" ref="L303:L305" si="98">1-(G303/K303)</f>
        <v>0.18391689111196607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25"/>
      <c r="B304" s="4"/>
      <c r="C304" s="4" t="s">
        <v>1324</v>
      </c>
      <c r="D304" s="4" t="s">
        <v>1325</v>
      </c>
      <c r="E304" s="5"/>
      <c r="F304" s="6">
        <v>219.95</v>
      </c>
      <c r="G304" s="6">
        <v>127.37</v>
      </c>
      <c r="H304" s="7">
        <f t="shared" si="96"/>
        <v>0.42091384405546706</v>
      </c>
      <c r="I304" s="7"/>
      <c r="J304" s="7">
        <v>0.2</v>
      </c>
      <c r="K304" s="6">
        <f t="shared" si="97"/>
        <v>175.96</v>
      </c>
      <c r="L304" s="7">
        <f t="shared" si="98"/>
        <v>0.2761423050693339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25"/>
      <c r="B305" s="4"/>
      <c r="C305" s="4" t="s">
        <v>1326</v>
      </c>
      <c r="D305" s="4" t="s">
        <v>1327</v>
      </c>
      <c r="E305" s="5"/>
      <c r="F305" s="6">
        <v>219.95</v>
      </c>
      <c r="G305" s="6">
        <v>127.37</v>
      </c>
      <c r="H305" s="7">
        <f t="shared" si="96"/>
        <v>0.42091384405546706</v>
      </c>
      <c r="I305" s="7"/>
      <c r="J305" s="7">
        <v>0.2</v>
      </c>
      <c r="K305" s="6">
        <f t="shared" si="97"/>
        <v>175.96</v>
      </c>
      <c r="L305" s="7">
        <f t="shared" si="98"/>
        <v>0.2761423050693339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25"/>
      <c r="B306" s="4" t="s">
        <v>1328</v>
      </c>
      <c r="C306" s="4" t="s">
        <v>1329</v>
      </c>
      <c r="D306" s="4" t="s">
        <v>1330</v>
      </c>
      <c r="E306" s="5"/>
      <c r="F306" s="6">
        <v>179.95</v>
      </c>
      <c r="G306" s="6">
        <v>117.47</v>
      </c>
      <c r="H306" s="7">
        <f t="shared" ref="H306:H313" si="99">1-(G306/F306)</f>
        <v>0.34720755765490408</v>
      </c>
      <c r="I306" s="7"/>
      <c r="J306" s="7">
        <v>0.05</v>
      </c>
      <c r="K306" s="6">
        <f t="shared" ref="K306:K313" si="100">F306*(1-J306)</f>
        <v>170.95249999999999</v>
      </c>
      <c r="L306" s="7">
        <f t="shared" ref="L306:L313" si="101">1-(G306/K306)</f>
        <v>0.31285006068937271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25"/>
      <c r="B307" s="4" t="s">
        <v>1328</v>
      </c>
      <c r="C307" s="4" t="s">
        <v>1331</v>
      </c>
      <c r="D307" s="4" t="s">
        <v>1332</v>
      </c>
      <c r="E307" s="5"/>
      <c r="F307" s="6">
        <v>179.95</v>
      </c>
      <c r="G307" s="6">
        <v>117.47</v>
      </c>
      <c r="H307" s="7">
        <f t="shared" si="99"/>
        <v>0.34720755765490408</v>
      </c>
      <c r="I307" s="7"/>
      <c r="J307" s="7">
        <v>0.05</v>
      </c>
      <c r="K307" s="6">
        <f t="shared" si="100"/>
        <v>170.95249999999999</v>
      </c>
      <c r="L307" s="7">
        <f t="shared" si="101"/>
        <v>0.31285006068937271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25"/>
      <c r="B308" s="4" t="s">
        <v>1328</v>
      </c>
      <c r="C308" s="4" t="s">
        <v>1333</v>
      </c>
      <c r="D308" s="4" t="s">
        <v>1334</v>
      </c>
      <c r="E308" s="5"/>
      <c r="F308" s="6">
        <v>179.95</v>
      </c>
      <c r="G308" s="6">
        <v>117.47</v>
      </c>
      <c r="H308" s="7">
        <f t="shared" si="99"/>
        <v>0.34720755765490408</v>
      </c>
      <c r="I308" s="7"/>
      <c r="J308" s="7">
        <v>0.05</v>
      </c>
      <c r="K308" s="6">
        <f t="shared" si="100"/>
        <v>170.95249999999999</v>
      </c>
      <c r="L308" s="7">
        <f t="shared" si="101"/>
        <v>0.31285006068937271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26"/>
      <c r="B309" s="19" t="s">
        <v>1328</v>
      </c>
      <c r="C309" s="19" t="s">
        <v>1335</v>
      </c>
      <c r="D309" s="19" t="s">
        <v>1336</v>
      </c>
      <c r="E309" s="20"/>
      <c r="F309" s="22">
        <v>179.95</v>
      </c>
      <c r="G309" s="22">
        <v>117.47</v>
      </c>
      <c r="H309" s="23">
        <f t="shared" si="99"/>
        <v>0.34720755765490408</v>
      </c>
      <c r="I309" s="23"/>
      <c r="J309" s="23">
        <v>0.05</v>
      </c>
      <c r="K309" s="22">
        <f t="shared" si="100"/>
        <v>170.95249999999999</v>
      </c>
      <c r="L309" s="23">
        <f t="shared" si="101"/>
        <v>0.31285006068937271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25"/>
      <c r="B310" s="4"/>
      <c r="C310" s="4" t="s">
        <v>1337</v>
      </c>
      <c r="D310" s="4" t="s">
        <v>1338</v>
      </c>
      <c r="E310" s="5"/>
      <c r="F310" s="6">
        <v>209.95</v>
      </c>
      <c r="G310" s="6">
        <v>137.05000000000001</v>
      </c>
      <c r="H310" s="7">
        <f t="shared" si="99"/>
        <v>0.34722552988806854</v>
      </c>
      <c r="I310" s="7"/>
      <c r="J310" s="7">
        <v>0.05</v>
      </c>
      <c r="K310" s="6">
        <f t="shared" si="100"/>
        <v>199.45249999999999</v>
      </c>
      <c r="L310" s="7">
        <f t="shared" si="101"/>
        <v>0.31286897882954579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25"/>
      <c r="B311" s="4"/>
      <c r="C311" s="4" t="s">
        <v>1339</v>
      </c>
      <c r="D311" s="4" t="s">
        <v>1340</v>
      </c>
      <c r="E311" s="5"/>
      <c r="F311" s="6">
        <v>209.95</v>
      </c>
      <c r="G311" s="6">
        <v>137.05000000000001</v>
      </c>
      <c r="H311" s="7">
        <f t="shared" si="99"/>
        <v>0.34722552988806854</v>
      </c>
      <c r="I311" s="7"/>
      <c r="J311" s="7">
        <v>0.05</v>
      </c>
      <c r="K311" s="6">
        <f t="shared" si="100"/>
        <v>199.45249999999999</v>
      </c>
      <c r="L311" s="7">
        <f t="shared" si="101"/>
        <v>0.31286897882954579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25"/>
      <c r="B312" s="4"/>
      <c r="C312" s="4" t="s">
        <v>1341</v>
      </c>
      <c r="D312" s="4" t="s">
        <v>1342</v>
      </c>
      <c r="E312" s="5"/>
      <c r="F312" s="6">
        <v>209.95</v>
      </c>
      <c r="G312" s="6">
        <v>137.05000000000001</v>
      </c>
      <c r="H312" s="7">
        <f t="shared" si="99"/>
        <v>0.34722552988806854</v>
      </c>
      <c r="I312" s="7"/>
      <c r="J312" s="7">
        <v>0.05</v>
      </c>
      <c r="K312" s="6">
        <f t="shared" si="100"/>
        <v>199.45249999999999</v>
      </c>
      <c r="L312" s="7">
        <f t="shared" si="101"/>
        <v>0.31286897882954579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25"/>
      <c r="B313" s="4"/>
      <c r="C313" s="4" t="s">
        <v>1343</v>
      </c>
      <c r="D313" s="4" t="s">
        <v>1344</v>
      </c>
      <c r="E313" s="5"/>
      <c r="F313" s="6">
        <v>209.95</v>
      </c>
      <c r="G313" s="6">
        <v>137.05000000000001</v>
      </c>
      <c r="H313" s="7">
        <f t="shared" si="99"/>
        <v>0.34722552988806854</v>
      </c>
      <c r="I313" s="7"/>
      <c r="J313" s="7">
        <v>0.05</v>
      </c>
      <c r="K313" s="6">
        <f t="shared" si="100"/>
        <v>199.45249999999999</v>
      </c>
      <c r="L313" s="7">
        <f t="shared" si="101"/>
        <v>0.31286897882954579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25" t="s">
        <v>805</v>
      </c>
      <c r="B314" s="4"/>
      <c r="C314" s="4" t="s">
        <v>1345</v>
      </c>
      <c r="D314" s="4" t="s">
        <v>1346</v>
      </c>
      <c r="E314" s="5" t="s">
        <v>13</v>
      </c>
      <c r="F314" s="6">
        <v>9.9499999999999993</v>
      </c>
      <c r="G314" s="6">
        <v>4.74</v>
      </c>
      <c r="H314" s="7">
        <f t="shared" ref="H314:H319" si="102">1-(G314/F314)</f>
        <v>0.52361809045226126</v>
      </c>
      <c r="I314" s="7"/>
      <c r="J314" s="7">
        <v>0.42</v>
      </c>
      <c r="K314" s="6">
        <f t="shared" ref="K314:K319" si="103">F314*(1-J314)</f>
        <v>5.7709999999999999</v>
      </c>
      <c r="L314" s="7">
        <f t="shared" ref="L314:L319" si="104">1-(G314/K314)</f>
        <v>0.17865188009010569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25" t="s">
        <v>805</v>
      </c>
      <c r="B315" s="4"/>
      <c r="C315" s="4" t="s">
        <v>881</v>
      </c>
      <c r="D315" s="4" t="s">
        <v>1347</v>
      </c>
      <c r="E315" s="5" t="s">
        <v>13</v>
      </c>
      <c r="F315" s="6">
        <v>14.95</v>
      </c>
      <c r="G315" s="6">
        <v>10.53</v>
      </c>
      <c r="H315" s="7">
        <f t="shared" si="102"/>
        <v>0.29565217391304344</v>
      </c>
      <c r="I315" s="7"/>
      <c r="J315" s="7">
        <v>0.12</v>
      </c>
      <c r="K315" s="6">
        <f t="shared" si="103"/>
        <v>13.155999999999999</v>
      </c>
      <c r="L315" s="7">
        <f t="shared" si="104"/>
        <v>0.19960474308300391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25" t="s">
        <v>805</v>
      </c>
      <c r="B316" s="4"/>
      <c r="C316" s="4" t="s">
        <v>1348</v>
      </c>
      <c r="D316" s="4" t="s">
        <v>1149</v>
      </c>
      <c r="E316" s="5" t="s">
        <v>13</v>
      </c>
      <c r="F316" s="6">
        <v>9.9499999999999993</v>
      </c>
      <c r="G316" s="6">
        <v>4.21</v>
      </c>
      <c r="H316" s="7">
        <f t="shared" si="102"/>
        <v>0.57688442211055269</v>
      </c>
      <c r="I316" s="7"/>
      <c r="J316" s="7">
        <v>0.48</v>
      </c>
      <c r="K316" s="6">
        <f t="shared" si="103"/>
        <v>5.1739999999999995</v>
      </c>
      <c r="L316" s="7">
        <f t="shared" si="104"/>
        <v>0.18631619636644758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25" t="s">
        <v>805</v>
      </c>
      <c r="B317" s="4"/>
      <c r="C317" s="4" t="s">
        <v>1349</v>
      </c>
      <c r="D317" s="4" t="s">
        <v>1350</v>
      </c>
      <c r="E317" s="5" t="s">
        <v>13</v>
      </c>
      <c r="F317" s="6">
        <v>9.9499999999999993</v>
      </c>
      <c r="G317" s="6">
        <v>4.21</v>
      </c>
      <c r="H317" s="7">
        <f t="shared" si="102"/>
        <v>0.57688442211055269</v>
      </c>
      <c r="I317" s="7"/>
      <c r="J317" s="7">
        <v>0.48</v>
      </c>
      <c r="K317" s="6">
        <f t="shared" si="103"/>
        <v>5.1739999999999995</v>
      </c>
      <c r="L317" s="7">
        <f t="shared" si="104"/>
        <v>0.18631619636644758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25" t="s">
        <v>805</v>
      </c>
      <c r="B318" s="4"/>
      <c r="C318" s="4" t="s">
        <v>1310</v>
      </c>
      <c r="D318" s="4" t="s">
        <v>1351</v>
      </c>
      <c r="E318" s="5" t="s">
        <v>13</v>
      </c>
      <c r="F318" s="6">
        <v>9.9499999999999993</v>
      </c>
      <c r="G318" s="6">
        <v>6.84</v>
      </c>
      <c r="H318" s="7">
        <f t="shared" si="102"/>
        <v>0.31256281407035169</v>
      </c>
      <c r="I318" s="7"/>
      <c r="J318" s="7">
        <v>0.15</v>
      </c>
      <c r="K318" s="6">
        <f t="shared" si="103"/>
        <v>8.4574999999999996</v>
      </c>
      <c r="L318" s="7">
        <f t="shared" si="104"/>
        <v>0.19125036949453145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27" t="s">
        <v>805</v>
      </c>
      <c r="B319" s="8"/>
      <c r="C319" s="8" t="s">
        <v>1352</v>
      </c>
      <c r="D319" s="8" t="s">
        <v>1307</v>
      </c>
      <c r="E319" s="5" t="s">
        <v>13</v>
      </c>
      <c r="F319" s="10">
        <v>4.95</v>
      </c>
      <c r="G319" s="10">
        <v>2.63</v>
      </c>
      <c r="H319" s="11">
        <f t="shared" si="102"/>
        <v>0.46868686868686871</v>
      </c>
      <c r="I319" s="11"/>
      <c r="J319" s="11">
        <v>0.35</v>
      </c>
      <c r="K319" s="10">
        <f t="shared" si="103"/>
        <v>3.2175000000000002</v>
      </c>
      <c r="L319" s="11">
        <f t="shared" si="104"/>
        <v>0.1825951825951827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25" t="s">
        <v>805</v>
      </c>
      <c r="B320" s="4" t="s">
        <v>1353</v>
      </c>
      <c r="C320" s="4" t="s">
        <v>1354</v>
      </c>
      <c r="D320" s="4" t="s">
        <v>1355</v>
      </c>
      <c r="E320" s="5" t="s">
        <v>13</v>
      </c>
      <c r="F320" s="6">
        <v>74.95</v>
      </c>
      <c r="G320" s="6">
        <v>48.95</v>
      </c>
      <c r="H320" s="7">
        <f t="shared" ref="H320:H321" si="105">1-(G320/F320)</f>
        <v>0.34689793195463636</v>
      </c>
      <c r="I320" s="7"/>
      <c r="J320" s="7">
        <v>0.2</v>
      </c>
      <c r="K320" s="6">
        <f t="shared" ref="K320:K321" si="106">F320*(1-J320)</f>
        <v>59.960000000000008</v>
      </c>
      <c r="L320" s="7">
        <f t="shared" ref="L320:L321" si="107">1-(G320/K320)</f>
        <v>0.18362241494329556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s="135" customFormat="1" ht="12.75" customHeight="1" x14ac:dyDescent="0.3">
      <c r="A321" s="163" t="s">
        <v>805</v>
      </c>
      <c r="B321" s="143" t="s">
        <v>1356</v>
      </c>
      <c r="C321" s="143" t="s">
        <v>1357</v>
      </c>
      <c r="D321" s="143" t="s">
        <v>1358</v>
      </c>
      <c r="E321" s="144" t="s">
        <v>13</v>
      </c>
      <c r="F321" s="146">
        <v>79.95</v>
      </c>
      <c r="G321" s="146">
        <v>52.21</v>
      </c>
      <c r="H321" s="147">
        <f t="shared" si="105"/>
        <v>0.34696685428392748</v>
      </c>
      <c r="I321" s="147"/>
      <c r="J321" s="147">
        <v>0.2</v>
      </c>
      <c r="K321" s="146">
        <f t="shared" si="106"/>
        <v>63.960000000000008</v>
      </c>
      <c r="L321" s="147">
        <f t="shared" si="107"/>
        <v>0.18370856785490941</v>
      </c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spans="1:26" ht="12.75" customHeight="1" x14ac:dyDescent="0.3">
      <c r="A322" s="25" t="s">
        <v>805</v>
      </c>
      <c r="B322" s="4"/>
      <c r="C322" s="4" t="s">
        <v>1349</v>
      </c>
      <c r="D322" s="4" t="s">
        <v>1359</v>
      </c>
      <c r="E322" s="5" t="s">
        <v>13</v>
      </c>
      <c r="F322" s="6">
        <v>9.9499999999999993</v>
      </c>
      <c r="G322" s="6">
        <v>4.21</v>
      </c>
      <c r="H322" s="7">
        <f t="shared" ref="H322:H323" si="108">1-(G322/F322)</f>
        <v>0.57688442211055269</v>
      </c>
      <c r="I322" s="7"/>
      <c r="J322" s="7">
        <v>0.48</v>
      </c>
      <c r="K322" s="6">
        <f t="shared" ref="K322:K323" si="109">F322*(1-J322)</f>
        <v>5.1739999999999995</v>
      </c>
      <c r="L322" s="7">
        <f t="shared" ref="L322:L323" si="110">1-(G322/K322)</f>
        <v>0.18631619636644758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27" t="s">
        <v>805</v>
      </c>
      <c r="B323" s="8"/>
      <c r="C323" s="8" t="s">
        <v>1360</v>
      </c>
      <c r="D323" s="8" t="s">
        <v>1361</v>
      </c>
      <c r="E323" s="9" t="s">
        <v>13</v>
      </c>
      <c r="F323" s="10">
        <v>4.95</v>
      </c>
      <c r="G323" s="10">
        <v>2.63</v>
      </c>
      <c r="H323" s="11">
        <f t="shared" si="108"/>
        <v>0.46868686868686871</v>
      </c>
      <c r="I323" s="11"/>
      <c r="J323" s="11">
        <v>0.35</v>
      </c>
      <c r="K323" s="10">
        <f t="shared" si="109"/>
        <v>3.2175000000000002</v>
      </c>
      <c r="L323" s="11">
        <f t="shared" si="110"/>
        <v>0.1825951825951827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25" t="s">
        <v>805</v>
      </c>
      <c r="B324" s="4" t="s">
        <v>1362</v>
      </c>
      <c r="C324" s="4" t="s">
        <v>1363</v>
      </c>
      <c r="D324" s="4" t="s">
        <v>1364</v>
      </c>
      <c r="E324" s="5" t="s">
        <v>13</v>
      </c>
      <c r="F324" s="6">
        <v>99.95</v>
      </c>
      <c r="G324" s="6">
        <v>65.260000000000005</v>
      </c>
      <c r="H324" s="7">
        <f t="shared" ref="H324:H325" si="111">1-(G324/F324)</f>
        <v>0.34707353676838415</v>
      </c>
      <c r="I324" s="7"/>
      <c r="J324" s="7">
        <v>0.2</v>
      </c>
      <c r="K324" s="6">
        <f t="shared" ref="K324:K325" si="112">F324*(1-J324)</f>
        <v>79.960000000000008</v>
      </c>
      <c r="L324" s="7">
        <f t="shared" ref="L324:L325" si="113">1-(G324/K324)</f>
        <v>0.18384192096048024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26" t="s">
        <v>805</v>
      </c>
      <c r="B325" s="19" t="s">
        <v>1365</v>
      </c>
      <c r="C325" s="19" t="s">
        <v>1366</v>
      </c>
      <c r="D325" s="19" t="s">
        <v>1367</v>
      </c>
      <c r="E325" s="20" t="s">
        <v>13</v>
      </c>
      <c r="F325" s="22">
        <v>109.95</v>
      </c>
      <c r="G325" s="22">
        <v>71.790000000000006</v>
      </c>
      <c r="H325" s="23">
        <f t="shared" si="111"/>
        <v>0.34706684856753067</v>
      </c>
      <c r="I325" s="23"/>
      <c r="J325" s="23">
        <v>0.2</v>
      </c>
      <c r="K325" s="22">
        <f t="shared" si="112"/>
        <v>87.960000000000008</v>
      </c>
      <c r="L325" s="23">
        <f t="shared" si="113"/>
        <v>0.18383356070941337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25" t="s">
        <v>805</v>
      </c>
      <c r="B326" s="4"/>
      <c r="C326" s="4" t="s">
        <v>1368</v>
      </c>
      <c r="D326" s="4" t="s">
        <v>1149</v>
      </c>
      <c r="E326" s="5" t="s">
        <v>13</v>
      </c>
      <c r="F326" s="6">
        <v>9.9499999999999993</v>
      </c>
      <c r="G326" s="6">
        <v>5.26</v>
      </c>
      <c r="H326" s="7">
        <f t="shared" ref="H326:H328" si="114">1-(G326/F326)</f>
        <v>0.47135678391959801</v>
      </c>
      <c r="I326" s="7"/>
      <c r="J326" s="7">
        <v>0.35</v>
      </c>
      <c r="K326" s="6">
        <f t="shared" ref="K326:K328" si="115">F326*(1-J326)</f>
        <v>6.4674999999999994</v>
      </c>
      <c r="L326" s="7">
        <f t="shared" ref="L326:L328" si="116">1-(G326/K326)</f>
        <v>0.18670274449168922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25" t="s">
        <v>805</v>
      </c>
      <c r="B327" s="4"/>
      <c r="C327" s="4" t="s">
        <v>1310</v>
      </c>
      <c r="D327" s="4" t="s">
        <v>1311</v>
      </c>
      <c r="E327" s="5" t="s">
        <v>13</v>
      </c>
      <c r="F327" s="6">
        <v>9.9499999999999993</v>
      </c>
      <c r="G327" s="6">
        <v>6.84</v>
      </c>
      <c r="H327" s="7">
        <f t="shared" si="114"/>
        <v>0.31256281407035169</v>
      </c>
      <c r="I327" s="7"/>
      <c r="J327" s="7">
        <v>0.15</v>
      </c>
      <c r="K327" s="6">
        <f t="shared" si="115"/>
        <v>8.4574999999999996</v>
      </c>
      <c r="L327" s="7">
        <f t="shared" si="116"/>
        <v>0.19125036949453145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27" t="s">
        <v>805</v>
      </c>
      <c r="B328" s="8"/>
      <c r="C328" s="8" t="s">
        <v>1369</v>
      </c>
      <c r="D328" s="8" t="s">
        <v>1370</v>
      </c>
      <c r="E328" s="9" t="s">
        <v>13</v>
      </c>
      <c r="F328" s="10">
        <v>59.95</v>
      </c>
      <c r="G328" s="10">
        <v>31.58</v>
      </c>
      <c r="H328" s="11">
        <f t="shared" si="114"/>
        <v>0.47322768974145124</v>
      </c>
      <c r="I328" s="11"/>
      <c r="J328" s="11">
        <v>0.35</v>
      </c>
      <c r="K328" s="10">
        <f t="shared" si="115"/>
        <v>38.967500000000001</v>
      </c>
      <c r="L328" s="11">
        <f t="shared" si="116"/>
        <v>0.18958106114069428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25" t="s">
        <v>805</v>
      </c>
      <c r="B329" s="4" t="s">
        <v>1371</v>
      </c>
      <c r="C329" s="4" t="s">
        <v>1372</v>
      </c>
      <c r="D329" s="4" t="s">
        <v>1373</v>
      </c>
      <c r="E329" s="5" t="s">
        <v>13</v>
      </c>
      <c r="F329" s="6">
        <v>90</v>
      </c>
      <c r="G329" s="6">
        <v>47.37</v>
      </c>
      <c r="H329" s="7">
        <f t="shared" ref="H329:H333" si="117">1-(G329/F329)</f>
        <v>0.47366666666666668</v>
      </c>
      <c r="I329" s="7"/>
      <c r="J329" s="7">
        <v>0.35</v>
      </c>
      <c r="K329" s="6">
        <f t="shared" ref="K329:K333" si="118">F329*(1-J329)</f>
        <v>58.5</v>
      </c>
      <c r="L329" s="7">
        <f t="shared" ref="L329:L333" si="119">1-(G329/K329)</f>
        <v>0.19025641025641027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25" t="s">
        <v>805</v>
      </c>
      <c r="B330" s="4" t="s">
        <v>1374</v>
      </c>
      <c r="C330" s="4" t="s">
        <v>1375</v>
      </c>
      <c r="D330" s="4" t="s">
        <v>1376</v>
      </c>
      <c r="E330" s="5" t="s">
        <v>13</v>
      </c>
      <c r="F330" s="6">
        <v>149</v>
      </c>
      <c r="G330" s="6">
        <v>78.42</v>
      </c>
      <c r="H330" s="7">
        <f t="shared" si="117"/>
        <v>0.4736912751677852</v>
      </c>
      <c r="I330" s="7"/>
      <c r="J330" s="7">
        <v>0.35</v>
      </c>
      <c r="K330" s="6">
        <f t="shared" si="118"/>
        <v>96.850000000000009</v>
      </c>
      <c r="L330" s="7">
        <f t="shared" si="119"/>
        <v>0.19029426948890038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25" t="s">
        <v>805</v>
      </c>
      <c r="B331" s="4" t="s">
        <v>1377</v>
      </c>
      <c r="C331" s="4" t="s">
        <v>1378</v>
      </c>
      <c r="D331" s="4" t="s">
        <v>1379</v>
      </c>
      <c r="E331" s="5" t="s">
        <v>13</v>
      </c>
      <c r="F331" s="6">
        <v>128</v>
      </c>
      <c r="G331" s="6">
        <v>67.37</v>
      </c>
      <c r="H331" s="7">
        <f t="shared" si="117"/>
        <v>0.47367187499999996</v>
      </c>
      <c r="I331" s="7"/>
      <c r="J331" s="7">
        <v>0.35</v>
      </c>
      <c r="K331" s="6">
        <f t="shared" si="118"/>
        <v>83.2</v>
      </c>
      <c r="L331" s="7">
        <f t="shared" si="119"/>
        <v>0.19026442307692304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25" t="s">
        <v>805</v>
      </c>
      <c r="B332" s="4" t="s">
        <v>1377</v>
      </c>
      <c r="C332" s="4" t="s">
        <v>1380</v>
      </c>
      <c r="D332" s="4" t="s">
        <v>1381</v>
      </c>
      <c r="E332" s="5" t="s">
        <v>13</v>
      </c>
      <c r="F332" s="6">
        <v>131</v>
      </c>
      <c r="G332" s="6">
        <v>68.95</v>
      </c>
      <c r="H332" s="7">
        <f t="shared" si="117"/>
        <v>0.47366412213740461</v>
      </c>
      <c r="I332" s="7"/>
      <c r="J332" s="7">
        <v>0.35</v>
      </c>
      <c r="K332" s="6">
        <f t="shared" si="118"/>
        <v>85.15</v>
      </c>
      <c r="L332" s="7">
        <f t="shared" si="119"/>
        <v>0.1902524955960071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26" t="s">
        <v>805</v>
      </c>
      <c r="B333" s="19" t="s">
        <v>1382</v>
      </c>
      <c r="C333" s="19" t="s">
        <v>1383</v>
      </c>
      <c r="D333" s="19" t="s">
        <v>1384</v>
      </c>
      <c r="E333" s="20" t="s">
        <v>13</v>
      </c>
      <c r="F333" s="22">
        <v>179</v>
      </c>
      <c r="G333" s="22">
        <v>94.21</v>
      </c>
      <c r="H333" s="23">
        <f t="shared" si="117"/>
        <v>0.47368715083798885</v>
      </c>
      <c r="I333" s="23"/>
      <c r="J333" s="23">
        <v>0.35</v>
      </c>
      <c r="K333" s="22">
        <f t="shared" si="118"/>
        <v>116.35000000000001</v>
      </c>
      <c r="L333" s="23">
        <f t="shared" si="119"/>
        <v>0.19028792436613673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25" t="s">
        <v>805</v>
      </c>
      <c r="B334" s="4"/>
      <c r="C334" s="4" t="s">
        <v>1385</v>
      </c>
      <c r="D334" s="4" t="s">
        <v>1386</v>
      </c>
      <c r="E334" s="5" t="s">
        <v>13</v>
      </c>
      <c r="F334" s="6">
        <v>9.9499999999999993</v>
      </c>
      <c r="G334" s="6">
        <v>2.63</v>
      </c>
      <c r="H334" s="7">
        <f t="shared" ref="H334:H336" si="120">1-(G334/F334)</f>
        <v>0.73567839195979901</v>
      </c>
      <c r="I334" s="7"/>
      <c r="J334" s="7">
        <v>0.65</v>
      </c>
      <c r="K334" s="6">
        <f t="shared" ref="K334:K336" si="121">F334*(1-J334)</f>
        <v>3.4824999999999995</v>
      </c>
      <c r="L334" s="7">
        <f t="shared" ref="L334:L336" si="122">1-(G334/K334)</f>
        <v>0.24479540559942559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25" t="s">
        <v>805</v>
      </c>
      <c r="B335" s="4"/>
      <c r="C335" s="4" t="s">
        <v>1387</v>
      </c>
      <c r="D335" s="4" t="s">
        <v>1388</v>
      </c>
      <c r="E335" s="5" t="s">
        <v>13</v>
      </c>
      <c r="F335" s="6">
        <v>4.95</v>
      </c>
      <c r="G335" s="6">
        <v>1.1599999999999999</v>
      </c>
      <c r="H335" s="7">
        <f t="shared" si="120"/>
        <v>0.7656565656565657</v>
      </c>
      <c r="I335" s="7"/>
      <c r="J335" s="7">
        <v>0.65</v>
      </c>
      <c r="K335" s="6">
        <f t="shared" si="121"/>
        <v>1.7324999999999999</v>
      </c>
      <c r="L335" s="7">
        <f t="shared" si="122"/>
        <v>0.33044733044733043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27" t="s">
        <v>805</v>
      </c>
      <c r="B336" s="8"/>
      <c r="C336" s="8" t="s">
        <v>1389</v>
      </c>
      <c r="D336" s="8" t="s">
        <v>1390</v>
      </c>
      <c r="E336" s="9" t="s">
        <v>13</v>
      </c>
      <c r="F336" s="10">
        <v>4.95</v>
      </c>
      <c r="G336" s="10">
        <v>2.63</v>
      </c>
      <c r="H336" s="11">
        <f t="shared" si="120"/>
        <v>0.46868686868686871</v>
      </c>
      <c r="I336" s="11"/>
      <c r="J336" s="11">
        <v>0.35</v>
      </c>
      <c r="K336" s="10">
        <f t="shared" si="121"/>
        <v>3.2175000000000002</v>
      </c>
      <c r="L336" s="11">
        <f t="shared" si="122"/>
        <v>0.1825951825951827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25" t="s">
        <v>805</v>
      </c>
      <c r="B337" s="4" t="s">
        <v>1391</v>
      </c>
      <c r="C337" s="4" t="s">
        <v>1392</v>
      </c>
      <c r="D337" s="4" t="s">
        <v>1393</v>
      </c>
      <c r="E337" s="5" t="s">
        <v>13</v>
      </c>
      <c r="F337" s="6">
        <v>112</v>
      </c>
      <c r="G337" s="6">
        <v>58.95</v>
      </c>
      <c r="H337" s="7">
        <f t="shared" ref="H337:H341" si="123">1-(G337/F337)</f>
        <v>0.47366071428571421</v>
      </c>
      <c r="I337" s="7"/>
      <c r="J337" s="7">
        <v>0.35</v>
      </c>
      <c r="K337" s="6">
        <f t="shared" ref="K337:K341" si="124">F337*(1-J337)</f>
        <v>72.8</v>
      </c>
      <c r="L337" s="7">
        <f t="shared" ref="L337:L341" si="125">1-(G337/K337)</f>
        <v>0.19024725274725263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25" t="s">
        <v>805</v>
      </c>
      <c r="B338" s="4" t="s">
        <v>1394</v>
      </c>
      <c r="C338" s="4" t="s">
        <v>1395</v>
      </c>
      <c r="D338" s="4" t="s">
        <v>1396</v>
      </c>
      <c r="E338" s="5" t="s">
        <v>13</v>
      </c>
      <c r="F338" s="6">
        <v>115</v>
      </c>
      <c r="G338" s="6">
        <v>60.53</v>
      </c>
      <c r="H338" s="7">
        <f t="shared" si="123"/>
        <v>0.47365217391304348</v>
      </c>
      <c r="I338" s="7"/>
      <c r="J338" s="7">
        <v>0.35</v>
      </c>
      <c r="K338" s="6">
        <f t="shared" si="124"/>
        <v>74.75</v>
      </c>
      <c r="L338" s="7">
        <f t="shared" si="125"/>
        <v>0.19023411371237453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25" t="s">
        <v>805</v>
      </c>
      <c r="B339" s="4" t="s">
        <v>1397</v>
      </c>
      <c r="C339" s="4" t="s">
        <v>1398</v>
      </c>
      <c r="D339" s="4" t="s">
        <v>1399</v>
      </c>
      <c r="E339" s="5" t="s">
        <v>13</v>
      </c>
      <c r="F339" s="6">
        <v>159</v>
      </c>
      <c r="G339" s="6">
        <v>83.68</v>
      </c>
      <c r="H339" s="7">
        <f t="shared" si="123"/>
        <v>0.47371069182389935</v>
      </c>
      <c r="I339" s="7"/>
      <c r="J339" s="7">
        <v>0.35</v>
      </c>
      <c r="K339" s="6">
        <f t="shared" si="124"/>
        <v>103.35000000000001</v>
      </c>
      <c r="L339" s="7">
        <f t="shared" si="125"/>
        <v>0.19032414126753749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25" t="s">
        <v>805</v>
      </c>
      <c r="B340" s="4" t="s">
        <v>1400</v>
      </c>
      <c r="C340" s="4" t="s">
        <v>1401</v>
      </c>
      <c r="D340" s="4" t="s">
        <v>1402</v>
      </c>
      <c r="E340" s="5" t="s">
        <v>13</v>
      </c>
      <c r="F340" s="6">
        <v>122</v>
      </c>
      <c r="G340" s="6">
        <v>64.209999999999994</v>
      </c>
      <c r="H340" s="7">
        <f t="shared" si="123"/>
        <v>0.47368852459016397</v>
      </c>
      <c r="I340" s="7"/>
      <c r="J340" s="7">
        <v>0.35</v>
      </c>
      <c r="K340" s="6">
        <f t="shared" si="124"/>
        <v>79.3</v>
      </c>
      <c r="L340" s="7">
        <f t="shared" si="125"/>
        <v>0.1902900378310215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26" t="s">
        <v>805</v>
      </c>
      <c r="B341" s="19" t="s">
        <v>1403</v>
      </c>
      <c r="C341" s="19" t="s">
        <v>1404</v>
      </c>
      <c r="D341" s="19" t="s">
        <v>1405</v>
      </c>
      <c r="E341" s="20" t="s">
        <v>13</v>
      </c>
      <c r="F341" s="22">
        <v>125</v>
      </c>
      <c r="G341" s="22">
        <v>65.790000000000006</v>
      </c>
      <c r="H341" s="23">
        <f t="shared" si="123"/>
        <v>0.47367999999999999</v>
      </c>
      <c r="I341" s="23"/>
      <c r="J341" s="23">
        <v>0.35</v>
      </c>
      <c r="K341" s="22">
        <f t="shared" si="124"/>
        <v>81.25</v>
      </c>
      <c r="L341" s="23">
        <f t="shared" si="125"/>
        <v>0.19027692307692301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25" t="s">
        <v>805</v>
      </c>
      <c r="B342" s="4"/>
      <c r="C342" s="4" t="s">
        <v>1389</v>
      </c>
      <c r="D342" s="4" t="s">
        <v>1390</v>
      </c>
      <c r="E342" s="5" t="s">
        <v>13</v>
      </c>
      <c r="F342" s="6">
        <v>4.95</v>
      </c>
      <c r="G342" s="6">
        <v>2.63</v>
      </c>
      <c r="H342" s="7">
        <f t="shared" ref="H342:H346" si="126">1-(G342/F342)</f>
        <v>0.46868686868686871</v>
      </c>
      <c r="I342" s="7"/>
      <c r="J342" s="7">
        <v>0.35</v>
      </c>
      <c r="K342" s="6">
        <f t="shared" ref="K342:K346" si="127">F342*(1-J342)</f>
        <v>3.2175000000000002</v>
      </c>
      <c r="L342" s="7">
        <f t="shared" ref="L342:L346" si="128">1-(G342/K342)</f>
        <v>0.1825951825951827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25" t="s">
        <v>805</v>
      </c>
      <c r="B343" s="4"/>
      <c r="C343" s="4" t="s">
        <v>1406</v>
      </c>
      <c r="D343" s="4" t="s">
        <v>1407</v>
      </c>
      <c r="E343" s="5" t="s">
        <v>13</v>
      </c>
      <c r="F343" s="6">
        <v>9.9499999999999993</v>
      </c>
      <c r="G343" s="6">
        <v>5.26</v>
      </c>
      <c r="H343" s="7">
        <f t="shared" si="126"/>
        <v>0.47135678391959801</v>
      </c>
      <c r="I343" s="7"/>
      <c r="J343" s="7">
        <v>0.35</v>
      </c>
      <c r="K343" s="6">
        <f t="shared" si="127"/>
        <v>6.4674999999999994</v>
      </c>
      <c r="L343" s="7">
        <f t="shared" si="128"/>
        <v>0.18670274449168922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25" t="s">
        <v>805</v>
      </c>
      <c r="B344" s="4"/>
      <c r="C344" s="4" t="s">
        <v>1408</v>
      </c>
      <c r="D344" s="4" t="s">
        <v>1409</v>
      </c>
      <c r="E344" s="5" t="s">
        <v>13</v>
      </c>
      <c r="F344" s="6">
        <v>19.95</v>
      </c>
      <c r="G344" s="6">
        <v>10.53</v>
      </c>
      <c r="H344" s="7">
        <f t="shared" si="126"/>
        <v>0.47218045112781959</v>
      </c>
      <c r="I344" s="7"/>
      <c r="J344" s="7">
        <v>0.35</v>
      </c>
      <c r="K344" s="6">
        <f t="shared" si="127"/>
        <v>12.967499999999999</v>
      </c>
      <c r="L344" s="7">
        <f t="shared" si="128"/>
        <v>0.18796992481203012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25" t="s">
        <v>805</v>
      </c>
      <c r="B345" s="4"/>
      <c r="C345" s="4" t="s">
        <v>1410</v>
      </c>
      <c r="D345" s="4" t="s">
        <v>1411</v>
      </c>
      <c r="E345" s="5" t="s">
        <v>13</v>
      </c>
      <c r="F345" s="6">
        <v>19.95</v>
      </c>
      <c r="G345" s="6">
        <v>10.53</v>
      </c>
      <c r="H345" s="7">
        <f t="shared" si="126"/>
        <v>0.47218045112781959</v>
      </c>
      <c r="I345" s="7"/>
      <c r="J345" s="7">
        <v>0.35</v>
      </c>
      <c r="K345" s="6">
        <f t="shared" si="127"/>
        <v>12.967499999999999</v>
      </c>
      <c r="L345" s="7">
        <f t="shared" si="128"/>
        <v>0.18796992481203012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27" t="s">
        <v>805</v>
      </c>
      <c r="B346" s="8"/>
      <c r="C346" s="8" t="s">
        <v>1412</v>
      </c>
      <c r="D346" s="8" t="s">
        <v>1413</v>
      </c>
      <c r="E346" s="9" t="s">
        <v>13</v>
      </c>
      <c r="F346" s="10">
        <v>4.95</v>
      </c>
      <c r="G346" s="10">
        <v>2.63</v>
      </c>
      <c r="H346" s="11">
        <f t="shared" si="126"/>
        <v>0.46868686868686871</v>
      </c>
      <c r="I346" s="11"/>
      <c r="J346" s="11">
        <v>0.35</v>
      </c>
      <c r="K346" s="10">
        <f t="shared" si="127"/>
        <v>3.2175000000000002</v>
      </c>
      <c r="L346" s="11">
        <f t="shared" si="128"/>
        <v>0.1825951825951827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25" t="s">
        <v>805</v>
      </c>
      <c r="B347" s="4" t="s">
        <v>1414</v>
      </c>
      <c r="C347" s="4" t="s">
        <v>1415</v>
      </c>
      <c r="D347" s="4" t="s">
        <v>1416</v>
      </c>
      <c r="E347" s="5" t="s">
        <v>13</v>
      </c>
      <c r="F347" s="6">
        <v>144</v>
      </c>
      <c r="G347" s="6">
        <v>75.790000000000006</v>
      </c>
      <c r="H347" s="7">
        <f t="shared" ref="H347:H352" si="129">1-(G347/F347)</f>
        <v>0.47368055555555555</v>
      </c>
      <c r="I347" s="7"/>
      <c r="J347" s="7">
        <v>0.35</v>
      </c>
      <c r="K347" s="6">
        <f t="shared" ref="K347:K352" si="130">F347*(1-J347)</f>
        <v>93.600000000000009</v>
      </c>
      <c r="L347" s="7">
        <f t="shared" ref="L347:L352" si="131">1-(G347/K347)</f>
        <v>0.19027777777777777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25" t="s">
        <v>805</v>
      </c>
      <c r="B348" s="4" t="s">
        <v>1417</v>
      </c>
      <c r="C348" s="4" t="s">
        <v>1418</v>
      </c>
      <c r="D348" s="4" t="s">
        <v>1419</v>
      </c>
      <c r="E348" s="5" t="s">
        <v>13</v>
      </c>
      <c r="F348" s="6">
        <v>147</v>
      </c>
      <c r="G348" s="6">
        <v>77.37</v>
      </c>
      <c r="H348" s="7">
        <f t="shared" si="129"/>
        <v>0.47367346938775512</v>
      </c>
      <c r="I348" s="7"/>
      <c r="J348" s="7">
        <v>0.35</v>
      </c>
      <c r="K348" s="6">
        <f t="shared" si="130"/>
        <v>95.55</v>
      </c>
      <c r="L348" s="7">
        <f t="shared" si="131"/>
        <v>0.19026687598116165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25" t="s">
        <v>805</v>
      </c>
      <c r="B349" s="4" t="s">
        <v>1420</v>
      </c>
      <c r="C349" s="4" t="s">
        <v>1421</v>
      </c>
      <c r="D349" s="4" t="s">
        <v>1422</v>
      </c>
      <c r="E349" s="5" t="s">
        <v>13</v>
      </c>
      <c r="F349" s="6">
        <v>189</v>
      </c>
      <c r="G349" s="6">
        <v>99.47</v>
      </c>
      <c r="H349" s="7">
        <f t="shared" si="129"/>
        <v>0.47370370370370374</v>
      </c>
      <c r="I349" s="7"/>
      <c r="J349" s="7">
        <v>0.35</v>
      </c>
      <c r="K349" s="6">
        <f t="shared" si="130"/>
        <v>122.85000000000001</v>
      </c>
      <c r="L349" s="7">
        <f t="shared" si="131"/>
        <v>0.19031339031339034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25" t="s">
        <v>805</v>
      </c>
      <c r="B350" s="4" t="s">
        <v>1423</v>
      </c>
      <c r="C350" s="4" t="s">
        <v>1424</v>
      </c>
      <c r="D350" s="4" t="s">
        <v>1425</v>
      </c>
      <c r="E350" s="5" t="s">
        <v>13</v>
      </c>
      <c r="F350" s="6">
        <v>168</v>
      </c>
      <c r="G350" s="6">
        <v>88.42</v>
      </c>
      <c r="H350" s="7">
        <f t="shared" si="129"/>
        <v>0.47369047619047622</v>
      </c>
      <c r="I350" s="7"/>
      <c r="J350" s="7">
        <v>0.35</v>
      </c>
      <c r="K350" s="6">
        <f t="shared" si="130"/>
        <v>109.2</v>
      </c>
      <c r="L350" s="7">
        <f t="shared" si="131"/>
        <v>0.19029304029304028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25" t="s">
        <v>805</v>
      </c>
      <c r="B351" s="4" t="s">
        <v>1426</v>
      </c>
      <c r="C351" s="4" t="s">
        <v>1427</v>
      </c>
      <c r="D351" s="4" t="s">
        <v>1428</v>
      </c>
      <c r="E351" s="5" t="s">
        <v>13</v>
      </c>
      <c r="F351" s="6">
        <v>171</v>
      </c>
      <c r="G351" s="6">
        <v>90</v>
      </c>
      <c r="H351" s="7">
        <f t="shared" si="129"/>
        <v>0.47368421052631582</v>
      </c>
      <c r="I351" s="7"/>
      <c r="J351" s="7">
        <v>0.35</v>
      </c>
      <c r="K351" s="6">
        <f t="shared" si="130"/>
        <v>111.15</v>
      </c>
      <c r="L351" s="7">
        <f t="shared" si="131"/>
        <v>0.19028340080971662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26" t="s">
        <v>805</v>
      </c>
      <c r="B352" s="19" t="s">
        <v>1429</v>
      </c>
      <c r="C352" s="19" t="s">
        <v>1430</v>
      </c>
      <c r="D352" s="19" t="s">
        <v>1431</v>
      </c>
      <c r="E352" s="20" t="s">
        <v>13</v>
      </c>
      <c r="F352" s="22">
        <v>209</v>
      </c>
      <c r="G352" s="22">
        <v>110</v>
      </c>
      <c r="H352" s="23">
        <f t="shared" si="129"/>
        <v>0.47368421052631582</v>
      </c>
      <c r="I352" s="23"/>
      <c r="J352" s="23">
        <v>0.35</v>
      </c>
      <c r="K352" s="22">
        <f t="shared" si="130"/>
        <v>135.85</v>
      </c>
      <c r="L352" s="23">
        <f t="shared" si="131"/>
        <v>0.19028340080971662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25" t="s">
        <v>805</v>
      </c>
      <c r="B353" s="4"/>
      <c r="C353" s="4" t="s">
        <v>1389</v>
      </c>
      <c r="D353" s="4" t="s">
        <v>1390</v>
      </c>
      <c r="E353" s="5" t="s">
        <v>13</v>
      </c>
      <c r="F353" s="6">
        <v>4.95</v>
      </c>
      <c r="G353" s="6">
        <v>2.63</v>
      </c>
      <c r="H353" s="7">
        <f t="shared" ref="H353:H355" si="132">1-(G353/F353)</f>
        <v>0.46868686868686871</v>
      </c>
      <c r="I353" s="7"/>
      <c r="J353" s="7">
        <v>0.35</v>
      </c>
      <c r="K353" s="6">
        <f t="shared" ref="K353:K355" si="133">F353*(1-J353)</f>
        <v>3.2175000000000002</v>
      </c>
      <c r="L353" s="7">
        <f t="shared" ref="L353:L355" si="134">1-(G353/K353)</f>
        <v>0.1825951825951827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25" t="s">
        <v>805</v>
      </c>
      <c r="B354" s="4"/>
      <c r="C354" s="4" t="s">
        <v>1432</v>
      </c>
      <c r="D354" s="4" t="s">
        <v>1309</v>
      </c>
      <c r="E354" s="5" t="s">
        <v>13</v>
      </c>
      <c r="F354" s="6">
        <v>9.9499999999999993</v>
      </c>
      <c r="G354" s="6">
        <v>5.26</v>
      </c>
      <c r="H354" s="7">
        <f t="shared" si="132"/>
        <v>0.47135678391959801</v>
      </c>
      <c r="I354" s="7"/>
      <c r="J354" s="7">
        <v>0.35</v>
      </c>
      <c r="K354" s="6">
        <f t="shared" si="133"/>
        <v>6.4674999999999994</v>
      </c>
      <c r="L354" s="7">
        <f t="shared" si="134"/>
        <v>0.18670274449168922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26" t="s">
        <v>805</v>
      </c>
      <c r="B355" s="19"/>
      <c r="C355" s="19" t="s">
        <v>1433</v>
      </c>
      <c r="D355" s="19" t="s">
        <v>1434</v>
      </c>
      <c r="E355" s="20" t="s">
        <v>13</v>
      </c>
      <c r="F355" s="22">
        <v>45</v>
      </c>
      <c r="G355" s="22">
        <v>23.68</v>
      </c>
      <c r="H355" s="23">
        <f t="shared" si="132"/>
        <v>0.47377777777777774</v>
      </c>
      <c r="I355" s="23"/>
      <c r="J355" s="23">
        <v>0.35</v>
      </c>
      <c r="K355" s="22">
        <f t="shared" si="133"/>
        <v>29.25</v>
      </c>
      <c r="L355" s="23">
        <f t="shared" si="134"/>
        <v>0.19042735042735048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25" t="s">
        <v>805</v>
      </c>
      <c r="B356" s="4"/>
      <c r="C356" s="4" t="s">
        <v>1435</v>
      </c>
      <c r="D356" s="4" t="s">
        <v>1436</v>
      </c>
      <c r="E356" s="5" t="s">
        <v>13</v>
      </c>
      <c r="F356" s="6">
        <v>4.95</v>
      </c>
      <c r="G356" s="6">
        <v>2.63</v>
      </c>
      <c r="H356" s="7">
        <f t="shared" ref="H356:H372" si="135">1-(G356/F356)</f>
        <v>0.46868686868686871</v>
      </c>
      <c r="I356" s="7"/>
      <c r="J356" s="7">
        <v>0.35</v>
      </c>
      <c r="K356" s="6">
        <f t="shared" ref="K356:K372" si="136">F356*(1-J356)</f>
        <v>3.2175000000000002</v>
      </c>
      <c r="L356" s="7">
        <f t="shared" ref="L356:L372" si="137">1-(G356/K356)</f>
        <v>0.1825951825951827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25" t="s">
        <v>805</v>
      </c>
      <c r="B357" s="4"/>
      <c r="C357" s="4" t="s">
        <v>1437</v>
      </c>
      <c r="D357" s="4" t="s">
        <v>1438</v>
      </c>
      <c r="E357" s="5" t="s">
        <v>13</v>
      </c>
      <c r="F357" s="6">
        <v>45</v>
      </c>
      <c r="G357" s="6">
        <v>23.68</v>
      </c>
      <c r="H357" s="7">
        <f t="shared" si="135"/>
        <v>0.47377777777777774</v>
      </c>
      <c r="I357" s="7"/>
      <c r="J357" s="7">
        <v>0.35</v>
      </c>
      <c r="K357" s="6">
        <f t="shared" si="136"/>
        <v>29.25</v>
      </c>
      <c r="L357" s="7">
        <f t="shared" si="137"/>
        <v>0.19042735042735048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25" t="s">
        <v>805</v>
      </c>
      <c r="B358" s="4"/>
      <c r="C358" s="4" t="s">
        <v>1439</v>
      </c>
      <c r="D358" s="4" t="s">
        <v>1440</v>
      </c>
      <c r="E358" s="5" t="s">
        <v>13</v>
      </c>
      <c r="F358" s="6">
        <v>39.950000000000003</v>
      </c>
      <c r="G358" s="6">
        <v>21.05</v>
      </c>
      <c r="H358" s="7">
        <f t="shared" si="135"/>
        <v>0.47309136420525655</v>
      </c>
      <c r="I358" s="7"/>
      <c r="J358" s="7">
        <v>0.35</v>
      </c>
      <c r="K358" s="6">
        <f t="shared" si="136"/>
        <v>25.967500000000001</v>
      </c>
      <c r="L358" s="7">
        <f t="shared" si="137"/>
        <v>0.18937132954654856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25" t="s">
        <v>805</v>
      </c>
      <c r="B359" s="4"/>
      <c r="C359" s="4" t="s">
        <v>1441</v>
      </c>
      <c r="D359" s="4" t="s">
        <v>1442</v>
      </c>
      <c r="E359" s="5" t="s">
        <v>13</v>
      </c>
      <c r="F359" s="6">
        <v>19.95</v>
      </c>
      <c r="G359" s="6">
        <v>10.53</v>
      </c>
      <c r="H359" s="7">
        <f t="shared" si="135"/>
        <v>0.47218045112781959</v>
      </c>
      <c r="I359" s="7"/>
      <c r="J359" s="7">
        <v>0.35</v>
      </c>
      <c r="K359" s="6">
        <f t="shared" si="136"/>
        <v>12.967499999999999</v>
      </c>
      <c r="L359" s="7">
        <f t="shared" si="137"/>
        <v>0.18796992481203012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25" t="s">
        <v>805</v>
      </c>
      <c r="B360" s="4"/>
      <c r="C360" s="4" t="s">
        <v>1443</v>
      </c>
      <c r="D360" s="4" t="s">
        <v>1444</v>
      </c>
      <c r="E360" s="5" t="s">
        <v>13</v>
      </c>
      <c r="F360" s="6">
        <v>10</v>
      </c>
      <c r="G360" s="6">
        <v>5.26</v>
      </c>
      <c r="H360" s="7">
        <f t="shared" si="135"/>
        <v>0.47399999999999998</v>
      </c>
      <c r="I360" s="7"/>
      <c r="J360" s="7">
        <v>0.35</v>
      </c>
      <c r="K360" s="6">
        <f t="shared" si="136"/>
        <v>6.5</v>
      </c>
      <c r="L360" s="7">
        <f t="shared" si="137"/>
        <v>0.1907692307692308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25" t="s">
        <v>805</v>
      </c>
      <c r="B361" s="4"/>
      <c r="C361" s="4" t="s">
        <v>1445</v>
      </c>
      <c r="D361" s="4" t="s">
        <v>1446</v>
      </c>
      <c r="E361" s="5" t="s">
        <v>13</v>
      </c>
      <c r="F361" s="6">
        <v>10</v>
      </c>
      <c r="G361" s="6">
        <v>5.26</v>
      </c>
      <c r="H361" s="7">
        <f t="shared" si="135"/>
        <v>0.47399999999999998</v>
      </c>
      <c r="I361" s="7"/>
      <c r="J361" s="7">
        <v>0.35</v>
      </c>
      <c r="K361" s="6">
        <f t="shared" si="136"/>
        <v>6.5</v>
      </c>
      <c r="L361" s="7">
        <f t="shared" si="137"/>
        <v>0.1907692307692308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25" t="s">
        <v>805</v>
      </c>
      <c r="B362" s="4"/>
      <c r="C362" s="4" t="s">
        <v>1447</v>
      </c>
      <c r="D362" s="4" t="s">
        <v>1448</v>
      </c>
      <c r="E362" s="5" t="s">
        <v>13</v>
      </c>
      <c r="F362" s="6">
        <v>19.95</v>
      </c>
      <c r="G362" s="6">
        <v>10.53</v>
      </c>
      <c r="H362" s="7">
        <f t="shared" si="135"/>
        <v>0.47218045112781959</v>
      </c>
      <c r="I362" s="7"/>
      <c r="J362" s="7">
        <v>0.35</v>
      </c>
      <c r="K362" s="6">
        <f t="shared" si="136"/>
        <v>12.967499999999999</v>
      </c>
      <c r="L362" s="7">
        <f t="shared" si="137"/>
        <v>0.18796992481203012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25" t="s">
        <v>805</v>
      </c>
      <c r="B363" s="4"/>
      <c r="C363" s="4" t="s">
        <v>1433</v>
      </c>
      <c r="D363" s="4" t="s">
        <v>1434</v>
      </c>
      <c r="E363" s="5" t="s">
        <v>13</v>
      </c>
      <c r="F363" s="6">
        <v>45</v>
      </c>
      <c r="G363" s="6">
        <v>23.68</v>
      </c>
      <c r="H363" s="7">
        <f t="shared" si="135"/>
        <v>0.47377777777777774</v>
      </c>
      <c r="I363" s="7"/>
      <c r="J363" s="7">
        <v>0.35</v>
      </c>
      <c r="K363" s="6">
        <f t="shared" si="136"/>
        <v>29.25</v>
      </c>
      <c r="L363" s="7">
        <f t="shared" si="137"/>
        <v>0.19042735042735048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25" t="s">
        <v>805</v>
      </c>
      <c r="B364" s="4"/>
      <c r="C364" s="4" t="s">
        <v>1449</v>
      </c>
      <c r="D364" s="4" t="s">
        <v>1450</v>
      </c>
      <c r="E364" s="5" t="s">
        <v>13</v>
      </c>
      <c r="F364" s="6">
        <v>9.9499999999999993</v>
      </c>
      <c r="G364" s="6">
        <v>5.26</v>
      </c>
      <c r="H364" s="7">
        <f t="shared" si="135"/>
        <v>0.47135678391959801</v>
      </c>
      <c r="I364" s="7"/>
      <c r="J364" s="7">
        <v>0.35</v>
      </c>
      <c r="K364" s="6">
        <f t="shared" si="136"/>
        <v>6.4674999999999994</v>
      </c>
      <c r="L364" s="7">
        <f t="shared" si="137"/>
        <v>0.18670274449168922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25" t="s">
        <v>805</v>
      </c>
      <c r="B365" s="4"/>
      <c r="C365" s="4" t="s">
        <v>1451</v>
      </c>
      <c r="D365" s="4" t="s">
        <v>1452</v>
      </c>
      <c r="E365" s="5" t="s">
        <v>13</v>
      </c>
      <c r="F365" s="6">
        <v>45</v>
      </c>
      <c r="G365" s="6">
        <v>23.68</v>
      </c>
      <c r="H365" s="7">
        <f t="shared" si="135"/>
        <v>0.47377777777777774</v>
      </c>
      <c r="I365" s="7"/>
      <c r="J365" s="7">
        <v>0.35</v>
      </c>
      <c r="K365" s="6">
        <f t="shared" si="136"/>
        <v>29.25</v>
      </c>
      <c r="L365" s="7">
        <f t="shared" si="137"/>
        <v>0.19042735042735048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25" t="s">
        <v>805</v>
      </c>
      <c r="B366" s="4"/>
      <c r="C366" s="4" t="s">
        <v>1453</v>
      </c>
      <c r="D366" s="4" t="s">
        <v>1454</v>
      </c>
      <c r="E366" s="5" t="s">
        <v>13</v>
      </c>
      <c r="F366" s="6">
        <v>39.950000000000003</v>
      </c>
      <c r="G366" s="6">
        <v>21.05</v>
      </c>
      <c r="H366" s="7">
        <f t="shared" si="135"/>
        <v>0.47309136420525655</v>
      </c>
      <c r="I366" s="7"/>
      <c r="J366" s="7">
        <v>0.35</v>
      </c>
      <c r="K366" s="6">
        <f t="shared" si="136"/>
        <v>25.967500000000001</v>
      </c>
      <c r="L366" s="7">
        <f t="shared" si="137"/>
        <v>0.18937132954654856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25" t="s">
        <v>805</v>
      </c>
      <c r="B367" s="4"/>
      <c r="C367" s="4" t="s">
        <v>1455</v>
      </c>
      <c r="D367" s="4" t="s">
        <v>1456</v>
      </c>
      <c r="E367" s="5" t="s">
        <v>13</v>
      </c>
      <c r="F367" s="6">
        <v>9.9499999999999993</v>
      </c>
      <c r="G367" s="6">
        <v>4.74</v>
      </c>
      <c r="H367" s="7">
        <f t="shared" si="135"/>
        <v>0.52361809045226126</v>
      </c>
      <c r="I367" s="7"/>
      <c r="J367" s="7">
        <v>0.42</v>
      </c>
      <c r="K367" s="6">
        <f t="shared" si="136"/>
        <v>5.7709999999999999</v>
      </c>
      <c r="L367" s="7">
        <f t="shared" si="137"/>
        <v>0.17865188009010569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25" t="s">
        <v>805</v>
      </c>
      <c r="B368" s="4"/>
      <c r="C368" s="4" t="s">
        <v>1457</v>
      </c>
      <c r="D368" s="4" t="s">
        <v>1458</v>
      </c>
      <c r="E368" s="5" t="s">
        <v>13</v>
      </c>
      <c r="F368" s="6">
        <v>6.95</v>
      </c>
      <c r="G368" s="6">
        <v>3.68</v>
      </c>
      <c r="H368" s="7">
        <f t="shared" si="135"/>
        <v>0.47050359712230216</v>
      </c>
      <c r="I368" s="7"/>
      <c r="J368" s="7">
        <v>0.35</v>
      </c>
      <c r="K368" s="6">
        <f t="shared" si="136"/>
        <v>4.5175000000000001</v>
      </c>
      <c r="L368" s="7">
        <f t="shared" si="137"/>
        <v>0.1853901494189264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25" t="s">
        <v>805</v>
      </c>
      <c r="B369" s="4"/>
      <c r="C369" s="4" t="s">
        <v>1459</v>
      </c>
      <c r="D369" s="4" t="s">
        <v>1460</v>
      </c>
      <c r="E369" s="5" t="s">
        <v>13</v>
      </c>
      <c r="F369" s="6">
        <v>5.95</v>
      </c>
      <c r="G369" s="6">
        <v>3.16</v>
      </c>
      <c r="H369" s="7">
        <f t="shared" si="135"/>
        <v>0.46890756302521008</v>
      </c>
      <c r="I369" s="7"/>
      <c r="J369" s="7">
        <v>0.35</v>
      </c>
      <c r="K369" s="6">
        <f t="shared" si="136"/>
        <v>3.8675000000000002</v>
      </c>
      <c r="L369" s="7">
        <f t="shared" si="137"/>
        <v>0.18293471234647707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25" t="s">
        <v>805</v>
      </c>
      <c r="B370" s="4"/>
      <c r="C370" s="4" t="s">
        <v>1461</v>
      </c>
      <c r="D370" s="4" t="s">
        <v>1462</v>
      </c>
      <c r="E370" s="5" t="s">
        <v>13</v>
      </c>
      <c r="F370" s="6">
        <v>4.95</v>
      </c>
      <c r="G370" s="6">
        <v>2.63</v>
      </c>
      <c r="H370" s="7">
        <f t="shared" si="135"/>
        <v>0.46868686868686871</v>
      </c>
      <c r="I370" s="7"/>
      <c r="J370" s="7">
        <v>0.35</v>
      </c>
      <c r="K370" s="6">
        <f t="shared" si="136"/>
        <v>3.2175000000000002</v>
      </c>
      <c r="L370" s="7">
        <f t="shared" si="137"/>
        <v>0.1825951825951827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25" t="s">
        <v>805</v>
      </c>
      <c r="B371" s="4"/>
      <c r="C371" s="4" t="s">
        <v>1463</v>
      </c>
      <c r="D371" s="4" t="s">
        <v>1464</v>
      </c>
      <c r="E371" s="5" t="s">
        <v>13</v>
      </c>
      <c r="F371" s="6">
        <v>19.95</v>
      </c>
      <c r="G371" s="6">
        <v>10.53</v>
      </c>
      <c r="H371" s="7">
        <f t="shared" si="135"/>
        <v>0.47218045112781959</v>
      </c>
      <c r="I371" s="7"/>
      <c r="J371" s="7">
        <v>0.35</v>
      </c>
      <c r="K371" s="6">
        <f t="shared" si="136"/>
        <v>12.967499999999999</v>
      </c>
      <c r="L371" s="7">
        <f t="shared" si="137"/>
        <v>0.18796992481203012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27" t="s">
        <v>805</v>
      </c>
      <c r="B372" s="8"/>
      <c r="C372" s="8" t="s">
        <v>1465</v>
      </c>
      <c r="D372" s="8" t="s">
        <v>1307</v>
      </c>
      <c r="E372" s="9" t="s">
        <v>13</v>
      </c>
      <c r="F372" s="10">
        <v>4.95</v>
      </c>
      <c r="G372" s="10">
        <v>2.63</v>
      </c>
      <c r="H372" s="11">
        <f t="shared" si="135"/>
        <v>0.46868686868686871</v>
      </c>
      <c r="I372" s="11"/>
      <c r="J372" s="11">
        <v>0.35</v>
      </c>
      <c r="K372" s="10">
        <f t="shared" si="136"/>
        <v>3.2175000000000002</v>
      </c>
      <c r="L372" s="11">
        <f t="shared" si="137"/>
        <v>0.1825951825951827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25" t="s">
        <v>805</v>
      </c>
      <c r="B373" s="4" t="s">
        <v>1466</v>
      </c>
      <c r="C373" s="4" t="s">
        <v>1467</v>
      </c>
      <c r="D373" s="4" t="s">
        <v>1468</v>
      </c>
      <c r="E373" s="5" t="s">
        <v>13</v>
      </c>
      <c r="F373" s="6">
        <v>89.95</v>
      </c>
      <c r="G373" s="6">
        <v>45.67</v>
      </c>
      <c r="H373" s="7">
        <f t="shared" ref="H373:H374" si="138">1-(G373/F373)</f>
        <v>0.49227348526959425</v>
      </c>
      <c r="I373" s="7"/>
      <c r="J373" s="7">
        <v>0.38</v>
      </c>
      <c r="K373" s="6">
        <f t="shared" ref="K373:K374" si="139">F373*(1-J373)</f>
        <v>55.768999999999998</v>
      </c>
      <c r="L373" s="7">
        <f t="shared" ref="L373:L374" si="140">1-(G373/K373)</f>
        <v>0.18108626656386162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26" t="s">
        <v>805</v>
      </c>
      <c r="B374" s="19" t="s">
        <v>1469</v>
      </c>
      <c r="C374" s="19" t="s">
        <v>1470</v>
      </c>
      <c r="D374" s="19" t="s">
        <v>1471</v>
      </c>
      <c r="E374" s="20" t="s">
        <v>13</v>
      </c>
      <c r="F374" s="22">
        <v>129.94999999999999</v>
      </c>
      <c r="G374" s="22">
        <v>67.86</v>
      </c>
      <c r="H374" s="23">
        <f t="shared" si="138"/>
        <v>0.47779915352058477</v>
      </c>
      <c r="I374" s="23"/>
      <c r="J374" s="23">
        <v>0.35</v>
      </c>
      <c r="K374" s="22">
        <f t="shared" si="139"/>
        <v>84.467500000000001</v>
      </c>
      <c r="L374" s="23">
        <f t="shared" si="140"/>
        <v>0.19661408233936128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25" t="s">
        <v>805</v>
      </c>
      <c r="B375" s="4"/>
      <c r="C375" s="4" t="s">
        <v>1472</v>
      </c>
      <c r="D375" s="4" t="s">
        <v>1473</v>
      </c>
      <c r="E375" s="5" t="s">
        <v>13</v>
      </c>
      <c r="F375" s="6">
        <v>9.9499999999999993</v>
      </c>
      <c r="G375" s="6">
        <v>5.69</v>
      </c>
      <c r="H375" s="7">
        <f t="shared" ref="H375:H384" si="141">1-(G375/F375)</f>
        <v>0.42814070351758782</v>
      </c>
      <c r="I375" s="7"/>
      <c r="J375" s="7">
        <v>0.3</v>
      </c>
      <c r="K375" s="6">
        <f t="shared" ref="K375:K384" si="142">F375*(1-J375)</f>
        <v>6.964999999999999</v>
      </c>
      <c r="L375" s="7">
        <f t="shared" ref="L375:L384" si="143">1-(G375/K375)</f>
        <v>0.18305814788226826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25" t="s">
        <v>805</v>
      </c>
      <c r="B376" s="4"/>
      <c r="C376" s="4" t="s">
        <v>1281</v>
      </c>
      <c r="D376" s="4" t="s">
        <v>1474</v>
      </c>
      <c r="E376" s="5" t="s">
        <v>13</v>
      </c>
      <c r="F376" s="6">
        <v>14.95</v>
      </c>
      <c r="G376" s="6">
        <v>7.89</v>
      </c>
      <c r="H376" s="7">
        <f t="shared" si="141"/>
        <v>0.47224080267558532</v>
      </c>
      <c r="I376" s="7"/>
      <c r="J376" s="7">
        <v>0.35</v>
      </c>
      <c r="K376" s="6">
        <f t="shared" si="142"/>
        <v>9.7174999999999994</v>
      </c>
      <c r="L376" s="7">
        <f t="shared" si="143"/>
        <v>0.18806277334705424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25" t="s">
        <v>805</v>
      </c>
      <c r="B377" s="4"/>
      <c r="C377" s="4" t="s">
        <v>1282</v>
      </c>
      <c r="D377" s="4" t="s">
        <v>1283</v>
      </c>
      <c r="E377" s="5" t="s">
        <v>13</v>
      </c>
      <c r="F377" s="6">
        <v>4.95</v>
      </c>
      <c r="G377" s="6">
        <v>2.63</v>
      </c>
      <c r="H377" s="7">
        <f t="shared" si="141"/>
        <v>0.46868686868686871</v>
      </c>
      <c r="I377" s="7"/>
      <c r="J377" s="7">
        <v>0.35</v>
      </c>
      <c r="K377" s="6">
        <f t="shared" si="142"/>
        <v>3.2175000000000002</v>
      </c>
      <c r="L377" s="7">
        <f t="shared" si="143"/>
        <v>0.1825951825951827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25" t="s">
        <v>805</v>
      </c>
      <c r="B378" s="4"/>
      <c r="C378" s="4" t="s">
        <v>1475</v>
      </c>
      <c r="D378" s="4" t="s">
        <v>1476</v>
      </c>
      <c r="E378" s="5" t="s">
        <v>13</v>
      </c>
      <c r="F378" s="6">
        <v>9.9499999999999993</v>
      </c>
      <c r="G378" s="6">
        <v>5.26</v>
      </c>
      <c r="H378" s="7">
        <f t="shared" si="141"/>
        <v>0.47135678391959801</v>
      </c>
      <c r="I378" s="7"/>
      <c r="J378" s="7">
        <v>0.35</v>
      </c>
      <c r="K378" s="6">
        <f t="shared" si="142"/>
        <v>6.4674999999999994</v>
      </c>
      <c r="L378" s="7">
        <f t="shared" si="143"/>
        <v>0.18670274449168922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25" t="s">
        <v>805</v>
      </c>
      <c r="B379" s="4"/>
      <c r="C379" s="4" t="s">
        <v>1284</v>
      </c>
      <c r="D379" s="4" t="s">
        <v>1477</v>
      </c>
      <c r="E379" s="5" t="s">
        <v>13</v>
      </c>
      <c r="F379" s="6">
        <v>4.95</v>
      </c>
      <c r="G379" s="6">
        <v>1.68</v>
      </c>
      <c r="H379" s="7">
        <f t="shared" si="141"/>
        <v>0.66060606060606064</v>
      </c>
      <c r="I379" s="7"/>
      <c r="J379" s="7">
        <v>0.55000000000000004</v>
      </c>
      <c r="K379" s="6">
        <f t="shared" si="142"/>
        <v>2.2275</v>
      </c>
      <c r="L379" s="7">
        <f t="shared" si="143"/>
        <v>0.24579124579124578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25" t="s">
        <v>805</v>
      </c>
      <c r="B380" s="4"/>
      <c r="C380" s="4" t="s">
        <v>1478</v>
      </c>
      <c r="D380" s="4" t="s">
        <v>1479</v>
      </c>
      <c r="E380" s="5" t="s">
        <v>13</v>
      </c>
      <c r="F380" s="6">
        <v>4.95</v>
      </c>
      <c r="G380" s="6">
        <v>2.63</v>
      </c>
      <c r="H380" s="7">
        <f t="shared" si="141"/>
        <v>0.46868686868686871</v>
      </c>
      <c r="I380" s="7"/>
      <c r="J380" s="7">
        <v>0.35</v>
      </c>
      <c r="K380" s="6">
        <f t="shared" si="142"/>
        <v>3.2175000000000002</v>
      </c>
      <c r="L380" s="7">
        <f t="shared" si="143"/>
        <v>0.1825951825951827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25" t="s">
        <v>805</v>
      </c>
      <c r="B381" s="4"/>
      <c r="C381" s="4" t="s">
        <v>1480</v>
      </c>
      <c r="D381" s="4" t="s">
        <v>1481</v>
      </c>
      <c r="E381" s="5" t="s">
        <v>13</v>
      </c>
      <c r="F381" s="6">
        <v>4.95</v>
      </c>
      <c r="G381" s="6">
        <v>2.63</v>
      </c>
      <c r="H381" s="7">
        <f t="shared" si="141"/>
        <v>0.46868686868686871</v>
      </c>
      <c r="I381" s="7"/>
      <c r="J381" s="7">
        <v>0.35</v>
      </c>
      <c r="K381" s="6">
        <f t="shared" si="142"/>
        <v>3.2175000000000002</v>
      </c>
      <c r="L381" s="7">
        <f t="shared" si="143"/>
        <v>0.1825951825951827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25" t="s">
        <v>805</v>
      </c>
      <c r="B382" s="4"/>
      <c r="C382" s="4" t="s">
        <v>1482</v>
      </c>
      <c r="D382" s="4" t="s">
        <v>1483</v>
      </c>
      <c r="E382" s="5" t="s">
        <v>13</v>
      </c>
      <c r="F382" s="6">
        <v>69.95</v>
      </c>
      <c r="G382" s="6">
        <v>36.840000000000003</v>
      </c>
      <c r="H382" s="7">
        <f t="shared" si="141"/>
        <v>0.47333809864188703</v>
      </c>
      <c r="I382" s="7"/>
      <c r="J382" s="7">
        <v>0.35</v>
      </c>
      <c r="K382" s="6">
        <f t="shared" si="142"/>
        <v>45.467500000000001</v>
      </c>
      <c r="L382" s="7">
        <f t="shared" si="143"/>
        <v>0.18975092098751856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25" t="s">
        <v>805</v>
      </c>
      <c r="B383" s="4"/>
      <c r="C383" s="4" t="s">
        <v>1484</v>
      </c>
      <c r="D383" s="4" t="s">
        <v>1485</v>
      </c>
      <c r="E383" s="5" t="s">
        <v>13</v>
      </c>
      <c r="F383" s="6">
        <v>29.95</v>
      </c>
      <c r="G383" s="6">
        <v>15.79</v>
      </c>
      <c r="H383" s="7">
        <f t="shared" si="141"/>
        <v>0.47278797996661104</v>
      </c>
      <c r="I383" s="7"/>
      <c r="J383" s="7">
        <v>0.35</v>
      </c>
      <c r="K383" s="6">
        <f t="shared" si="142"/>
        <v>19.467500000000001</v>
      </c>
      <c r="L383" s="7">
        <f t="shared" si="143"/>
        <v>0.18890458456401704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27" t="s">
        <v>805</v>
      </c>
      <c r="B384" s="8"/>
      <c r="C384" s="8" t="s">
        <v>1486</v>
      </c>
      <c r="D384" s="8" t="s">
        <v>1487</v>
      </c>
      <c r="E384" s="9" t="s">
        <v>13</v>
      </c>
      <c r="F384" s="10">
        <v>9.9499999999999993</v>
      </c>
      <c r="G384" s="10">
        <v>5.26</v>
      </c>
      <c r="H384" s="11">
        <f t="shared" si="141"/>
        <v>0.47135678391959801</v>
      </c>
      <c r="I384" s="11"/>
      <c r="J384" s="11">
        <v>0.35</v>
      </c>
      <c r="K384" s="10">
        <f t="shared" si="142"/>
        <v>6.4674999999999994</v>
      </c>
      <c r="L384" s="11">
        <f t="shared" si="143"/>
        <v>0.18670274449168922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25" t="s">
        <v>805</v>
      </c>
      <c r="B385" s="4" t="s">
        <v>1488</v>
      </c>
      <c r="C385" s="4" t="s">
        <v>1489</v>
      </c>
      <c r="D385" s="4" t="s">
        <v>1490</v>
      </c>
      <c r="E385" s="5" t="s">
        <v>13</v>
      </c>
      <c r="F385" s="6">
        <v>150</v>
      </c>
      <c r="G385" s="6">
        <v>78.95</v>
      </c>
      <c r="H385" s="7">
        <f t="shared" ref="H385:H386" si="144">1-(G385/F385)</f>
        <v>0.47366666666666668</v>
      </c>
      <c r="I385" s="7"/>
      <c r="J385" s="7">
        <v>0.35</v>
      </c>
      <c r="K385" s="6">
        <f t="shared" ref="K385:K386" si="145">F385*(1-J385)</f>
        <v>97.5</v>
      </c>
      <c r="L385" s="7">
        <f t="shared" ref="L385:L386" si="146">1-(G385/K385)</f>
        <v>0.19025641025641027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26" t="s">
        <v>805</v>
      </c>
      <c r="B386" s="19" t="s">
        <v>1491</v>
      </c>
      <c r="C386" s="19" t="s">
        <v>1492</v>
      </c>
      <c r="D386" s="19" t="s">
        <v>1493</v>
      </c>
      <c r="E386" s="20" t="s">
        <v>13</v>
      </c>
      <c r="F386" s="22">
        <v>120</v>
      </c>
      <c r="G386" s="22">
        <v>63.16</v>
      </c>
      <c r="H386" s="23">
        <f t="shared" si="144"/>
        <v>0.47366666666666668</v>
      </c>
      <c r="I386" s="23"/>
      <c r="J386" s="23">
        <v>0.35</v>
      </c>
      <c r="K386" s="22">
        <f t="shared" si="145"/>
        <v>78</v>
      </c>
      <c r="L386" s="23">
        <f t="shared" si="146"/>
        <v>0.19025641025641027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25" t="s">
        <v>805</v>
      </c>
      <c r="B387" s="4"/>
      <c r="C387" s="4" t="s">
        <v>1494</v>
      </c>
      <c r="D387" s="4" t="s">
        <v>1495</v>
      </c>
      <c r="E387" s="5" t="s">
        <v>13</v>
      </c>
      <c r="F387" s="6">
        <v>4.95</v>
      </c>
      <c r="G387" s="6">
        <v>2.63</v>
      </c>
      <c r="H387" s="7">
        <f t="shared" ref="H387:H392" si="147">1-(G387/F387)</f>
        <v>0.46868686868686871</v>
      </c>
      <c r="I387" s="7"/>
      <c r="J387" s="7">
        <v>0.35</v>
      </c>
      <c r="K387" s="6">
        <f t="shared" ref="K387:K392" si="148">F387*(1-J387)</f>
        <v>3.2175000000000002</v>
      </c>
      <c r="L387" s="7">
        <f t="shared" ref="L387:L392" si="149">1-(G387/K387)</f>
        <v>0.1825951825951827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25" t="s">
        <v>805</v>
      </c>
      <c r="B388" s="4"/>
      <c r="C388" s="4" t="s">
        <v>1437</v>
      </c>
      <c r="D388" s="4" t="s">
        <v>1496</v>
      </c>
      <c r="E388" s="5" t="s">
        <v>13</v>
      </c>
      <c r="F388" s="6">
        <v>45</v>
      </c>
      <c r="G388" s="6">
        <v>23.68</v>
      </c>
      <c r="H388" s="7">
        <f t="shared" si="147"/>
        <v>0.47377777777777774</v>
      </c>
      <c r="I388" s="7"/>
      <c r="J388" s="7">
        <v>0.35</v>
      </c>
      <c r="K388" s="6">
        <f t="shared" si="148"/>
        <v>29.25</v>
      </c>
      <c r="L388" s="7">
        <f t="shared" si="149"/>
        <v>0.19042735042735048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25" t="s">
        <v>805</v>
      </c>
      <c r="B389" s="4"/>
      <c r="C389" s="4" t="s">
        <v>1497</v>
      </c>
      <c r="D389" s="4" t="s">
        <v>1498</v>
      </c>
      <c r="E389" s="5" t="s">
        <v>13</v>
      </c>
      <c r="F389" s="6">
        <v>4.95</v>
      </c>
      <c r="G389" s="6">
        <v>2.63</v>
      </c>
      <c r="H389" s="7">
        <f t="shared" si="147"/>
        <v>0.46868686868686871</v>
      </c>
      <c r="I389" s="7"/>
      <c r="J389" s="7">
        <v>0.35</v>
      </c>
      <c r="K389" s="6">
        <f t="shared" si="148"/>
        <v>3.2175000000000002</v>
      </c>
      <c r="L389" s="7">
        <f t="shared" si="149"/>
        <v>0.1825951825951827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25" t="s">
        <v>805</v>
      </c>
      <c r="B390" s="4"/>
      <c r="C390" s="4" t="s">
        <v>1475</v>
      </c>
      <c r="D390" s="4" t="s">
        <v>1499</v>
      </c>
      <c r="E390" s="5" t="s">
        <v>13</v>
      </c>
      <c r="F390" s="6">
        <v>9.9499999999999993</v>
      </c>
      <c r="G390" s="6">
        <v>5.26</v>
      </c>
      <c r="H390" s="7">
        <f t="shared" si="147"/>
        <v>0.47135678391959801</v>
      </c>
      <c r="I390" s="7"/>
      <c r="J390" s="7">
        <v>0.35</v>
      </c>
      <c r="K390" s="6">
        <f t="shared" si="148"/>
        <v>6.4674999999999994</v>
      </c>
      <c r="L390" s="7">
        <f t="shared" si="149"/>
        <v>0.18670274449168922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25" t="s">
        <v>805</v>
      </c>
      <c r="B391" s="4"/>
      <c r="C391" s="4" t="s">
        <v>1500</v>
      </c>
      <c r="D391" s="4" t="s">
        <v>1501</v>
      </c>
      <c r="E391" s="5" t="s">
        <v>13</v>
      </c>
      <c r="F391" s="6">
        <v>45</v>
      </c>
      <c r="G391" s="6">
        <v>23.68</v>
      </c>
      <c r="H391" s="7">
        <f t="shared" si="147"/>
        <v>0.47377777777777774</v>
      </c>
      <c r="I391" s="7"/>
      <c r="J391" s="7">
        <v>0.35</v>
      </c>
      <c r="K391" s="6">
        <f t="shared" si="148"/>
        <v>29.25</v>
      </c>
      <c r="L391" s="7">
        <f t="shared" si="149"/>
        <v>0.19042735042735048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26" t="s">
        <v>805</v>
      </c>
      <c r="B392" s="19"/>
      <c r="C392" s="19" t="s">
        <v>1502</v>
      </c>
      <c r="D392" s="19" t="s">
        <v>1503</v>
      </c>
      <c r="E392" s="20" t="s">
        <v>13</v>
      </c>
      <c r="F392" s="22">
        <v>9.9499999999999993</v>
      </c>
      <c r="G392" s="22">
        <v>7.89</v>
      </c>
      <c r="H392" s="23">
        <f t="shared" si="147"/>
        <v>0.20703517587939702</v>
      </c>
      <c r="I392" s="23"/>
      <c r="J392" s="23">
        <v>0</v>
      </c>
      <c r="K392" s="22">
        <f t="shared" si="148"/>
        <v>9.9499999999999993</v>
      </c>
      <c r="L392" s="23">
        <f t="shared" si="149"/>
        <v>0.20703517587939702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25" t="s">
        <v>805</v>
      </c>
      <c r="B393" s="4"/>
      <c r="C393" s="4" t="s">
        <v>1439</v>
      </c>
      <c r="D393" s="4" t="s">
        <v>1504</v>
      </c>
      <c r="E393" s="5" t="s">
        <v>13</v>
      </c>
      <c r="F393" s="6">
        <v>39.950000000000003</v>
      </c>
      <c r="G393" s="6">
        <v>21.05</v>
      </c>
      <c r="H393" s="7">
        <f t="shared" ref="H393:H396" si="150">1-(G393/F393)</f>
        <v>0.47309136420525655</v>
      </c>
      <c r="I393" s="7"/>
      <c r="J393" s="7">
        <v>0.35</v>
      </c>
      <c r="K393" s="6">
        <f t="shared" ref="K393:K396" si="151">F393*(1-J393)</f>
        <v>25.967500000000001</v>
      </c>
      <c r="L393" s="7">
        <f t="shared" ref="L393:L396" si="152">1-(G393/K393)</f>
        <v>0.18937132954654856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25" t="s">
        <v>805</v>
      </c>
      <c r="B394" s="4"/>
      <c r="C394" s="4" t="s">
        <v>1505</v>
      </c>
      <c r="D394" s="4" t="s">
        <v>1506</v>
      </c>
      <c r="E394" s="5" t="s">
        <v>13</v>
      </c>
      <c r="F394" s="6">
        <v>45</v>
      </c>
      <c r="G394" s="6">
        <v>23.68</v>
      </c>
      <c r="H394" s="7">
        <f t="shared" si="150"/>
        <v>0.47377777777777774</v>
      </c>
      <c r="I394" s="7"/>
      <c r="J394" s="7">
        <v>0.35</v>
      </c>
      <c r="K394" s="6">
        <f t="shared" si="151"/>
        <v>29.25</v>
      </c>
      <c r="L394" s="7">
        <f t="shared" si="152"/>
        <v>0.19042735042735048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25" t="s">
        <v>805</v>
      </c>
      <c r="B395" s="4"/>
      <c r="C395" s="4" t="s">
        <v>1463</v>
      </c>
      <c r="D395" s="4" t="s">
        <v>1507</v>
      </c>
      <c r="E395" s="5" t="s">
        <v>13</v>
      </c>
      <c r="F395" s="6">
        <v>19.95</v>
      </c>
      <c r="G395" s="6">
        <v>10.53</v>
      </c>
      <c r="H395" s="7">
        <f t="shared" si="150"/>
        <v>0.47218045112781959</v>
      </c>
      <c r="I395" s="7"/>
      <c r="J395" s="7">
        <v>0.35</v>
      </c>
      <c r="K395" s="6">
        <f t="shared" si="151"/>
        <v>12.967499999999999</v>
      </c>
      <c r="L395" s="7">
        <f t="shared" si="152"/>
        <v>0.18796992481203012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27" t="s">
        <v>805</v>
      </c>
      <c r="B396" s="8"/>
      <c r="C396" s="8" t="s">
        <v>1449</v>
      </c>
      <c r="D396" s="8" t="s">
        <v>1450</v>
      </c>
      <c r="E396" s="9" t="s">
        <v>13</v>
      </c>
      <c r="F396" s="10">
        <v>9.9499999999999993</v>
      </c>
      <c r="G396" s="10">
        <v>5.26</v>
      </c>
      <c r="H396" s="11">
        <f t="shared" si="150"/>
        <v>0.47135678391959801</v>
      </c>
      <c r="I396" s="11"/>
      <c r="J396" s="11">
        <v>0.35</v>
      </c>
      <c r="K396" s="10">
        <f t="shared" si="151"/>
        <v>6.4674999999999994</v>
      </c>
      <c r="L396" s="11">
        <f t="shared" si="152"/>
        <v>0.18670274449168922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25" t="s">
        <v>805</v>
      </c>
      <c r="B397" s="4"/>
      <c r="C397" s="4" t="s">
        <v>1508</v>
      </c>
      <c r="D397" s="4" t="s">
        <v>1509</v>
      </c>
      <c r="E397" s="5" t="s">
        <v>13</v>
      </c>
      <c r="F397" s="6">
        <v>74</v>
      </c>
      <c r="G397" s="6">
        <v>38.950000000000003</v>
      </c>
      <c r="H397" s="7">
        <f t="shared" ref="H397:H401" si="153">1-(G397/F397)</f>
        <v>0.47364864864864864</v>
      </c>
      <c r="I397" s="7"/>
      <c r="J397" s="7">
        <v>0.35</v>
      </c>
      <c r="K397" s="6">
        <f t="shared" ref="K397:K401" si="154">F397*(1-J397)</f>
        <v>48.1</v>
      </c>
      <c r="L397" s="7">
        <f t="shared" ref="L397:L401" si="155">1-(G397/K397)</f>
        <v>0.19022869022869016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25" t="s">
        <v>805</v>
      </c>
      <c r="B398" s="4"/>
      <c r="C398" s="4" t="s">
        <v>1510</v>
      </c>
      <c r="D398" s="4" t="s">
        <v>1511</v>
      </c>
      <c r="E398" s="5" t="s">
        <v>13</v>
      </c>
      <c r="F398" s="6">
        <v>9.9499999999999993</v>
      </c>
      <c r="G398" s="6">
        <v>6.32</v>
      </c>
      <c r="H398" s="7">
        <f t="shared" si="153"/>
        <v>0.36482412060301506</v>
      </c>
      <c r="I398" s="7"/>
      <c r="J398" s="7">
        <v>0.22</v>
      </c>
      <c r="K398" s="6">
        <f t="shared" si="154"/>
        <v>7.7610000000000001</v>
      </c>
      <c r="L398" s="7">
        <f t="shared" si="155"/>
        <v>0.18567194949104493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25" t="s">
        <v>805</v>
      </c>
      <c r="B399" s="4"/>
      <c r="C399" s="4" t="s">
        <v>1512</v>
      </c>
      <c r="D399" s="4" t="s">
        <v>1513</v>
      </c>
      <c r="E399" s="5" t="s">
        <v>13</v>
      </c>
      <c r="F399" s="6">
        <v>49.95</v>
      </c>
      <c r="G399" s="6">
        <v>26.32</v>
      </c>
      <c r="H399" s="7">
        <f t="shared" si="153"/>
        <v>0.47307307307307311</v>
      </c>
      <c r="I399" s="7"/>
      <c r="J399" s="7">
        <v>0.35</v>
      </c>
      <c r="K399" s="6">
        <f t="shared" si="154"/>
        <v>32.467500000000001</v>
      </c>
      <c r="L399" s="7">
        <f t="shared" si="155"/>
        <v>0.18934318934318939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25" t="s">
        <v>805</v>
      </c>
      <c r="B400" s="4"/>
      <c r="C400" s="4" t="s">
        <v>1514</v>
      </c>
      <c r="D400" s="4" t="s">
        <v>1515</v>
      </c>
      <c r="E400" s="5" t="s">
        <v>13</v>
      </c>
      <c r="F400" s="6">
        <v>40</v>
      </c>
      <c r="G400" s="6">
        <v>31.95</v>
      </c>
      <c r="H400" s="7">
        <f t="shared" si="153"/>
        <v>0.20125000000000004</v>
      </c>
      <c r="I400" s="7"/>
      <c r="J400" s="7">
        <v>0</v>
      </c>
      <c r="K400" s="6">
        <f t="shared" si="154"/>
        <v>40</v>
      </c>
      <c r="L400" s="7">
        <f t="shared" si="155"/>
        <v>0.20125000000000004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27" t="s">
        <v>805</v>
      </c>
      <c r="B401" s="8"/>
      <c r="C401" s="8" t="s">
        <v>1516</v>
      </c>
      <c r="D401" s="8" t="s">
        <v>1517</v>
      </c>
      <c r="E401" s="9" t="s">
        <v>13</v>
      </c>
      <c r="F401" s="10">
        <v>270</v>
      </c>
      <c r="G401" s="10">
        <v>142.11000000000001</v>
      </c>
      <c r="H401" s="11">
        <f t="shared" si="153"/>
        <v>0.47366666666666657</v>
      </c>
      <c r="I401" s="11"/>
      <c r="J401" s="11">
        <v>0.35</v>
      </c>
      <c r="K401" s="10">
        <f t="shared" si="154"/>
        <v>175.5</v>
      </c>
      <c r="L401" s="11">
        <f t="shared" si="155"/>
        <v>0.19025641025641016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26" t="s">
        <v>805</v>
      </c>
      <c r="B402" s="19" t="s">
        <v>1518</v>
      </c>
      <c r="C402" s="19" t="s">
        <v>1519</v>
      </c>
      <c r="D402" s="19" t="s">
        <v>1520</v>
      </c>
      <c r="E402" s="20" t="s">
        <v>13</v>
      </c>
      <c r="F402" s="22">
        <v>150</v>
      </c>
      <c r="G402" s="22">
        <v>78.95</v>
      </c>
      <c r="H402" s="23">
        <f>1-(G402/F402)</f>
        <v>0.47366666666666668</v>
      </c>
      <c r="I402" s="23"/>
      <c r="J402" s="23">
        <v>0.35</v>
      </c>
      <c r="K402" s="22">
        <f>F402*(1-J402)</f>
        <v>97.5</v>
      </c>
      <c r="L402" s="23">
        <f>1-(G402/K402)</f>
        <v>0.19025641025641027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25" t="s">
        <v>805</v>
      </c>
      <c r="B403" s="4"/>
      <c r="C403" s="4" t="s">
        <v>1437</v>
      </c>
      <c r="D403" s="4" t="s">
        <v>1521</v>
      </c>
      <c r="E403" s="5" t="s">
        <v>13</v>
      </c>
      <c r="F403" s="6">
        <v>45</v>
      </c>
      <c r="G403" s="6">
        <v>23.68</v>
      </c>
      <c r="H403" s="7">
        <f t="shared" ref="H403:H408" si="156">1-(G403/F403)</f>
        <v>0.47377777777777774</v>
      </c>
      <c r="I403" s="7"/>
      <c r="J403" s="7">
        <v>0.35</v>
      </c>
      <c r="K403" s="6">
        <f t="shared" ref="K403:K408" si="157">F403*(1-J403)</f>
        <v>29.25</v>
      </c>
      <c r="L403" s="7">
        <f t="shared" ref="L403:L408" si="158">1-(G403/K403)</f>
        <v>0.19042735042735048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25" t="s">
        <v>805</v>
      </c>
      <c r="B404" s="4"/>
      <c r="C404" s="4" t="s">
        <v>1497</v>
      </c>
      <c r="D404" s="4" t="s">
        <v>1522</v>
      </c>
      <c r="E404" s="5" t="s">
        <v>13</v>
      </c>
      <c r="F404" s="6">
        <v>4.95</v>
      </c>
      <c r="G404" s="6">
        <v>2.63</v>
      </c>
      <c r="H404" s="7">
        <f t="shared" si="156"/>
        <v>0.46868686868686871</v>
      </c>
      <c r="I404" s="7"/>
      <c r="J404" s="7">
        <v>0.35</v>
      </c>
      <c r="K404" s="6">
        <f t="shared" si="157"/>
        <v>3.2175000000000002</v>
      </c>
      <c r="L404" s="7">
        <f t="shared" si="158"/>
        <v>0.1825951825951827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25" t="s">
        <v>805</v>
      </c>
      <c r="B405" s="4"/>
      <c r="C405" s="4" t="s">
        <v>1523</v>
      </c>
      <c r="D405" s="4" t="s">
        <v>1524</v>
      </c>
      <c r="E405" s="5" t="s">
        <v>13</v>
      </c>
      <c r="F405" s="6">
        <v>9.9499999999999993</v>
      </c>
      <c r="G405" s="6">
        <v>5.26</v>
      </c>
      <c r="H405" s="7">
        <f t="shared" si="156"/>
        <v>0.47135678391959801</v>
      </c>
      <c r="I405" s="7"/>
      <c r="J405" s="7">
        <v>0.35</v>
      </c>
      <c r="K405" s="6">
        <f t="shared" si="157"/>
        <v>6.4674999999999994</v>
      </c>
      <c r="L405" s="7">
        <f t="shared" si="158"/>
        <v>0.18670274449168922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25" t="s">
        <v>805</v>
      </c>
      <c r="B406" s="4"/>
      <c r="C406" s="4" t="s">
        <v>1525</v>
      </c>
      <c r="D406" s="4" t="s">
        <v>1511</v>
      </c>
      <c r="E406" s="5" t="s">
        <v>13</v>
      </c>
      <c r="F406" s="6">
        <v>9.9499999999999993</v>
      </c>
      <c r="G406" s="6">
        <v>5.26</v>
      </c>
      <c r="H406" s="7">
        <f t="shared" si="156"/>
        <v>0.47135678391959801</v>
      </c>
      <c r="I406" s="7"/>
      <c r="J406" s="7">
        <v>0.35</v>
      </c>
      <c r="K406" s="6">
        <f t="shared" si="157"/>
        <v>6.4674999999999994</v>
      </c>
      <c r="L406" s="7">
        <f t="shared" si="158"/>
        <v>0.18670274449168922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25" t="s">
        <v>805</v>
      </c>
      <c r="B407" s="4"/>
      <c r="C407" s="4" t="s">
        <v>1439</v>
      </c>
      <c r="D407" s="4" t="s">
        <v>1526</v>
      </c>
      <c r="E407" s="5" t="s">
        <v>13</v>
      </c>
      <c r="F407" s="6">
        <v>39.950000000000003</v>
      </c>
      <c r="G407" s="6">
        <v>21.05</v>
      </c>
      <c r="H407" s="7">
        <f t="shared" si="156"/>
        <v>0.47309136420525655</v>
      </c>
      <c r="I407" s="7"/>
      <c r="J407" s="7">
        <v>0.35</v>
      </c>
      <c r="K407" s="6">
        <f t="shared" si="157"/>
        <v>25.967500000000001</v>
      </c>
      <c r="L407" s="7">
        <f t="shared" si="158"/>
        <v>0.18937132954654856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27" t="s">
        <v>805</v>
      </c>
      <c r="B408" s="8"/>
      <c r="C408" s="8" t="s">
        <v>1449</v>
      </c>
      <c r="D408" s="8" t="s">
        <v>1450</v>
      </c>
      <c r="E408" s="9" t="s">
        <v>13</v>
      </c>
      <c r="F408" s="10">
        <v>9.9499999999999993</v>
      </c>
      <c r="G408" s="10">
        <v>5.26</v>
      </c>
      <c r="H408" s="11">
        <f t="shared" si="156"/>
        <v>0.47135678391959801</v>
      </c>
      <c r="I408" s="11"/>
      <c r="J408" s="11">
        <v>0.35</v>
      </c>
      <c r="K408" s="10">
        <f t="shared" si="157"/>
        <v>6.4674999999999994</v>
      </c>
      <c r="L408" s="11">
        <f t="shared" si="158"/>
        <v>0.18670274449168922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25" t="s">
        <v>805</v>
      </c>
      <c r="B409" s="4" t="s">
        <v>1527</v>
      </c>
      <c r="C409" s="4" t="s">
        <v>1528</v>
      </c>
      <c r="D409" s="4" t="s">
        <v>1529</v>
      </c>
      <c r="E409" s="5" t="s">
        <v>13</v>
      </c>
      <c r="F409" s="6">
        <v>75</v>
      </c>
      <c r="G409" s="6">
        <v>39.47</v>
      </c>
      <c r="H409" s="7">
        <f t="shared" ref="H409:H410" si="159">1-(G409/F409)</f>
        <v>0.47373333333333334</v>
      </c>
      <c r="I409" s="7"/>
      <c r="J409" s="7">
        <v>0.35</v>
      </c>
      <c r="K409" s="6">
        <f t="shared" ref="K409:K410" si="160">F409*(1-J409)</f>
        <v>48.75</v>
      </c>
      <c r="L409" s="7">
        <f t="shared" ref="L409:L410" si="161">1-(G409/K409)</f>
        <v>0.19035897435897442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26" t="s">
        <v>805</v>
      </c>
      <c r="B410" s="19" t="s">
        <v>1530</v>
      </c>
      <c r="C410" s="19" t="s">
        <v>1531</v>
      </c>
      <c r="D410" s="19" t="s">
        <v>1532</v>
      </c>
      <c r="E410" s="20" t="s">
        <v>13</v>
      </c>
      <c r="F410" s="22">
        <v>85</v>
      </c>
      <c r="G410" s="22">
        <v>44.74</v>
      </c>
      <c r="H410" s="23">
        <f t="shared" si="159"/>
        <v>0.47364705882352942</v>
      </c>
      <c r="I410" s="23"/>
      <c r="J410" s="23">
        <v>0.35</v>
      </c>
      <c r="K410" s="22">
        <f t="shared" si="160"/>
        <v>55.25</v>
      </c>
      <c r="L410" s="23">
        <f t="shared" si="161"/>
        <v>0.19022624434389135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27" t="s">
        <v>805</v>
      </c>
      <c r="B411" s="8"/>
      <c r="C411" s="8" t="s">
        <v>1437</v>
      </c>
      <c r="D411" s="8" t="s">
        <v>1533</v>
      </c>
      <c r="E411" s="9" t="s">
        <v>13</v>
      </c>
      <c r="F411" s="10">
        <v>45</v>
      </c>
      <c r="G411" s="10">
        <v>23.68</v>
      </c>
      <c r="H411" s="11">
        <f>1-(G411/F411)</f>
        <v>0.47377777777777774</v>
      </c>
      <c r="I411" s="11"/>
      <c r="J411" s="11">
        <v>0.35</v>
      </c>
      <c r="K411" s="10">
        <f>F411*(1-J411)</f>
        <v>29.25</v>
      </c>
      <c r="L411" s="11">
        <f>1-(G411/K411)</f>
        <v>0.19042735042735048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25" t="s">
        <v>805</v>
      </c>
      <c r="B412" s="4" t="s">
        <v>1534</v>
      </c>
      <c r="C412" s="4" t="s">
        <v>1535</v>
      </c>
      <c r="D412" s="4" t="s">
        <v>1536</v>
      </c>
      <c r="E412" s="5" t="s">
        <v>13</v>
      </c>
      <c r="F412" s="6">
        <v>149.94999999999999</v>
      </c>
      <c r="G412" s="6">
        <v>78.95</v>
      </c>
      <c r="H412" s="7">
        <f t="shared" ref="H412:H413" si="162">1-(G412/F412)</f>
        <v>0.47349116372124034</v>
      </c>
      <c r="I412" s="7"/>
      <c r="J412" s="7">
        <v>0.35</v>
      </c>
      <c r="K412" s="6">
        <f t="shared" ref="K412:K413" si="163">F412*(1-J412)</f>
        <v>97.467500000000001</v>
      </c>
      <c r="L412" s="7">
        <f t="shared" ref="L412:L413" si="164">1-(G412/K412)</f>
        <v>0.18998640572498526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26" t="s">
        <v>805</v>
      </c>
      <c r="B413" s="19" t="s">
        <v>1537</v>
      </c>
      <c r="C413" s="19" t="s">
        <v>1538</v>
      </c>
      <c r="D413" s="19" t="s">
        <v>1539</v>
      </c>
      <c r="E413" s="20" t="s">
        <v>13</v>
      </c>
      <c r="F413" s="22">
        <v>179.95</v>
      </c>
      <c r="G413" s="22">
        <v>94.74</v>
      </c>
      <c r="H413" s="23">
        <f t="shared" si="162"/>
        <v>0.47352042233953873</v>
      </c>
      <c r="I413" s="23"/>
      <c r="J413" s="23">
        <v>0.35</v>
      </c>
      <c r="K413" s="22">
        <f t="shared" si="163"/>
        <v>116.9675</v>
      </c>
      <c r="L413" s="23">
        <f t="shared" si="164"/>
        <v>0.19003141898390585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25" t="s">
        <v>805</v>
      </c>
      <c r="B414" s="4"/>
      <c r="C414" s="4" t="s">
        <v>1059</v>
      </c>
      <c r="D414" s="4" t="s">
        <v>960</v>
      </c>
      <c r="E414" s="5" t="s">
        <v>13</v>
      </c>
      <c r="F414" s="6">
        <v>14.95</v>
      </c>
      <c r="G414" s="6">
        <v>10.53</v>
      </c>
      <c r="H414" s="7">
        <f t="shared" ref="H414:H417" si="165">1-(G414/F414)</f>
        <v>0.29565217391304344</v>
      </c>
      <c r="I414" s="7"/>
      <c r="J414" s="7">
        <v>0.12</v>
      </c>
      <c r="K414" s="6">
        <f t="shared" ref="K414:K417" si="166">F414*(1-J414)</f>
        <v>13.155999999999999</v>
      </c>
      <c r="L414" s="7">
        <f t="shared" ref="L414:L417" si="167">1-(G414/K414)</f>
        <v>0.19960474308300391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25" t="s">
        <v>805</v>
      </c>
      <c r="B415" s="4"/>
      <c r="C415" s="4" t="s">
        <v>966</v>
      </c>
      <c r="D415" s="4" t="s">
        <v>967</v>
      </c>
      <c r="E415" s="5" t="s">
        <v>13</v>
      </c>
      <c r="F415" s="6">
        <v>29.95</v>
      </c>
      <c r="G415" s="6">
        <v>16.84</v>
      </c>
      <c r="H415" s="7">
        <f t="shared" si="165"/>
        <v>0.43772954924874785</v>
      </c>
      <c r="I415" s="7"/>
      <c r="J415" s="7">
        <v>0.3</v>
      </c>
      <c r="K415" s="6">
        <f t="shared" si="166"/>
        <v>20.965</v>
      </c>
      <c r="L415" s="7">
        <f t="shared" si="167"/>
        <v>0.19675649892678271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25" t="s">
        <v>805</v>
      </c>
      <c r="B416" s="4"/>
      <c r="C416" s="4" t="s">
        <v>1540</v>
      </c>
      <c r="D416" s="4" t="s">
        <v>1541</v>
      </c>
      <c r="E416" s="5" t="s">
        <v>13</v>
      </c>
      <c r="F416" s="6">
        <v>89.95</v>
      </c>
      <c r="G416" s="6">
        <v>52.63</v>
      </c>
      <c r="H416" s="7">
        <f t="shared" si="165"/>
        <v>0.41489716509171759</v>
      </c>
      <c r="I416" s="7"/>
      <c r="J416" s="7">
        <v>0.28000000000000003</v>
      </c>
      <c r="K416" s="6">
        <f t="shared" si="166"/>
        <v>64.763999999999996</v>
      </c>
      <c r="L416" s="7">
        <f t="shared" si="167"/>
        <v>0.18735717373849659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26" t="s">
        <v>805</v>
      </c>
      <c r="B417" s="19"/>
      <c r="C417" s="19" t="s">
        <v>1542</v>
      </c>
      <c r="D417" s="19" t="s">
        <v>1543</v>
      </c>
      <c r="E417" s="20" t="s">
        <v>13</v>
      </c>
      <c r="F417" s="22">
        <v>19.95</v>
      </c>
      <c r="G417" s="22">
        <v>10.53</v>
      </c>
      <c r="H417" s="23">
        <f t="shared" si="165"/>
        <v>0.47218045112781959</v>
      </c>
      <c r="I417" s="23"/>
      <c r="J417" s="23">
        <v>0.35</v>
      </c>
      <c r="K417" s="22">
        <f t="shared" si="166"/>
        <v>12.967499999999999</v>
      </c>
      <c r="L417" s="23">
        <f t="shared" si="167"/>
        <v>0.18796992481203012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25" t="s">
        <v>805</v>
      </c>
      <c r="B418" s="4"/>
      <c r="C418" s="4" t="s">
        <v>979</v>
      </c>
      <c r="D418" s="4" t="s">
        <v>1544</v>
      </c>
      <c r="E418" s="5" t="s">
        <v>13</v>
      </c>
      <c r="F418" s="6">
        <v>79.95</v>
      </c>
      <c r="G418" s="6">
        <v>45.26</v>
      </c>
      <c r="H418" s="7">
        <f t="shared" ref="H418:H433" si="168">1-(G418/F418)</f>
        <v>0.43389618511569739</v>
      </c>
      <c r="I418" s="7"/>
      <c r="J418" s="7">
        <v>0.3</v>
      </c>
      <c r="K418" s="6">
        <f t="shared" ref="K418:K433" si="169">F418*(1-J418)</f>
        <v>55.964999999999996</v>
      </c>
      <c r="L418" s="7">
        <f t="shared" ref="L418:L433" si="170">1-(G418/K418)</f>
        <v>0.19128026445099611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25" t="s">
        <v>805</v>
      </c>
      <c r="B419" s="4"/>
      <c r="C419" s="4" t="s">
        <v>981</v>
      </c>
      <c r="D419" s="4" t="s">
        <v>1545</v>
      </c>
      <c r="E419" s="5" t="s">
        <v>13</v>
      </c>
      <c r="F419" s="6">
        <v>79.95</v>
      </c>
      <c r="G419" s="6">
        <v>45.26</v>
      </c>
      <c r="H419" s="7">
        <f t="shared" si="168"/>
        <v>0.43389618511569739</v>
      </c>
      <c r="I419" s="7"/>
      <c r="J419" s="7">
        <v>0.3</v>
      </c>
      <c r="K419" s="6">
        <f t="shared" si="169"/>
        <v>55.964999999999996</v>
      </c>
      <c r="L419" s="7">
        <f t="shared" si="170"/>
        <v>0.19128026445099611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25" t="s">
        <v>805</v>
      </c>
      <c r="B420" s="4"/>
      <c r="C420" s="4" t="s">
        <v>983</v>
      </c>
      <c r="D420" s="4" t="s">
        <v>984</v>
      </c>
      <c r="E420" s="5" t="s">
        <v>13</v>
      </c>
      <c r="F420" s="6">
        <v>79.95</v>
      </c>
      <c r="G420" s="6">
        <v>45.26</v>
      </c>
      <c r="H420" s="7">
        <f t="shared" si="168"/>
        <v>0.43389618511569739</v>
      </c>
      <c r="I420" s="7"/>
      <c r="J420" s="7">
        <v>0.3</v>
      </c>
      <c r="K420" s="6">
        <f t="shared" si="169"/>
        <v>55.964999999999996</v>
      </c>
      <c r="L420" s="7">
        <f t="shared" si="170"/>
        <v>0.19128026445099611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25" t="s">
        <v>805</v>
      </c>
      <c r="B421" s="4"/>
      <c r="C421" s="4" t="s">
        <v>1546</v>
      </c>
      <c r="D421" s="4" t="s">
        <v>986</v>
      </c>
      <c r="E421" s="5" t="s">
        <v>13</v>
      </c>
      <c r="F421" s="6">
        <v>79.95</v>
      </c>
      <c r="G421" s="6">
        <v>45.26</v>
      </c>
      <c r="H421" s="7">
        <f t="shared" si="168"/>
        <v>0.43389618511569739</v>
      </c>
      <c r="I421" s="7"/>
      <c r="J421" s="7">
        <v>0.3</v>
      </c>
      <c r="K421" s="6">
        <f t="shared" si="169"/>
        <v>55.964999999999996</v>
      </c>
      <c r="L421" s="7">
        <f t="shared" si="170"/>
        <v>0.19128026445099611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25" t="s">
        <v>805</v>
      </c>
      <c r="B422" s="4"/>
      <c r="C422" s="4" t="s">
        <v>987</v>
      </c>
      <c r="D422" s="4" t="s">
        <v>988</v>
      </c>
      <c r="E422" s="5" t="s">
        <v>13</v>
      </c>
      <c r="F422" s="6">
        <v>79.95</v>
      </c>
      <c r="G422" s="6">
        <v>45.26</v>
      </c>
      <c r="H422" s="7">
        <f t="shared" si="168"/>
        <v>0.43389618511569739</v>
      </c>
      <c r="I422" s="7"/>
      <c r="J422" s="7">
        <v>0.3</v>
      </c>
      <c r="K422" s="6">
        <f t="shared" si="169"/>
        <v>55.964999999999996</v>
      </c>
      <c r="L422" s="7">
        <f t="shared" si="170"/>
        <v>0.19128026445099611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25" t="s">
        <v>805</v>
      </c>
      <c r="B423" s="4"/>
      <c r="C423" s="4" t="s">
        <v>1101</v>
      </c>
      <c r="D423" s="4" t="s">
        <v>990</v>
      </c>
      <c r="E423" s="5" t="s">
        <v>13</v>
      </c>
      <c r="F423" s="6">
        <v>79.95</v>
      </c>
      <c r="G423" s="6">
        <v>45.26</v>
      </c>
      <c r="H423" s="7">
        <f t="shared" si="168"/>
        <v>0.43389618511569739</v>
      </c>
      <c r="I423" s="7"/>
      <c r="J423" s="7">
        <v>0.3</v>
      </c>
      <c r="K423" s="6">
        <f t="shared" si="169"/>
        <v>55.964999999999996</v>
      </c>
      <c r="L423" s="7">
        <f t="shared" si="170"/>
        <v>0.19128026445099611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25" t="s">
        <v>805</v>
      </c>
      <c r="B424" s="4"/>
      <c r="C424" s="4" t="s">
        <v>991</v>
      </c>
      <c r="D424" s="4" t="s">
        <v>992</v>
      </c>
      <c r="E424" s="5" t="s">
        <v>13</v>
      </c>
      <c r="F424" s="6">
        <v>79.95</v>
      </c>
      <c r="G424" s="6">
        <v>45.26</v>
      </c>
      <c r="H424" s="7">
        <f t="shared" si="168"/>
        <v>0.43389618511569739</v>
      </c>
      <c r="I424" s="7"/>
      <c r="J424" s="7">
        <v>0.3</v>
      </c>
      <c r="K424" s="6">
        <f t="shared" si="169"/>
        <v>55.964999999999996</v>
      </c>
      <c r="L424" s="7">
        <f t="shared" si="170"/>
        <v>0.19128026445099611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25" t="s">
        <v>805</v>
      </c>
      <c r="B425" s="4"/>
      <c r="C425" s="4" t="s">
        <v>993</v>
      </c>
      <c r="D425" s="4" t="s">
        <v>994</v>
      </c>
      <c r="E425" s="5" t="s">
        <v>13</v>
      </c>
      <c r="F425" s="6">
        <v>24.99</v>
      </c>
      <c r="G425" s="6">
        <v>13.16</v>
      </c>
      <c r="H425" s="7">
        <f t="shared" si="168"/>
        <v>0.4733893557422969</v>
      </c>
      <c r="I425" s="7"/>
      <c r="J425" s="7">
        <v>0.35</v>
      </c>
      <c r="K425" s="6">
        <f t="shared" si="169"/>
        <v>16.243500000000001</v>
      </c>
      <c r="L425" s="7">
        <f t="shared" si="170"/>
        <v>0.18982977806507217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25" t="s">
        <v>805</v>
      </c>
      <c r="B426" s="4"/>
      <c r="C426" s="4" t="s">
        <v>995</v>
      </c>
      <c r="D426" s="4" t="s">
        <v>996</v>
      </c>
      <c r="E426" s="5" t="s">
        <v>13</v>
      </c>
      <c r="F426" s="6">
        <v>14.95</v>
      </c>
      <c r="G426" s="6">
        <v>7.89</v>
      </c>
      <c r="H426" s="7">
        <f t="shared" si="168"/>
        <v>0.47224080267558532</v>
      </c>
      <c r="I426" s="7"/>
      <c r="J426" s="7">
        <v>0.35</v>
      </c>
      <c r="K426" s="6">
        <f t="shared" si="169"/>
        <v>9.7174999999999994</v>
      </c>
      <c r="L426" s="7">
        <f t="shared" si="170"/>
        <v>0.18806277334705424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25" t="s">
        <v>805</v>
      </c>
      <c r="B427" s="4"/>
      <c r="C427" s="4" t="s">
        <v>997</v>
      </c>
      <c r="D427" s="4" t="s">
        <v>1102</v>
      </c>
      <c r="E427" s="5" t="s">
        <v>13</v>
      </c>
      <c r="F427" s="6">
        <v>86</v>
      </c>
      <c r="G427" s="6">
        <v>45.26</v>
      </c>
      <c r="H427" s="7">
        <f t="shared" si="168"/>
        <v>0.47372093023255812</v>
      </c>
      <c r="I427" s="7"/>
      <c r="J427" s="7">
        <v>0.35</v>
      </c>
      <c r="K427" s="6">
        <f t="shared" si="169"/>
        <v>55.9</v>
      </c>
      <c r="L427" s="7">
        <f t="shared" si="170"/>
        <v>0.19033989266547413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25" t="s">
        <v>805</v>
      </c>
      <c r="B428" s="4"/>
      <c r="C428" s="4" t="s">
        <v>999</v>
      </c>
      <c r="D428" s="4" t="s">
        <v>1000</v>
      </c>
      <c r="E428" s="5" t="s">
        <v>13</v>
      </c>
      <c r="F428" s="6">
        <v>79.95</v>
      </c>
      <c r="G428" s="6">
        <v>45.26</v>
      </c>
      <c r="H428" s="7">
        <f t="shared" si="168"/>
        <v>0.43389618511569739</v>
      </c>
      <c r="I428" s="7"/>
      <c r="J428" s="7">
        <v>0.3</v>
      </c>
      <c r="K428" s="6">
        <f t="shared" si="169"/>
        <v>55.964999999999996</v>
      </c>
      <c r="L428" s="7">
        <f t="shared" si="170"/>
        <v>0.19128026445099611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25" t="s">
        <v>805</v>
      </c>
      <c r="B429" s="4"/>
      <c r="C429" s="4" t="s">
        <v>1001</v>
      </c>
      <c r="D429" s="4" t="s">
        <v>1002</v>
      </c>
      <c r="E429" s="5" t="s">
        <v>13</v>
      </c>
      <c r="F429" s="6">
        <v>79.95</v>
      </c>
      <c r="G429" s="6">
        <v>45.26</v>
      </c>
      <c r="H429" s="7">
        <f t="shared" si="168"/>
        <v>0.43389618511569739</v>
      </c>
      <c r="I429" s="7"/>
      <c r="J429" s="7">
        <v>0.3</v>
      </c>
      <c r="K429" s="6">
        <f t="shared" si="169"/>
        <v>55.964999999999996</v>
      </c>
      <c r="L429" s="7">
        <f t="shared" si="170"/>
        <v>0.19128026445099611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25" t="s">
        <v>805</v>
      </c>
      <c r="B430" s="4"/>
      <c r="C430" s="4" t="s">
        <v>1103</v>
      </c>
      <c r="D430" s="4" t="s">
        <v>1004</v>
      </c>
      <c r="E430" s="5" t="s">
        <v>13</v>
      </c>
      <c r="F430" s="6">
        <v>79.95</v>
      </c>
      <c r="G430" s="6">
        <v>45.26</v>
      </c>
      <c r="H430" s="7">
        <f t="shared" si="168"/>
        <v>0.43389618511569739</v>
      </c>
      <c r="I430" s="7"/>
      <c r="J430" s="7">
        <v>0.3</v>
      </c>
      <c r="K430" s="6">
        <f t="shared" si="169"/>
        <v>55.964999999999996</v>
      </c>
      <c r="L430" s="7">
        <f t="shared" si="170"/>
        <v>0.19128026445099611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25" t="s">
        <v>805</v>
      </c>
      <c r="B431" s="4"/>
      <c r="C431" s="4" t="s">
        <v>1005</v>
      </c>
      <c r="D431" s="4" t="s">
        <v>1006</v>
      </c>
      <c r="E431" s="5" t="s">
        <v>13</v>
      </c>
      <c r="F431" s="6">
        <v>79.95</v>
      </c>
      <c r="G431" s="6">
        <v>45.26</v>
      </c>
      <c r="H431" s="7">
        <f t="shared" si="168"/>
        <v>0.43389618511569739</v>
      </c>
      <c r="I431" s="7"/>
      <c r="J431" s="7">
        <v>0.3</v>
      </c>
      <c r="K431" s="6">
        <f t="shared" si="169"/>
        <v>55.964999999999996</v>
      </c>
      <c r="L431" s="7">
        <f t="shared" si="170"/>
        <v>0.19128026445099611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25" t="s">
        <v>805</v>
      </c>
      <c r="B432" s="4"/>
      <c r="C432" s="4" t="s">
        <v>1007</v>
      </c>
      <c r="D432" s="4" t="s">
        <v>1108</v>
      </c>
      <c r="E432" s="5" t="s">
        <v>13</v>
      </c>
      <c r="F432" s="6">
        <v>79.95</v>
      </c>
      <c r="G432" s="6">
        <v>42.11</v>
      </c>
      <c r="H432" s="7">
        <f t="shared" si="168"/>
        <v>0.47329580988117581</v>
      </c>
      <c r="I432" s="7"/>
      <c r="J432" s="7">
        <v>0.35</v>
      </c>
      <c r="K432" s="6">
        <f t="shared" si="169"/>
        <v>51.967500000000001</v>
      </c>
      <c r="L432" s="7">
        <f t="shared" si="170"/>
        <v>0.18968586135565502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27" t="s">
        <v>805</v>
      </c>
      <c r="B433" s="8"/>
      <c r="C433" s="8" t="s">
        <v>1009</v>
      </c>
      <c r="D433" s="8" t="s">
        <v>1010</v>
      </c>
      <c r="E433" s="9" t="s">
        <v>13</v>
      </c>
      <c r="F433" s="10">
        <v>79.95</v>
      </c>
      <c r="G433" s="10">
        <v>42.11</v>
      </c>
      <c r="H433" s="11">
        <f t="shared" si="168"/>
        <v>0.47329580988117581</v>
      </c>
      <c r="I433" s="11"/>
      <c r="J433" s="11">
        <v>0.35</v>
      </c>
      <c r="K433" s="10">
        <f t="shared" si="169"/>
        <v>51.967500000000001</v>
      </c>
      <c r="L433" s="11">
        <f t="shared" si="170"/>
        <v>0.18968586135565502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25" t="s">
        <v>805</v>
      </c>
      <c r="B434" s="4" t="s">
        <v>1547</v>
      </c>
      <c r="C434" s="4" t="s">
        <v>1548</v>
      </c>
      <c r="D434" s="4" t="s">
        <v>1549</v>
      </c>
      <c r="E434" s="5" t="s">
        <v>13</v>
      </c>
      <c r="F434" s="6">
        <v>59</v>
      </c>
      <c r="G434" s="6">
        <v>31.05</v>
      </c>
      <c r="H434" s="7">
        <f t="shared" ref="H434:H436" si="171">1-(G434/F434)</f>
        <v>0.47372881355932206</v>
      </c>
      <c r="I434" s="7"/>
      <c r="J434" s="7">
        <v>0.35</v>
      </c>
      <c r="K434" s="6">
        <f t="shared" ref="K434:K436" si="172">F434*(1-J434)</f>
        <v>38.35</v>
      </c>
      <c r="L434" s="7">
        <f t="shared" ref="L434:L436" si="173">1-(G434/K434)</f>
        <v>0.19035202086049541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25" t="s">
        <v>805</v>
      </c>
      <c r="B435" s="4" t="s">
        <v>1550</v>
      </c>
      <c r="C435" s="4" t="s">
        <v>1551</v>
      </c>
      <c r="D435" s="4" t="s">
        <v>1552</v>
      </c>
      <c r="E435" s="5" t="s">
        <v>13</v>
      </c>
      <c r="F435" s="6">
        <v>99</v>
      </c>
      <c r="G435" s="6">
        <v>52.11</v>
      </c>
      <c r="H435" s="7">
        <f t="shared" si="171"/>
        <v>0.47363636363636363</v>
      </c>
      <c r="I435" s="7"/>
      <c r="J435" s="7">
        <v>0.35</v>
      </c>
      <c r="K435" s="6">
        <f t="shared" si="172"/>
        <v>64.350000000000009</v>
      </c>
      <c r="L435" s="7">
        <f t="shared" si="173"/>
        <v>0.19020979020979034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26" t="s">
        <v>805</v>
      </c>
      <c r="B436" s="19" t="s">
        <v>1553</v>
      </c>
      <c r="C436" s="19" t="s">
        <v>1554</v>
      </c>
      <c r="D436" s="19" t="s">
        <v>1555</v>
      </c>
      <c r="E436" s="20" t="s">
        <v>13</v>
      </c>
      <c r="F436" s="22">
        <v>104</v>
      </c>
      <c r="G436" s="22">
        <v>54.74</v>
      </c>
      <c r="H436" s="23">
        <f t="shared" si="171"/>
        <v>0.47365384615384609</v>
      </c>
      <c r="I436" s="23"/>
      <c r="J436" s="23">
        <v>0.35</v>
      </c>
      <c r="K436" s="22">
        <f t="shared" si="172"/>
        <v>67.600000000000009</v>
      </c>
      <c r="L436" s="23">
        <f t="shared" si="173"/>
        <v>0.19023668639053259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25" t="s">
        <v>805</v>
      </c>
      <c r="B437" s="4"/>
      <c r="C437" s="4" t="s">
        <v>1443</v>
      </c>
      <c r="D437" s="4" t="s">
        <v>1444</v>
      </c>
      <c r="E437" s="5" t="s">
        <v>13</v>
      </c>
      <c r="F437" s="6">
        <v>10</v>
      </c>
      <c r="G437" s="6">
        <v>5.26</v>
      </c>
      <c r="H437" s="7">
        <f t="shared" ref="H437:H439" si="174">1-(G437/F437)</f>
        <v>0.47399999999999998</v>
      </c>
      <c r="I437" s="7"/>
      <c r="J437" s="7">
        <v>0.35</v>
      </c>
      <c r="K437" s="6">
        <f t="shared" ref="K437:K439" si="175">F437*(1-J437)</f>
        <v>6.5</v>
      </c>
      <c r="L437" s="7">
        <f t="shared" ref="L437:L439" si="176">1-(G437/K437)</f>
        <v>0.1907692307692308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25" t="s">
        <v>805</v>
      </c>
      <c r="B438" s="4"/>
      <c r="C438" s="4" t="s">
        <v>1445</v>
      </c>
      <c r="D438" s="4" t="s">
        <v>1446</v>
      </c>
      <c r="E438" s="5" t="s">
        <v>13</v>
      </c>
      <c r="F438" s="6">
        <v>10</v>
      </c>
      <c r="G438" s="6">
        <v>5.26</v>
      </c>
      <c r="H438" s="7">
        <f t="shared" si="174"/>
        <v>0.47399999999999998</v>
      </c>
      <c r="I438" s="7"/>
      <c r="J438" s="7">
        <v>0.35</v>
      </c>
      <c r="K438" s="6">
        <f t="shared" si="175"/>
        <v>6.5</v>
      </c>
      <c r="L438" s="7">
        <f t="shared" si="176"/>
        <v>0.1907692307692308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25" t="s">
        <v>805</v>
      </c>
      <c r="B439" s="8"/>
      <c r="C439" s="8" t="s">
        <v>1449</v>
      </c>
      <c r="D439" s="8" t="s">
        <v>1450</v>
      </c>
      <c r="E439" s="9" t="s">
        <v>13</v>
      </c>
      <c r="F439" s="10">
        <v>10</v>
      </c>
      <c r="G439" s="10">
        <v>5.26</v>
      </c>
      <c r="H439" s="11">
        <f t="shared" si="174"/>
        <v>0.47399999999999998</v>
      </c>
      <c r="I439" s="11"/>
      <c r="J439" s="11">
        <v>0.35</v>
      </c>
      <c r="K439" s="10">
        <f t="shared" si="175"/>
        <v>6.5</v>
      </c>
      <c r="L439" s="11">
        <f t="shared" si="176"/>
        <v>0.1907692307692308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25" t="s">
        <v>805</v>
      </c>
      <c r="B440" s="4"/>
      <c r="C440" s="4" t="s">
        <v>1461</v>
      </c>
      <c r="D440" s="4" t="s">
        <v>1556</v>
      </c>
      <c r="E440" s="5" t="s">
        <v>13</v>
      </c>
      <c r="F440" s="6">
        <v>4.95</v>
      </c>
      <c r="G440" s="6">
        <v>2.63</v>
      </c>
      <c r="H440" s="7">
        <f t="shared" ref="H440:H454" si="177">1-(G440/F440)</f>
        <v>0.46868686868686871</v>
      </c>
      <c r="I440" s="7"/>
      <c r="J440" s="7">
        <v>0.35</v>
      </c>
      <c r="K440" s="6">
        <f t="shared" ref="K440:K454" si="178">F440*(1-J440)</f>
        <v>3.2175000000000002</v>
      </c>
      <c r="L440" s="7">
        <f t="shared" ref="L440:L454" si="179">1-(G440/K440)</f>
        <v>0.1825951825951827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25" t="s">
        <v>805</v>
      </c>
      <c r="B441" s="4"/>
      <c r="C441" s="4" t="s">
        <v>1557</v>
      </c>
      <c r="D441" s="4" t="s">
        <v>1558</v>
      </c>
      <c r="E441" s="5" t="s">
        <v>13</v>
      </c>
      <c r="F441" s="6">
        <v>19.95</v>
      </c>
      <c r="G441" s="6">
        <v>10.53</v>
      </c>
      <c r="H441" s="7">
        <f t="shared" si="177"/>
        <v>0.47218045112781959</v>
      </c>
      <c r="I441" s="7"/>
      <c r="J441" s="7">
        <v>0.35</v>
      </c>
      <c r="K441" s="6">
        <f t="shared" si="178"/>
        <v>12.967499999999999</v>
      </c>
      <c r="L441" s="7">
        <f t="shared" si="179"/>
        <v>0.18796992481203012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25" t="s">
        <v>805</v>
      </c>
      <c r="B442" s="4"/>
      <c r="C442" s="4" t="s">
        <v>1437</v>
      </c>
      <c r="D442" s="4" t="s">
        <v>1521</v>
      </c>
      <c r="E442" s="5" t="s">
        <v>13</v>
      </c>
      <c r="F442" s="6">
        <v>45</v>
      </c>
      <c r="G442" s="6">
        <v>23.68</v>
      </c>
      <c r="H442" s="7">
        <f t="shared" si="177"/>
        <v>0.47377777777777774</v>
      </c>
      <c r="I442" s="7"/>
      <c r="J442" s="7">
        <v>0.35</v>
      </c>
      <c r="K442" s="6">
        <f t="shared" si="178"/>
        <v>29.25</v>
      </c>
      <c r="L442" s="7">
        <f t="shared" si="179"/>
        <v>0.19042735042735048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25" t="s">
        <v>805</v>
      </c>
      <c r="B443" s="4"/>
      <c r="C443" s="4" t="s">
        <v>1439</v>
      </c>
      <c r="D443" s="4" t="s">
        <v>1526</v>
      </c>
      <c r="E443" s="5" t="s">
        <v>13</v>
      </c>
      <c r="F443" s="6">
        <v>39.950000000000003</v>
      </c>
      <c r="G443" s="6">
        <v>21.05</v>
      </c>
      <c r="H443" s="7">
        <f t="shared" si="177"/>
        <v>0.47309136420525655</v>
      </c>
      <c r="I443" s="7"/>
      <c r="J443" s="7">
        <v>0.35</v>
      </c>
      <c r="K443" s="6">
        <f t="shared" si="178"/>
        <v>25.967500000000001</v>
      </c>
      <c r="L443" s="7">
        <f t="shared" si="179"/>
        <v>0.18937132954654856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25" t="s">
        <v>805</v>
      </c>
      <c r="B444" s="4"/>
      <c r="C444" s="4" t="s">
        <v>1441</v>
      </c>
      <c r="D444" s="4" t="s">
        <v>1559</v>
      </c>
      <c r="E444" s="5" t="s">
        <v>13</v>
      </c>
      <c r="F444" s="6">
        <v>19.95</v>
      </c>
      <c r="G444" s="6">
        <v>10.53</v>
      </c>
      <c r="H444" s="7">
        <f t="shared" si="177"/>
        <v>0.47218045112781959</v>
      </c>
      <c r="I444" s="7"/>
      <c r="J444" s="7">
        <v>0.35</v>
      </c>
      <c r="K444" s="6">
        <f t="shared" si="178"/>
        <v>12.967499999999999</v>
      </c>
      <c r="L444" s="7">
        <f t="shared" si="179"/>
        <v>0.18796992481203012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25" t="s">
        <v>805</v>
      </c>
      <c r="B445" s="4"/>
      <c r="C445" s="4" t="s">
        <v>1560</v>
      </c>
      <c r="D445" s="4" t="s">
        <v>1561</v>
      </c>
      <c r="E445" s="5" t="s">
        <v>13</v>
      </c>
      <c r="F445" s="6">
        <v>45</v>
      </c>
      <c r="G445" s="6">
        <v>23.68</v>
      </c>
      <c r="H445" s="7">
        <f t="shared" si="177"/>
        <v>0.47377777777777774</v>
      </c>
      <c r="I445" s="7"/>
      <c r="J445" s="7">
        <v>0.35</v>
      </c>
      <c r="K445" s="6">
        <f t="shared" si="178"/>
        <v>29.25</v>
      </c>
      <c r="L445" s="7">
        <f t="shared" si="179"/>
        <v>0.19042735042735048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25" t="s">
        <v>805</v>
      </c>
      <c r="B446" s="4"/>
      <c r="C446" s="4" t="s">
        <v>1505</v>
      </c>
      <c r="D446" s="4" t="s">
        <v>1562</v>
      </c>
      <c r="E446" s="5" t="s">
        <v>13</v>
      </c>
      <c r="F446" s="6">
        <v>45</v>
      </c>
      <c r="G446" s="6">
        <v>23.68</v>
      </c>
      <c r="H446" s="7">
        <f t="shared" si="177"/>
        <v>0.47377777777777774</v>
      </c>
      <c r="I446" s="7"/>
      <c r="J446" s="7">
        <v>0.35</v>
      </c>
      <c r="K446" s="6">
        <f t="shared" si="178"/>
        <v>29.25</v>
      </c>
      <c r="L446" s="7">
        <f t="shared" si="179"/>
        <v>0.19042735042735048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25" t="s">
        <v>805</v>
      </c>
      <c r="B447" s="4"/>
      <c r="C447" s="4" t="s">
        <v>1447</v>
      </c>
      <c r="D447" s="4" t="s">
        <v>1563</v>
      </c>
      <c r="E447" s="5" t="s">
        <v>13</v>
      </c>
      <c r="F447" s="6">
        <v>45</v>
      </c>
      <c r="G447" s="6">
        <v>23.68</v>
      </c>
      <c r="H447" s="7">
        <f t="shared" si="177"/>
        <v>0.47377777777777774</v>
      </c>
      <c r="I447" s="7"/>
      <c r="J447" s="7">
        <v>0.35</v>
      </c>
      <c r="K447" s="6">
        <f t="shared" si="178"/>
        <v>29.25</v>
      </c>
      <c r="L447" s="7">
        <f t="shared" si="179"/>
        <v>0.19042735042735048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25" t="s">
        <v>805</v>
      </c>
      <c r="B448" s="4"/>
      <c r="C448" s="4" t="s">
        <v>1463</v>
      </c>
      <c r="D448" s="4" t="s">
        <v>1564</v>
      </c>
      <c r="E448" s="5" t="s">
        <v>13</v>
      </c>
      <c r="F448" s="6">
        <v>19.95</v>
      </c>
      <c r="G448" s="6">
        <v>10.53</v>
      </c>
      <c r="H448" s="7">
        <f t="shared" si="177"/>
        <v>0.47218045112781959</v>
      </c>
      <c r="I448" s="7"/>
      <c r="J448" s="7">
        <v>0.35</v>
      </c>
      <c r="K448" s="6">
        <f t="shared" si="178"/>
        <v>12.967499999999999</v>
      </c>
      <c r="L448" s="7">
        <f t="shared" si="179"/>
        <v>0.18796992481203012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25" t="s">
        <v>805</v>
      </c>
      <c r="B449" s="4"/>
      <c r="C449" s="4" t="s">
        <v>1497</v>
      </c>
      <c r="D449" s="4" t="s">
        <v>1565</v>
      </c>
      <c r="E449" s="5" t="s">
        <v>13</v>
      </c>
      <c r="F449" s="6">
        <v>4.95</v>
      </c>
      <c r="G449" s="6">
        <v>2.63</v>
      </c>
      <c r="H449" s="7">
        <f t="shared" si="177"/>
        <v>0.46868686868686871</v>
      </c>
      <c r="I449" s="7"/>
      <c r="J449" s="7">
        <v>0.35</v>
      </c>
      <c r="K449" s="6">
        <f t="shared" si="178"/>
        <v>3.2175000000000002</v>
      </c>
      <c r="L449" s="7">
        <f t="shared" si="179"/>
        <v>0.1825951825951827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25" t="s">
        <v>805</v>
      </c>
      <c r="B450" s="4"/>
      <c r="C450" s="4" t="s">
        <v>1566</v>
      </c>
      <c r="D450" s="4" t="s">
        <v>1567</v>
      </c>
      <c r="E450" s="5" t="s">
        <v>13</v>
      </c>
      <c r="F450" s="6">
        <v>39.950000000000003</v>
      </c>
      <c r="G450" s="6">
        <v>21.05</v>
      </c>
      <c r="H450" s="7">
        <f t="shared" si="177"/>
        <v>0.47309136420525655</v>
      </c>
      <c r="I450" s="7"/>
      <c r="J450" s="7">
        <v>0.35</v>
      </c>
      <c r="K450" s="6">
        <f t="shared" si="178"/>
        <v>25.967500000000001</v>
      </c>
      <c r="L450" s="7">
        <f t="shared" si="179"/>
        <v>0.18937132954654856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25" t="s">
        <v>805</v>
      </c>
      <c r="B451" s="4"/>
      <c r="C451" s="4" t="s">
        <v>1433</v>
      </c>
      <c r="D451" s="4" t="s">
        <v>1568</v>
      </c>
      <c r="E451" s="5" t="s">
        <v>13</v>
      </c>
      <c r="F451" s="6">
        <v>45</v>
      </c>
      <c r="G451" s="6">
        <v>23.68</v>
      </c>
      <c r="H451" s="7">
        <f t="shared" si="177"/>
        <v>0.47377777777777774</v>
      </c>
      <c r="I451" s="7"/>
      <c r="J451" s="7">
        <v>0.35</v>
      </c>
      <c r="K451" s="6">
        <f t="shared" si="178"/>
        <v>29.25</v>
      </c>
      <c r="L451" s="7">
        <f t="shared" si="179"/>
        <v>0.19042735042735048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25" t="s">
        <v>805</v>
      </c>
      <c r="B452" s="4"/>
      <c r="C452" s="4" t="s">
        <v>1449</v>
      </c>
      <c r="D452" s="4" t="s">
        <v>1450</v>
      </c>
      <c r="E452" s="5" t="s">
        <v>13</v>
      </c>
      <c r="F452" s="6">
        <v>9.9499999999999993</v>
      </c>
      <c r="G452" s="6">
        <v>5.26</v>
      </c>
      <c r="H452" s="7">
        <f t="shared" si="177"/>
        <v>0.47135678391959801</v>
      </c>
      <c r="I452" s="7"/>
      <c r="J452" s="7">
        <v>0.35</v>
      </c>
      <c r="K452" s="6">
        <f t="shared" si="178"/>
        <v>6.4674999999999994</v>
      </c>
      <c r="L452" s="7">
        <f t="shared" si="179"/>
        <v>0.18670274449168922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25" t="s">
        <v>805</v>
      </c>
      <c r="B453" s="4"/>
      <c r="C453" s="4" t="s">
        <v>1569</v>
      </c>
      <c r="D453" s="4" t="s">
        <v>1452</v>
      </c>
      <c r="E453" s="5" t="s">
        <v>13</v>
      </c>
      <c r="F453" s="6">
        <v>45</v>
      </c>
      <c r="G453" s="6">
        <v>23.68</v>
      </c>
      <c r="H453" s="7">
        <f t="shared" si="177"/>
        <v>0.47377777777777774</v>
      </c>
      <c r="I453" s="7"/>
      <c r="J453" s="7">
        <v>0.35</v>
      </c>
      <c r="K453" s="6">
        <f t="shared" si="178"/>
        <v>29.25</v>
      </c>
      <c r="L453" s="7">
        <f t="shared" si="179"/>
        <v>0.19042735042735048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26" t="s">
        <v>805</v>
      </c>
      <c r="B454" s="19"/>
      <c r="C454" s="19" t="s">
        <v>1570</v>
      </c>
      <c r="D454" s="19" t="s">
        <v>1571</v>
      </c>
      <c r="E454" s="20" t="s">
        <v>13</v>
      </c>
      <c r="F454" s="22">
        <v>45</v>
      </c>
      <c r="G454" s="22">
        <v>23.68</v>
      </c>
      <c r="H454" s="23">
        <f t="shared" si="177"/>
        <v>0.47377777777777774</v>
      </c>
      <c r="I454" s="23"/>
      <c r="J454" s="23">
        <v>0.35</v>
      </c>
      <c r="K454" s="22">
        <f t="shared" si="178"/>
        <v>29.25</v>
      </c>
      <c r="L454" s="23">
        <f t="shared" si="179"/>
        <v>0.19042735042735048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s="135" customFormat="1" ht="12.75" customHeight="1" x14ac:dyDescent="0.3">
      <c r="A455" s="162" t="s">
        <v>805</v>
      </c>
      <c r="B455" s="136"/>
      <c r="C455" s="136" t="s">
        <v>1146</v>
      </c>
      <c r="D455" s="136" t="s">
        <v>1169</v>
      </c>
      <c r="E455" s="137" t="s">
        <v>13</v>
      </c>
      <c r="F455" s="139">
        <v>98</v>
      </c>
      <c r="G455" s="139">
        <v>51.58</v>
      </c>
      <c r="H455" s="140">
        <f t="shared" ref="H455:H458" si="180">1-(G455/F455)</f>
        <v>0.47367346938775512</v>
      </c>
      <c r="I455" s="140"/>
      <c r="J455" s="140">
        <v>0.35</v>
      </c>
      <c r="K455" s="139">
        <f t="shared" ref="K455:K458" si="181">F455*(1-J455)</f>
        <v>63.7</v>
      </c>
      <c r="L455" s="140">
        <f t="shared" ref="L455:L458" si="182">1-(G455/K455)</f>
        <v>0.19026687598116176</v>
      </c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spans="1:26" ht="12.75" customHeight="1" x14ac:dyDescent="0.3">
      <c r="A456" s="25" t="s">
        <v>805</v>
      </c>
      <c r="B456" s="4"/>
      <c r="C456" s="4" t="s">
        <v>1572</v>
      </c>
      <c r="D456" s="4" t="s">
        <v>1573</v>
      </c>
      <c r="E456" s="5" t="s">
        <v>13</v>
      </c>
      <c r="F456" s="6">
        <v>19.95</v>
      </c>
      <c r="G456" s="6">
        <v>10.53</v>
      </c>
      <c r="H456" s="7">
        <f t="shared" si="180"/>
        <v>0.47218045112781959</v>
      </c>
      <c r="I456" s="7"/>
      <c r="J456" s="7">
        <v>0.35</v>
      </c>
      <c r="K456" s="6">
        <f t="shared" si="181"/>
        <v>12.967499999999999</v>
      </c>
      <c r="L456" s="7">
        <f t="shared" si="182"/>
        <v>0.18796992481203012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25" t="s">
        <v>805</v>
      </c>
      <c r="B457" s="4"/>
      <c r="C457" s="4" t="s">
        <v>1574</v>
      </c>
      <c r="D457" s="4" t="s">
        <v>1575</v>
      </c>
      <c r="E457" s="5" t="s">
        <v>13</v>
      </c>
      <c r="F457" s="6">
        <v>19.95</v>
      </c>
      <c r="G457" s="6">
        <v>10.53</v>
      </c>
      <c r="H457" s="7">
        <f t="shared" si="180"/>
        <v>0.47218045112781959</v>
      </c>
      <c r="I457" s="7"/>
      <c r="J457" s="7">
        <v>0.35</v>
      </c>
      <c r="K457" s="6">
        <f t="shared" si="181"/>
        <v>12.967499999999999</v>
      </c>
      <c r="L457" s="7">
        <f t="shared" si="182"/>
        <v>0.18796992481203012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25" t="s">
        <v>805</v>
      </c>
      <c r="B458" s="4"/>
      <c r="C458" s="4" t="s">
        <v>1154</v>
      </c>
      <c r="D458" s="4" t="s">
        <v>1167</v>
      </c>
      <c r="E458" s="5" t="s">
        <v>13</v>
      </c>
      <c r="F458" s="6">
        <v>98</v>
      </c>
      <c r="G458" s="6">
        <v>51.58</v>
      </c>
      <c r="H458" s="7">
        <f t="shared" si="180"/>
        <v>0.47367346938775512</v>
      </c>
      <c r="I458" s="7"/>
      <c r="J458" s="7">
        <v>0.35</v>
      </c>
      <c r="K458" s="10">
        <f t="shared" si="181"/>
        <v>63.7</v>
      </c>
      <c r="L458" s="11">
        <f t="shared" si="182"/>
        <v>0.19026687598116176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25" t="s">
        <v>805</v>
      </c>
      <c r="B459" s="4"/>
      <c r="C459" s="4" t="s">
        <v>1576</v>
      </c>
      <c r="D459" s="4" t="s">
        <v>1577</v>
      </c>
      <c r="E459" s="5" t="s">
        <v>13</v>
      </c>
      <c r="F459" s="6">
        <v>79.95</v>
      </c>
      <c r="G459" s="6">
        <v>50.53</v>
      </c>
      <c r="H459" s="7">
        <f t="shared" ref="H459:H463" si="183">1-(G459/F459)</f>
        <v>0.36797998749218264</v>
      </c>
      <c r="I459" s="7"/>
      <c r="J459" s="7">
        <v>0.05</v>
      </c>
      <c r="K459" s="6">
        <f t="shared" ref="K459:K463" si="184">F459*(1-J459)</f>
        <v>75.952500000000001</v>
      </c>
      <c r="L459" s="7">
        <f t="shared" ref="L459:L463" si="185">1-(G459/K459)</f>
        <v>0.33471577630756066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25" t="s">
        <v>805</v>
      </c>
      <c r="B460" s="4"/>
      <c r="C460" s="4" t="s">
        <v>1578</v>
      </c>
      <c r="D460" s="4" t="s">
        <v>1579</v>
      </c>
      <c r="E460" s="5" t="s">
        <v>13</v>
      </c>
      <c r="F460" s="6">
        <v>139.99</v>
      </c>
      <c r="G460" s="6">
        <v>116.32</v>
      </c>
      <c r="H460" s="7">
        <f t="shared" si="183"/>
        <v>0.16908350596471189</v>
      </c>
      <c r="I460" s="7"/>
      <c r="J460" s="7">
        <v>0</v>
      </c>
      <c r="K460" s="6">
        <f t="shared" si="184"/>
        <v>139.99</v>
      </c>
      <c r="L460" s="7">
        <f t="shared" si="185"/>
        <v>0.16908350596471189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25" t="s">
        <v>805</v>
      </c>
      <c r="B461" s="4"/>
      <c r="C461" s="4" t="s">
        <v>1580</v>
      </c>
      <c r="D461" s="4" t="s">
        <v>1581</v>
      </c>
      <c r="E461" s="5" t="s">
        <v>13</v>
      </c>
      <c r="F461" s="6">
        <v>139.99</v>
      </c>
      <c r="G461" s="6">
        <v>116.32</v>
      </c>
      <c r="H461" s="7">
        <f t="shared" si="183"/>
        <v>0.16908350596471189</v>
      </c>
      <c r="I461" s="7"/>
      <c r="J461" s="7">
        <v>0</v>
      </c>
      <c r="K461" s="6">
        <f t="shared" si="184"/>
        <v>139.99</v>
      </c>
      <c r="L461" s="7">
        <f t="shared" si="185"/>
        <v>0.16908350596471189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">
      <c r="A462" s="4"/>
      <c r="B462" s="4"/>
      <c r="C462" s="4" t="s">
        <v>1582</v>
      </c>
      <c r="D462" s="4" t="s">
        <v>1583</v>
      </c>
      <c r="E462" s="5"/>
      <c r="F462" s="6">
        <v>79.95</v>
      </c>
      <c r="G462" s="6">
        <v>50.53</v>
      </c>
      <c r="H462" s="7">
        <f t="shared" si="183"/>
        <v>0.36797998749218264</v>
      </c>
      <c r="I462" s="7"/>
      <c r="J462" s="7">
        <v>0.1</v>
      </c>
      <c r="K462" s="6">
        <f t="shared" si="184"/>
        <v>71.954999999999998</v>
      </c>
      <c r="L462" s="7">
        <f t="shared" si="185"/>
        <v>0.29775554165798068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 t="s">
        <v>1584</v>
      </c>
      <c r="D463" s="4" t="s">
        <v>1585</v>
      </c>
      <c r="E463" s="5"/>
      <c r="F463" s="6">
        <v>39.99</v>
      </c>
      <c r="G463" s="6">
        <v>25.26</v>
      </c>
      <c r="H463" s="7">
        <f t="shared" si="183"/>
        <v>0.36834208552138037</v>
      </c>
      <c r="I463" s="7"/>
      <c r="J463" s="7">
        <v>0.1</v>
      </c>
      <c r="K463" s="6">
        <f t="shared" si="184"/>
        <v>35.991</v>
      </c>
      <c r="L463" s="7">
        <f t="shared" si="185"/>
        <v>0.29815787280153372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5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5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5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130"/>
      <c r="C467" s="4"/>
      <c r="D467" s="4"/>
      <c r="E467" s="5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5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5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5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5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5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5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5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5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5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5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5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5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5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5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5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5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5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5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5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5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5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5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5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5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5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5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5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5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5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5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5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5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5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5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5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5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5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5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5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5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5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5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5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5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5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5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5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5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5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5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5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5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5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5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5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5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5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5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5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5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5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5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5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5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5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5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5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5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5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5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5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5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5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5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5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5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5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5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5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5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5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5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5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5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5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5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5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5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5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5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5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5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5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5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5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5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5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5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5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5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5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5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5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5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5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5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5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5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5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5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5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5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5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5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5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5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5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5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5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5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5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5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5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5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5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5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5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5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5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5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5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5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5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5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5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5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5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5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5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5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5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5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5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5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5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5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5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5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5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5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5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5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5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5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5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5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5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5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5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5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5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5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5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5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5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5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5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5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5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5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5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5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5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5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5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5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5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5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5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5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5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5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5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5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5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5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5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5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5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5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5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5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5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5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5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5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5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5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5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5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5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5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5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5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5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5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5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5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5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5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5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5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5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5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5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5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5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5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5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5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5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5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5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5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5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5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5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5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5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5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5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5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5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5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5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5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5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5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5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5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5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5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5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5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5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5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5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5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5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5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5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5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5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5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5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5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5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5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5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5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5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5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5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5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5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5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5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5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5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5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5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5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5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5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5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5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5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5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5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5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5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5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5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5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5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5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5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5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5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5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5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5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5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5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5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5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5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5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5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5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5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5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5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5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5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5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5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5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5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5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5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5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5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5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5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5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5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5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5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5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5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5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5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5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5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5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5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5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5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5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5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5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5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5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5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5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5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5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5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5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5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5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5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5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5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5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5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5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5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5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5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5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5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5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5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5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5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5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5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5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5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5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5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5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5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5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5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5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5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5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5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5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5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5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5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5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5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5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5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5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5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5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5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5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5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5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5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5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5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5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5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5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5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5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5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5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5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5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5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5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5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5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5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5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5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5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5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5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5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5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5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5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5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5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5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5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5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5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5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5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5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5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5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5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5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5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5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5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5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5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5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5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5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5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5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5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5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5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5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5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5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5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5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5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5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5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5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5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5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</sheetData>
  <pageMargins left="0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5"/>
  <sheetViews>
    <sheetView workbookViewId="0">
      <pane ySplit="1" topLeftCell="A86" activePane="bottomLeft" state="frozen"/>
      <selection pane="bottomLeft" activeCell="J2" sqref="J2:J109"/>
    </sheetView>
  </sheetViews>
  <sheetFormatPr defaultColWidth="14.44140625" defaultRowHeight="15" customHeight="1" x14ac:dyDescent="0.3"/>
  <cols>
    <col min="1" max="1" width="22.44140625" customWidth="1"/>
    <col min="2" max="2" width="15.88671875" customWidth="1"/>
    <col min="3" max="3" width="14.44140625" customWidth="1"/>
    <col min="4" max="4" width="54.5546875" customWidth="1"/>
    <col min="5" max="5" width="5.44140625" customWidth="1"/>
    <col min="6" max="6" width="9.33203125" customWidth="1"/>
    <col min="7" max="7" width="12" customWidth="1"/>
    <col min="8" max="8" width="7.44140625" customWidth="1"/>
    <col min="9" max="9" width="2.109375" customWidth="1"/>
    <col min="10" max="10" width="8.5546875" customWidth="1"/>
    <col min="11" max="11" width="9.109375" customWidth="1"/>
    <col min="12" max="12" width="7.44140625" customWidth="1"/>
    <col min="13" max="13" width="13.33203125" customWidth="1"/>
    <col min="14" max="26" width="8.6640625" customWidth="1"/>
  </cols>
  <sheetData>
    <row r="1" spans="1:26" ht="12.75" customHeight="1" x14ac:dyDescent="0.3">
      <c r="A1" s="31" t="s">
        <v>0</v>
      </c>
      <c r="B1" s="31" t="s">
        <v>1</v>
      </c>
      <c r="C1" s="31" t="s">
        <v>1586</v>
      </c>
      <c r="D1" s="32" t="s">
        <v>2</v>
      </c>
      <c r="E1" s="32" t="s">
        <v>3</v>
      </c>
      <c r="F1" s="33" t="s">
        <v>4</v>
      </c>
      <c r="G1" s="33" t="s">
        <v>162</v>
      </c>
      <c r="H1" s="34" t="s">
        <v>7</v>
      </c>
      <c r="I1" s="34"/>
      <c r="J1" s="34" t="s">
        <v>8</v>
      </c>
      <c r="K1" s="33" t="s">
        <v>9</v>
      </c>
      <c r="L1" s="34" t="s">
        <v>7</v>
      </c>
      <c r="M1" s="35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75" customHeight="1" x14ac:dyDescent="0.3">
      <c r="A2" s="38" t="s">
        <v>1587</v>
      </c>
      <c r="B2" s="38" t="s">
        <v>1588</v>
      </c>
      <c r="C2" s="38" t="s">
        <v>1589</v>
      </c>
      <c r="D2" s="39" t="s">
        <v>1590</v>
      </c>
      <c r="E2" s="40" t="s">
        <v>13</v>
      </c>
      <c r="F2" s="41">
        <v>379</v>
      </c>
      <c r="G2" s="41">
        <v>229</v>
      </c>
      <c r="H2" s="42">
        <f>1-(G2/F2)</f>
        <v>0.39577836411609502</v>
      </c>
      <c r="I2" s="42"/>
      <c r="J2" s="42">
        <v>0.25</v>
      </c>
      <c r="K2" s="41">
        <f>F2*(1-J2)</f>
        <v>284.25</v>
      </c>
      <c r="L2" s="42">
        <f>1-(G2/K2)</f>
        <v>0.19437115215479328</v>
      </c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135" customFormat="1" ht="12.75" customHeight="1" x14ac:dyDescent="0.3">
      <c r="A3" s="165" t="s">
        <v>1587</v>
      </c>
      <c r="B3" s="166" t="s">
        <v>1591</v>
      </c>
      <c r="C3" s="166" t="s">
        <v>1592</v>
      </c>
      <c r="D3" s="167" t="s">
        <v>1593</v>
      </c>
      <c r="E3" s="137" t="s">
        <v>13</v>
      </c>
      <c r="F3" s="168">
        <v>85</v>
      </c>
      <c r="G3" s="168">
        <v>51.37</v>
      </c>
      <c r="H3" s="169">
        <f t="shared" ref="H3:H7" si="0">1-(G3/F3)</f>
        <v>0.39564705882352946</v>
      </c>
      <c r="I3" s="169"/>
      <c r="J3" s="169">
        <v>0.25</v>
      </c>
      <c r="K3" s="168">
        <f t="shared" ref="K3:K7" si="1">F3*(1-J3)</f>
        <v>63.75</v>
      </c>
      <c r="L3" s="169">
        <f t="shared" ref="L3:L7" si="2">1-(G3/K3)</f>
        <v>0.19419607843137254</v>
      </c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spans="1:26" s="135" customFormat="1" ht="12.75" customHeight="1" x14ac:dyDescent="0.3">
      <c r="A4" s="165" t="s">
        <v>1587</v>
      </c>
      <c r="B4" s="166" t="s">
        <v>1594</v>
      </c>
      <c r="C4" s="166" t="s">
        <v>1595</v>
      </c>
      <c r="D4" s="167" t="s">
        <v>1596</v>
      </c>
      <c r="E4" s="137" t="s">
        <v>13</v>
      </c>
      <c r="F4" s="168">
        <v>101</v>
      </c>
      <c r="G4" s="168">
        <v>61.04</v>
      </c>
      <c r="H4" s="169">
        <f t="shared" si="0"/>
        <v>0.39564356435643566</v>
      </c>
      <c r="I4" s="169"/>
      <c r="J4" s="169">
        <v>0.25</v>
      </c>
      <c r="K4" s="168">
        <f t="shared" si="1"/>
        <v>75.75</v>
      </c>
      <c r="L4" s="169">
        <f t="shared" si="2"/>
        <v>0.19419141914191418</v>
      </c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spans="1:26" s="135" customFormat="1" ht="12.75" customHeight="1" x14ac:dyDescent="0.3">
      <c r="A5" s="165" t="s">
        <v>1587</v>
      </c>
      <c r="B5" s="166" t="s">
        <v>1597</v>
      </c>
      <c r="C5" s="166" t="s">
        <v>1598</v>
      </c>
      <c r="D5" s="167" t="s">
        <v>1599</v>
      </c>
      <c r="E5" s="137" t="s">
        <v>13</v>
      </c>
      <c r="F5" s="168">
        <v>128</v>
      </c>
      <c r="G5" s="168">
        <v>77.36</v>
      </c>
      <c r="H5" s="169">
        <f t="shared" si="0"/>
        <v>0.395625</v>
      </c>
      <c r="I5" s="169"/>
      <c r="J5" s="169">
        <v>0.25</v>
      </c>
      <c r="K5" s="168">
        <f t="shared" si="1"/>
        <v>96</v>
      </c>
      <c r="L5" s="169">
        <f t="shared" si="2"/>
        <v>0.19416666666666671</v>
      </c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spans="1:26" ht="12.75" customHeight="1" x14ac:dyDescent="0.3">
      <c r="A6" s="47" t="s">
        <v>1587</v>
      </c>
      <c r="B6" s="37" t="s">
        <v>1600</v>
      </c>
      <c r="C6" s="37" t="s">
        <v>1601</v>
      </c>
      <c r="D6" s="43" t="s">
        <v>1602</v>
      </c>
      <c r="E6" s="5" t="s">
        <v>13</v>
      </c>
      <c r="F6" s="45">
        <v>289</v>
      </c>
      <c r="G6" s="45">
        <v>174.67</v>
      </c>
      <c r="H6" s="46">
        <f t="shared" si="0"/>
        <v>0.39560553633217999</v>
      </c>
      <c r="I6" s="46"/>
      <c r="J6" s="46">
        <v>0.25</v>
      </c>
      <c r="K6" s="45">
        <f t="shared" si="1"/>
        <v>216.75</v>
      </c>
      <c r="L6" s="46">
        <f t="shared" si="2"/>
        <v>0.19414071510957331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2.75" customHeight="1" x14ac:dyDescent="0.3">
      <c r="A7" s="47" t="s">
        <v>1587</v>
      </c>
      <c r="B7" s="37" t="s">
        <v>1603</v>
      </c>
      <c r="C7" s="37" t="s">
        <v>1604</v>
      </c>
      <c r="D7" s="39" t="s">
        <v>1605</v>
      </c>
      <c r="E7" s="40" t="s">
        <v>13</v>
      </c>
      <c r="F7" s="41">
        <v>69</v>
      </c>
      <c r="G7" s="41">
        <v>41.7</v>
      </c>
      <c r="H7" s="42">
        <f t="shared" si="0"/>
        <v>0.39565217391304341</v>
      </c>
      <c r="I7" s="42"/>
      <c r="J7" s="42">
        <v>0.25</v>
      </c>
      <c r="K7" s="41">
        <f t="shared" si="1"/>
        <v>51.75</v>
      </c>
      <c r="L7" s="42">
        <f t="shared" si="2"/>
        <v>0.19420289855072459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s="135" customFormat="1" ht="12.75" customHeight="1" x14ac:dyDescent="0.3">
      <c r="A8" s="165" t="s">
        <v>1587</v>
      </c>
      <c r="B8" s="166" t="s">
        <v>1606</v>
      </c>
      <c r="C8" s="166" t="s">
        <v>1607</v>
      </c>
      <c r="D8" s="167" t="s">
        <v>1608</v>
      </c>
      <c r="E8" s="137" t="s">
        <v>13</v>
      </c>
      <c r="F8" s="168">
        <v>119</v>
      </c>
      <c r="G8" s="168">
        <v>65.38</v>
      </c>
      <c r="H8" s="169">
        <f t="shared" ref="H8:H15" si="3">1-(G8/F8)</f>
        <v>0.45058823529411773</v>
      </c>
      <c r="I8" s="169"/>
      <c r="J8" s="169">
        <v>0.32</v>
      </c>
      <c r="K8" s="168">
        <f t="shared" ref="K8:K15" si="4">F8*(1-J8)</f>
        <v>80.919999999999987</v>
      </c>
      <c r="L8" s="169">
        <f t="shared" ref="L8:L15" si="5">1-(G8/K8)</f>
        <v>0.19204152249134943</v>
      </c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spans="1:26" s="135" customFormat="1" ht="12.75" customHeight="1" x14ac:dyDescent="0.3">
      <c r="A9" s="165" t="s">
        <v>1587</v>
      </c>
      <c r="B9" s="166" t="s">
        <v>1609</v>
      </c>
      <c r="C9" s="166" t="s">
        <v>1610</v>
      </c>
      <c r="D9" s="167" t="s">
        <v>1611</v>
      </c>
      <c r="E9" s="137" t="s">
        <v>13</v>
      </c>
      <c r="F9" s="168">
        <v>149</v>
      </c>
      <c r="G9" s="168">
        <v>81.87</v>
      </c>
      <c r="H9" s="169">
        <f t="shared" si="3"/>
        <v>0.45053691275167784</v>
      </c>
      <c r="I9" s="169"/>
      <c r="J9" s="169">
        <v>0.32</v>
      </c>
      <c r="K9" s="168">
        <f t="shared" si="4"/>
        <v>101.32</v>
      </c>
      <c r="L9" s="169">
        <f t="shared" si="5"/>
        <v>0.19196604816423202</v>
      </c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spans="1:26" s="135" customFormat="1" ht="12.75" customHeight="1" x14ac:dyDescent="0.3">
      <c r="A10" s="165" t="s">
        <v>1587</v>
      </c>
      <c r="B10" s="166" t="s">
        <v>1612</v>
      </c>
      <c r="C10" s="166" t="s">
        <v>1613</v>
      </c>
      <c r="D10" s="167" t="s">
        <v>1614</v>
      </c>
      <c r="E10" s="137" t="s">
        <v>13</v>
      </c>
      <c r="F10" s="168">
        <v>239</v>
      </c>
      <c r="G10" s="168">
        <v>144.44999999999999</v>
      </c>
      <c r="H10" s="169">
        <f t="shared" si="3"/>
        <v>0.39560669456066955</v>
      </c>
      <c r="I10" s="169"/>
      <c r="J10" s="169">
        <v>0.25</v>
      </c>
      <c r="K10" s="168">
        <f t="shared" si="4"/>
        <v>179.25</v>
      </c>
      <c r="L10" s="169">
        <f t="shared" si="5"/>
        <v>0.19414225941422603</v>
      </c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spans="1:26" s="135" customFormat="1" ht="12.75" customHeight="1" x14ac:dyDescent="0.3">
      <c r="A11" s="165" t="s">
        <v>1587</v>
      </c>
      <c r="B11" s="166" t="s">
        <v>1615</v>
      </c>
      <c r="C11" s="166" t="s">
        <v>1616</v>
      </c>
      <c r="D11" s="167" t="s">
        <v>1617</v>
      </c>
      <c r="E11" s="137" t="s">
        <v>13</v>
      </c>
      <c r="F11" s="168">
        <v>349</v>
      </c>
      <c r="G11" s="168">
        <v>210.93</v>
      </c>
      <c r="H11" s="169">
        <f t="shared" si="3"/>
        <v>0.39561604584527221</v>
      </c>
      <c r="I11" s="169"/>
      <c r="J11" s="169">
        <v>0.25</v>
      </c>
      <c r="K11" s="168">
        <f t="shared" si="4"/>
        <v>261.75</v>
      </c>
      <c r="L11" s="169">
        <f t="shared" si="5"/>
        <v>0.19415472779369625</v>
      </c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spans="1:26" s="135" customFormat="1" ht="12.75" customHeight="1" x14ac:dyDescent="0.3">
      <c r="A12" s="165" t="s">
        <v>1587</v>
      </c>
      <c r="B12" s="166" t="s">
        <v>1618</v>
      </c>
      <c r="C12" s="166" t="s">
        <v>1619</v>
      </c>
      <c r="D12" s="171" t="s">
        <v>1620</v>
      </c>
      <c r="E12" s="137" t="s">
        <v>13</v>
      </c>
      <c r="F12" s="168">
        <v>419</v>
      </c>
      <c r="G12" s="168">
        <v>253.24</v>
      </c>
      <c r="H12" s="169">
        <f t="shared" si="3"/>
        <v>0.39560859188544151</v>
      </c>
      <c r="I12" s="169"/>
      <c r="J12" s="169">
        <v>0.25</v>
      </c>
      <c r="K12" s="168">
        <f t="shared" si="4"/>
        <v>314.25</v>
      </c>
      <c r="L12" s="169">
        <f t="shared" si="5"/>
        <v>0.19414478918058864</v>
      </c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spans="1:26" s="135" customFormat="1" ht="12.75" customHeight="1" x14ac:dyDescent="0.3">
      <c r="A13" s="165" t="s">
        <v>1587</v>
      </c>
      <c r="B13" s="166" t="s">
        <v>1600</v>
      </c>
      <c r="C13" s="166" t="s">
        <v>1601</v>
      </c>
      <c r="D13" s="167" t="s">
        <v>1602</v>
      </c>
      <c r="E13" s="137" t="s">
        <v>13</v>
      </c>
      <c r="F13" s="168">
        <v>289</v>
      </c>
      <c r="G13" s="168">
        <v>174.67</v>
      </c>
      <c r="H13" s="169">
        <f t="shared" si="3"/>
        <v>0.39560553633217999</v>
      </c>
      <c r="I13" s="169"/>
      <c r="J13" s="169">
        <v>0.25</v>
      </c>
      <c r="K13" s="168">
        <f t="shared" si="4"/>
        <v>216.75</v>
      </c>
      <c r="L13" s="169">
        <f t="shared" si="5"/>
        <v>0.19414071510957331</v>
      </c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spans="1:26" ht="12.75" customHeight="1" x14ac:dyDescent="0.3">
      <c r="A14" s="47" t="s">
        <v>1587</v>
      </c>
      <c r="B14" s="37" t="s">
        <v>1621</v>
      </c>
      <c r="C14" s="37" t="s">
        <v>1622</v>
      </c>
      <c r="D14" s="43" t="s">
        <v>1623</v>
      </c>
      <c r="E14" s="5" t="s">
        <v>13</v>
      </c>
      <c r="F14" s="45">
        <v>95</v>
      </c>
      <c r="G14" s="45">
        <v>57.42</v>
      </c>
      <c r="H14" s="46">
        <f t="shared" si="3"/>
        <v>0.39557894736842103</v>
      </c>
      <c r="I14" s="46"/>
      <c r="J14" s="46">
        <v>0.25</v>
      </c>
      <c r="K14" s="45">
        <f t="shared" si="4"/>
        <v>71.25</v>
      </c>
      <c r="L14" s="46">
        <f t="shared" si="5"/>
        <v>0.19410526315789467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.75" customHeight="1" x14ac:dyDescent="0.3">
      <c r="A15" s="48" t="s">
        <v>1587</v>
      </c>
      <c r="B15" s="38" t="s">
        <v>1624</v>
      </c>
      <c r="C15" s="38" t="s">
        <v>1625</v>
      </c>
      <c r="D15" s="39" t="s">
        <v>1626</v>
      </c>
      <c r="E15" s="40" t="s">
        <v>13</v>
      </c>
      <c r="F15" s="41">
        <v>140</v>
      </c>
      <c r="G15" s="41">
        <v>84.62</v>
      </c>
      <c r="H15" s="42">
        <f t="shared" si="3"/>
        <v>0.39557142857142857</v>
      </c>
      <c r="I15" s="42"/>
      <c r="J15" s="42">
        <v>0.25</v>
      </c>
      <c r="K15" s="41">
        <f t="shared" si="4"/>
        <v>105</v>
      </c>
      <c r="L15" s="42">
        <f t="shared" si="5"/>
        <v>0.1940952380952381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s="135" customFormat="1" ht="12.75" customHeight="1" x14ac:dyDescent="0.3">
      <c r="A16" s="165" t="s">
        <v>1587</v>
      </c>
      <c r="B16" s="166" t="s">
        <v>1627</v>
      </c>
      <c r="C16" s="166" t="s">
        <v>1628</v>
      </c>
      <c r="D16" s="167" t="s">
        <v>1629</v>
      </c>
      <c r="E16" s="137" t="s">
        <v>13</v>
      </c>
      <c r="F16" s="168">
        <v>599</v>
      </c>
      <c r="G16" s="168">
        <v>362.03</v>
      </c>
      <c r="H16" s="169">
        <f t="shared" ref="H16:H22" si="6">1-(G16/F16)</f>
        <v>0.39560934891485811</v>
      </c>
      <c r="I16" s="169"/>
      <c r="J16" s="169">
        <v>0.25</v>
      </c>
      <c r="K16" s="168">
        <f t="shared" ref="K16:K22" si="7">F16*(1-J16)</f>
        <v>449.25</v>
      </c>
      <c r="L16" s="169">
        <f t="shared" ref="L16:L22" si="8">1-(G16/K16)</f>
        <v>0.19414579855314418</v>
      </c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spans="1:26" s="135" customFormat="1" ht="12.75" customHeight="1" x14ac:dyDescent="0.3">
      <c r="A17" s="165" t="s">
        <v>1587</v>
      </c>
      <c r="B17" s="166" t="s">
        <v>1630</v>
      </c>
      <c r="C17" s="166" t="s">
        <v>1631</v>
      </c>
      <c r="D17" s="167" t="s">
        <v>1632</v>
      </c>
      <c r="E17" s="137" t="s">
        <v>13</v>
      </c>
      <c r="F17" s="168">
        <v>649</v>
      </c>
      <c r="G17" s="168">
        <v>392.25</v>
      </c>
      <c r="H17" s="169">
        <f t="shared" si="6"/>
        <v>0.3956086286594761</v>
      </c>
      <c r="I17" s="169"/>
      <c r="J17" s="169">
        <v>0.25</v>
      </c>
      <c r="K17" s="168">
        <f t="shared" si="7"/>
        <v>486.75</v>
      </c>
      <c r="L17" s="169">
        <f t="shared" si="8"/>
        <v>0.19414483821263484</v>
      </c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spans="1:26" s="135" customFormat="1" ht="12.75" customHeight="1" x14ac:dyDescent="0.3">
      <c r="A18" s="165" t="s">
        <v>1587</v>
      </c>
      <c r="B18" s="166" t="s">
        <v>1633</v>
      </c>
      <c r="C18" s="166" t="s">
        <v>1634</v>
      </c>
      <c r="D18" s="167" t="s">
        <v>1635</v>
      </c>
      <c r="E18" s="137" t="s">
        <v>13</v>
      </c>
      <c r="F18" s="168">
        <v>869</v>
      </c>
      <c r="G18" s="168">
        <v>525.22</v>
      </c>
      <c r="H18" s="169">
        <f t="shared" si="6"/>
        <v>0.39560414269275024</v>
      </c>
      <c r="I18" s="169"/>
      <c r="J18" s="169">
        <v>0.25</v>
      </c>
      <c r="K18" s="168">
        <f t="shared" si="7"/>
        <v>651.75</v>
      </c>
      <c r="L18" s="169">
        <f t="shared" si="8"/>
        <v>0.19413885692366706</v>
      </c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spans="1:26" s="135" customFormat="1" ht="12.75" customHeight="1" x14ac:dyDescent="0.3">
      <c r="A19" s="165" t="s">
        <v>1587</v>
      </c>
      <c r="B19" s="166" t="s">
        <v>1636</v>
      </c>
      <c r="C19" s="166" t="s">
        <v>1637</v>
      </c>
      <c r="D19" s="167" t="s">
        <v>1638</v>
      </c>
      <c r="E19" s="137" t="s">
        <v>13</v>
      </c>
      <c r="F19" s="168">
        <v>1059</v>
      </c>
      <c r="G19" s="168">
        <v>640.04999999999995</v>
      </c>
      <c r="H19" s="169">
        <f t="shared" si="6"/>
        <v>0.3956090651558074</v>
      </c>
      <c r="I19" s="169"/>
      <c r="J19" s="169">
        <v>0.25</v>
      </c>
      <c r="K19" s="168">
        <f t="shared" si="7"/>
        <v>794.25</v>
      </c>
      <c r="L19" s="169">
        <f t="shared" si="8"/>
        <v>0.19414542020774317</v>
      </c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spans="1:26" s="135" customFormat="1" ht="12.75" customHeight="1" x14ac:dyDescent="0.3">
      <c r="A20" s="165" t="s">
        <v>1587</v>
      </c>
      <c r="B20" s="166" t="s">
        <v>1639</v>
      </c>
      <c r="C20" s="166" t="s">
        <v>1640</v>
      </c>
      <c r="D20" s="167" t="s">
        <v>1641</v>
      </c>
      <c r="E20" s="137" t="s">
        <v>13</v>
      </c>
      <c r="F20" s="168">
        <v>1349</v>
      </c>
      <c r="G20" s="168">
        <v>815.33</v>
      </c>
      <c r="H20" s="169">
        <f t="shared" si="6"/>
        <v>0.3956041512231282</v>
      </c>
      <c r="I20" s="169"/>
      <c r="J20" s="169">
        <v>0.25</v>
      </c>
      <c r="K20" s="168">
        <f t="shared" si="7"/>
        <v>1011.75</v>
      </c>
      <c r="L20" s="169">
        <f t="shared" si="8"/>
        <v>0.19413886829750426</v>
      </c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spans="1:26" s="135" customFormat="1" ht="12.75" customHeight="1" x14ac:dyDescent="0.3">
      <c r="A21" s="165" t="s">
        <v>1587</v>
      </c>
      <c r="B21" s="166" t="s">
        <v>1642</v>
      </c>
      <c r="C21" s="166" t="s">
        <v>1643</v>
      </c>
      <c r="D21" s="167" t="s">
        <v>1644</v>
      </c>
      <c r="E21" s="137" t="s">
        <v>13</v>
      </c>
      <c r="F21" s="168">
        <v>1479</v>
      </c>
      <c r="G21" s="168">
        <v>893.9</v>
      </c>
      <c r="H21" s="169">
        <f t="shared" si="6"/>
        <v>0.39560513860716706</v>
      </c>
      <c r="I21" s="169"/>
      <c r="J21" s="169">
        <v>0.25</v>
      </c>
      <c r="K21" s="168">
        <f t="shared" si="7"/>
        <v>1109.25</v>
      </c>
      <c r="L21" s="169">
        <f t="shared" si="8"/>
        <v>0.19414018480955608</v>
      </c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spans="1:26" ht="12.75" customHeight="1" x14ac:dyDescent="0.3">
      <c r="A22" s="49" t="s">
        <v>1587</v>
      </c>
      <c r="B22" s="50" t="s">
        <v>1645</v>
      </c>
      <c r="C22" s="50" t="s">
        <v>1646</v>
      </c>
      <c r="D22" s="51" t="s">
        <v>1647</v>
      </c>
      <c r="E22" s="52" t="s">
        <v>13</v>
      </c>
      <c r="F22" s="53">
        <v>1479</v>
      </c>
      <c r="G22" s="53">
        <v>893.9</v>
      </c>
      <c r="H22" s="54">
        <f t="shared" si="6"/>
        <v>0.39560513860716706</v>
      </c>
      <c r="I22" s="54"/>
      <c r="J22" s="54">
        <v>0.25</v>
      </c>
      <c r="K22" s="53">
        <f t="shared" si="7"/>
        <v>1109.25</v>
      </c>
      <c r="L22" s="54">
        <f t="shared" si="8"/>
        <v>0.19414018480955608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2.75" customHeight="1" x14ac:dyDescent="0.3">
      <c r="A23" s="47" t="s">
        <v>1587</v>
      </c>
      <c r="B23" s="37" t="s">
        <v>1648</v>
      </c>
      <c r="C23" s="37" t="s">
        <v>1649</v>
      </c>
      <c r="D23" s="43" t="s">
        <v>1650</v>
      </c>
      <c r="E23" s="5" t="s">
        <v>13</v>
      </c>
      <c r="F23" s="45">
        <v>899</v>
      </c>
      <c r="G23" s="45">
        <v>543.35</v>
      </c>
      <c r="H23" s="46">
        <f t="shared" ref="H23:H40" si="9">1-(G23/F23)</f>
        <v>0.39560622914349275</v>
      </c>
      <c r="I23" s="46"/>
      <c r="J23" s="46">
        <v>0.25</v>
      </c>
      <c r="K23" s="45">
        <f t="shared" ref="K23:K40" si="10">F23*(1-J23)</f>
        <v>674.25</v>
      </c>
      <c r="L23" s="46">
        <f t="shared" ref="L23:L40" si="11">1-(G23/K23)</f>
        <v>0.1941416388579903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2.75" customHeight="1" x14ac:dyDescent="0.3">
      <c r="A24" s="47" t="s">
        <v>1587</v>
      </c>
      <c r="B24" s="37" t="s">
        <v>1651</v>
      </c>
      <c r="C24" s="37" t="s">
        <v>1652</v>
      </c>
      <c r="D24" s="43" t="s">
        <v>1653</v>
      </c>
      <c r="E24" s="5" t="s">
        <v>13</v>
      </c>
      <c r="F24" s="45">
        <v>1139</v>
      </c>
      <c r="G24" s="45">
        <v>688.41</v>
      </c>
      <c r="H24" s="46">
        <f t="shared" si="9"/>
        <v>0.39560140474100092</v>
      </c>
      <c r="I24" s="46"/>
      <c r="J24" s="46">
        <v>0.25</v>
      </c>
      <c r="K24" s="45">
        <f t="shared" si="10"/>
        <v>854.25</v>
      </c>
      <c r="L24" s="46">
        <f t="shared" si="11"/>
        <v>0.19413520632133452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.75" customHeight="1" x14ac:dyDescent="0.3">
      <c r="A25" s="47" t="s">
        <v>1587</v>
      </c>
      <c r="B25" s="37" t="s">
        <v>1654</v>
      </c>
      <c r="C25" s="37" t="s">
        <v>1655</v>
      </c>
      <c r="D25" s="43" t="s">
        <v>1656</v>
      </c>
      <c r="E25" s="5" t="s">
        <v>13</v>
      </c>
      <c r="F25" s="45">
        <v>116</v>
      </c>
      <c r="G25" s="45">
        <v>70.11</v>
      </c>
      <c r="H25" s="46">
        <f t="shared" si="9"/>
        <v>0.39560344827586202</v>
      </c>
      <c r="I25" s="46"/>
      <c r="J25" s="46">
        <v>0.25</v>
      </c>
      <c r="K25" s="45">
        <f t="shared" si="10"/>
        <v>87</v>
      </c>
      <c r="L25" s="46">
        <f t="shared" si="11"/>
        <v>0.19413793103448274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2.75" customHeight="1" x14ac:dyDescent="0.3">
      <c r="A26" s="47" t="s">
        <v>1587</v>
      </c>
      <c r="B26" s="37" t="s">
        <v>1657</v>
      </c>
      <c r="C26" s="37" t="s">
        <v>1658</v>
      </c>
      <c r="D26" s="43" t="s">
        <v>1659</v>
      </c>
      <c r="E26" s="5" t="s">
        <v>13</v>
      </c>
      <c r="F26" s="45">
        <v>89</v>
      </c>
      <c r="G26" s="45">
        <v>53.79</v>
      </c>
      <c r="H26" s="46">
        <f t="shared" si="9"/>
        <v>0.39561797752808991</v>
      </c>
      <c r="I26" s="46"/>
      <c r="J26" s="46">
        <v>0.25</v>
      </c>
      <c r="K26" s="45">
        <f t="shared" si="10"/>
        <v>66.75</v>
      </c>
      <c r="L26" s="46">
        <f t="shared" si="11"/>
        <v>0.19415730337078652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2.75" customHeight="1" x14ac:dyDescent="0.3">
      <c r="A27" s="47" t="s">
        <v>1587</v>
      </c>
      <c r="B27" s="37" t="s">
        <v>1660</v>
      </c>
      <c r="C27" s="37" t="s">
        <v>1661</v>
      </c>
      <c r="D27" s="43" t="s">
        <v>1662</v>
      </c>
      <c r="E27" s="5" t="s">
        <v>13</v>
      </c>
      <c r="F27" s="45">
        <v>139</v>
      </c>
      <c r="G27" s="45">
        <v>84.01</v>
      </c>
      <c r="H27" s="46">
        <f t="shared" si="9"/>
        <v>0.39561151079136692</v>
      </c>
      <c r="I27" s="46"/>
      <c r="J27" s="46">
        <v>0.25</v>
      </c>
      <c r="K27" s="45">
        <f t="shared" si="10"/>
        <v>104.25</v>
      </c>
      <c r="L27" s="46">
        <f t="shared" si="11"/>
        <v>0.19414868105515581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 customHeight="1" x14ac:dyDescent="0.3">
      <c r="A28" s="47" t="s">
        <v>1587</v>
      </c>
      <c r="B28" s="37" t="s">
        <v>1663</v>
      </c>
      <c r="C28" s="37" t="s">
        <v>1664</v>
      </c>
      <c r="D28" s="43" t="s">
        <v>1665</v>
      </c>
      <c r="E28" s="5" t="s">
        <v>13</v>
      </c>
      <c r="F28" s="45">
        <v>29</v>
      </c>
      <c r="G28" s="45">
        <v>17.53</v>
      </c>
      <c r="H28" s="46">
        <f t="shared" si="9"/>
        <v>0.39551724137931032</v>
      </c>
      <c r="I28" s="46"/>
      <c r="J28" s="46">
        <v>0.25</v>
      </c>
      <c r="K28" s="45">
        <f t="shared" si="10"/>
        <v>21.75</v>
      </c>
      <c r="L28" s="46">
        <f t="shared" si="11"/>
        <v>0.19402298850574706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2.75" customHeight="1" x14ac:dyDescent="0.3">
      <c r="A29" s="47" t="s">
        <v>1587</v>
      </c>
      <c r="B29" s="37" t="s">
        <v>1666</v>
      </c>
      <c r="C29" s="37" t="s">
        <v>1667</v>
      </c>
      <c r="D29" s="43" t="s">
        <v>1668</v>
      </c>
      <c r="E29" s="5" t="s">
        <v>13</v>
      </c>
      <c r="F29" s="45">
        <v>279</v>
      </c>
      <c r="G29" s="45">
        <v>168.63</v>
      </c>
      <c r="H29" s="46">
        <f t="shared" si="9"/>
        <v>0.3955913978494624</v>
      </c>
      <c r="I29" s="46"/>
      <c r="J29" s="46">
        <v>0.25</v>
      </c>
      <c r="K29" s="45">
        <f t="shared" si="10"/>
        <v>209.25</v>
      </c>
      <c r="L29" s="46">
        <f t="shared" si="11"/>
        <v>0.1941218637992832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 customHeight="1" x14ac:dyDescent="0.3">
      <c r="A30" s="47" t="s">
        <v>1587</v>
      </c>
      <c r="B30" s="37" t="s">
        <v>1669</v>
      </c>
      <c r="C30" s="37" t="s">
        <v>1670</v>
      </c>
      <c r="D30" s="43" t="s">
        <v>1671</v>
      </c>
      <c r="E30" s="5" t="s">
        <v>13</v>
      </c>
      <c r="F30" s="45">
        <v>199</v>
      </c>
      <c r="G30" s="45">
        <v>120.27</v>
      </c>
      <c r="H30" s="46">
        <f t="shared" si="9"/>
        <v>0.39562814070351759</v>
      </c>
      <c r="I30" s="46"/>
      <c r="J30" s="46">
        <v>0.25</v>
      </c>
      <c r="K30" s="45">
        <f t="shared" si="10"/>
        <v>149.25</v>
      </c>
      <c r="L30" s="46">
        <f t="shared" si="11"/>
        <v>0.19417085427135683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 customHeight="1" x14ac:dyDescent="0.3">
      <c r="A31" s="47" t="s">
        <v>1587</v>
      </c>
      <c r="B31" s="37" t="s">
        <v>1672</v>
      </c>
      <c r="C31" s="37" t="s">
        <v>1673</v>
      </c>
      <c r="D31" s="43" t="s">
        <v>1674</v>
      </c>
      <c r="E31" s="5" t="s">
        <v>13</v>
      </c>
      <c r="F31" s="45">
        <v>299</v>
      </c>
      <c r="G31" s="45">
        <v>180.71</v>
      </c>
      <c r="H31" s="46">
        <f t="shared" si="9"/>
        <v>0.39561872909698992</v>
      </c>
      <c r="I31" s="46"/>
      <c r="J31" s="46">
        <v>0.25</v>
      </c>
      <c r="K31" s="45">
        <f t="shared" si="10"/>
        <v>224.25</v>
      </c>
      <c r="L31" s="46">
        <f t="shared" si="11"/>
        <v>0.19415830546265322</v>
      </c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 customHeight="1" x14ac:dyDescent="0.3">
      <c r="A32" s="47" t="s">
        <v>1587</v>
      </c>
      <c r="B32" s="37" t="s">
        <v>1675</v>
      </c>
      <c r="C32" s="37" t="s">
        <v>1676</v>
      </c>
      <c r="D32" s="43" t="s">
        <v>1677</v>
      </c>
      <c r="E32" s="5" t="s">
        <v>13</v>
      </c>
      <c r="F32" s="45">
        <v>110</v>
      </c>
      <c r="G32" s="45">
        <v>66.48</v>
      </c>
      <c r="H32" s="46">
        <f t="shared" si="9"/>
        <v>0.39563636363636356</v>
      </c>
      <c r="I32" s="46"/>
      <c r="J32" s="46">
        <v>0.25</v>
      </c>
      <c r="K32" s="45">
        <f t="shared" si="10"/>
        <v>82.5</v>
      </c>
      <c r="L32" s="46">
        <f t="shared" si="11"/>
        <v>0.19418181818181812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 customHeight="1" x14ac:dyDescent="0.3">
      <c r="A33" s="47" t="s">
        <v>1587</v>
      </c>
      <c r="B33" s="37" t="s">
        <v>1678</v>
      </c>
      <c r="C33" s="37" t="s">
        <v>1679</v>
      </c>
      <c r="D33" s="43" t="s">
        <v>1680</v>
      </c>
      <c r="E33" s="5" t="s">
        <v>13</v>
      </c>
      <c r="F33" s="45">
        <v>279</v>
      </c>
      <c r="G33" s="45">
        <v>168.63</v>
      </c>
      <c r="H33" s="46">
        <f t="shared" si="9"/>
        <v>0.3955913978494624</v>
      </c>
      <c r="I33" s="46"/>
      <c r="J33" s="46">
        <v>0.25</v>
      </c>
      <c r="K33" s="45">
        <f t="shared" si="10"/>
        <v>209.25</v>
      </c>
      <c r="L33" s="46">
        <f t="shared" si="11"/>
        <v>0.1941218637992832</v>
      </c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.75" customHeight="1" x14ac:dyDescent="0.3">
      <c r="A34" s="47" t="s">
        <v>1587</v>
      </c>
      <c r="B34" s="37" t="s">
        <v>1681</v>
      </c>
      <c r="C34" s="37" t="s">
        <v>1682</v>
      </c>
      <c r="D34" s="43" t="s">
        <v>1683</v>
      </c>
      <c r="E34" s="5" t="s">
        <v>13</v>
      </c>
      <c r="F34" s="45">
        <v>319</v>
      </c>
      <c r="G34" s="45">
        <v>192.8</v>
      </c>
      <c r="H34" s="46">
        <f t="shared" si="9"/>
        <v>0.39561128526645761</v>
      </c>
      <c r="I34" s="46"/>
      <c r="J34" s="46">
        <v>0.25</v>
      </c>
      <c r="K34" s="45">
        <f t="shared" si="10"/>
        <v>239.25</v>
      </c>
      <c r="L34" s="46">
        <f t="shared" si="11"/>
        <v>0.19414838035527682</v>
      </c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.75" customHeight="1" x14ac:dyDescent="0.3">
      <c r="A35" s="47" t="s">
        <v>1587</v>
      </c>
      <c r="B35" s="37" t="s">
        <v>1684</v>
      </c>
      <c r="C35" s="37" t="s">
        <v>1685</v>
      </c>
      <c r="D35" s="43" t="s">
        <v>1686</v>
      </c>
      <c r="E35" s="5" t="s">
        <v>13</v>
      </c>
      <c r="F35" s="45">
        <v>499</v>
      </c>
      <c r="G35" s="45">
        <v>301.58999999999997</v>
      </c>
      <c r="H35" s="46">
        <f t="shared" si="9"/>
        <v>0.39561122244488978</v>
      </c>
      <c r="I35" s="46"/>
      <c r="J35" s="46">
        <v>0.25</v>
      </c>
      <c r="K35" s="45">
        <f t="shared" si="10"/>
        <v>374.25</v>
      </c>
      <c r="L35" s="46">
        <f t="shared" si="11"/>
        <v>0.19414829659318644</v>
      </c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2.75" customHeight="1" x14ac:dyDescent="0.3">
      <c r="A36" s="47" t="s">
        <v>1587</v>
      </c>
      <c r="B36" s="37" t="s">
        <v>1687</v>
      </c>
      <c r="C36" s="37" t="s">
        <v>1688</v>
      </c>
      <c r="D36" s="43" t="s">
        <v>1689</v>
      </c>
      <c r="E36" s="5" t="s">
        <v>13</v>
      </c>
      <c r="F36" s="45">
        <v>95</v>
      </c>
      <c r="G36" s="45">
        <v>57.42</v>
      </c>
      <c r="H36" s="46">
        <f t="shared" si="9"/>
        <v>0.39557894736842103</v>
      </c>
      <c r="I36" s="46"/>
      <c r="J36" s="46">
        <v>0.25</v>
      </c>
      <c r="K36" s="45">
        <f t="shared" si="10"/>
        <v>71.25</v>
      </c>
      <c r="L36" s="46">
        <f t="shared" si="11"/>
        <v>0.19410526315789467</v>
      </c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2.75" customHeight="1" x14ac:dyDescent="0.3">
      <c r="A37" s="47" t="s">
        <v>1587</v>
      </c>
      <c r="B37" s="37" t="s">
        <v>1690</v>
      </c>
      <c r="C37" s="37" t="s">
        <v>1691</v>
      </c>
      <c r="D37" s="43" t="s">
        <v>1689</v>
      </c>
      <c r="E37" s="5" t="s">
        <v>13</v>
      </c>
      <c r="F37" s="45">
        <v>139</v>
      </c>
      <c r="G37" s="45">
        <v>105.99</v>
      </c>
      <c r="H37" s="46">
        <f t="shared" si="9"/>
        <v>0.23748201438848926</v>
      </c>
      <c r="I37" s="46"/>
      <c r="J37" s="46">
        <v>0.05</v>
      </c>
      <c r="K37" s="45">
        <f t="shared" si="10"/>
        <v>132.04999999999998</v>
      </c>
      <c r="L37" s="46">
        <f t="shared" si="11"/>
        <v>0.1973494888299886</v>
      </c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2.75" customHeight="1" x14ac:dyDescent="0.3">
      <c r="A38" s="47" t="s">
        <v>1587</v>
      </c>
      <c r="B38" s="37" t="s">
        <v>1692</v>
      </c>
      <c r="C38" s="37" t="s">
        <v>1693</v>
      </c>
      <c r="D38" s="43" t="s">
        <v>1694</v>
      </c>
      <c r="E38" s="5" t="s">
        <v>13</v>
      </c>
      <c r="F38" s="45">
        <v>375</v>
      </c>
      <c r="G38" s="45">
        <v>223.63</v>
      </c>
      <c r="H38" s="46">
        <f t="shared" si="9"/>
        <v>0.40365333333333331</v>
      </c>
      <c r="I38" s="46"/>
      <c r="J38" s="46">
        <v>0.25</v>
      </c>
      <c r="K38" s="45">
        <f t="shared" si="10"/>
        <v>281.25</v>
      </c>
      <c r="L38" s="46">
        <f t="shared" si="11"/>
        <v>0.20487111111111111</v>
      </c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2.75" customHeight="1" x14ac:dyDescent="0.3">
      <c r="A39" s="47" t="s">
        <v>1587</v>
      </c>
      <c r="B39" s="37" t="s">
        <v>1695</v>
      </c>
      <c r="C39" s="37" t="s">
        <v>1696</v>
      </c>
      <c r="D39" s="43" t="s">
        <v>1697</v>
      </c>
      <c r="E39" s="5" t="s">
        <v>13</v>
      </c>
      <c r="F39" s="45">
        <v>610</v>
      </c>
      <c r="G39" s="45">
        <v>368.68</v>
      </c>
      <c r="H39" s="46">
        <f t="shared" si="9"/>
        <v>0.39560655737704919</v>
      </c>
      <c r="I39" s="46"/>
      <c r="J39" s="46">
        <v>0.25</v>
      </c>
      <c r="K39" s="45">
        <f t="shared" si="10"/>
        <v>457.5</v>
      </c>
      <c r="L39" s="46">
        <f t="shared" si="11"/>
        <v>0.19414207650273219</v>
      </c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2.75" customHeight="1" x14ac:dyDescent="0.3">
      <c r="A40" s="48" t="s">
        <v>1587</v>
      </c>
      <c r="B40" s="38" t="s">
        <v>1698</v>
      </c>
      <c r="C40" s="38" t="s">
        <v>1699</v>
      </c>
      <c r="D40" s="39" t="s">
        <v>1700</v>
      </c>
      <c r="E40" s="40" t="s">
        <v>13</v>
      </c>
      <c r="F40" s="41">
        <v>320</v>
      </c>
      <c r="G40" s="41">
        <v>193.41</v>
      </c>
      <c r="H40" s="42">
        <f t="shared" si="9"/>
        <v>0.39559374999999997</v>
      </c>
      <c r="I40" s="42"/>
      <c r="J40" s="42">
        <v>0.25</v>
      </c>
      <c r="K40" s="41">
        <f t="shared" si="10"/>
        <v>240</v>
      </c>
      <c r="L40" s="42">
        <f t="shared" si="11"/>
        <v>0.19412499999999999</v>
      </c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2.75" customHeight="1" x14ac:dyDescent="0.3">
      <c r="A41" s="47" t="s">
        <v>1587</v>
      </c>
      <c r="B41" s="37" t="s">
        <v>1701</v>
      </c>
      <c r="C41" s="37" t="s">
        <v>1702</v>
      </c>
      <c r="D41" s="43" t="s">
        <v>1703</v>
      </c>
      <c r="E41" s="5" t="s">
        <v>13</v>
      </c>
      <c r="F41" s="45">
        <v>1369</v>
      </c>
      <c r="G41" s="45">
        <v>827.42</v>
      </c>
      <c r="H41" s="46">
        <f t="shared" ref="H41:H43" si="12">1-(G41/F41)</f>
        <v>0.39560262965668369</v>
      </c>
      <c r="I41" s="46"/>
      <c r="J41" s="46">
        <v>0.25</v>
      </c>
      <c r="K41" s="45">
        <f t="shared" ref="K41:K43" si="13">F41*(1-J41)</f>
        <v>1026.75</v>
      </c>
      <c r="L41" s="46">
        <f t="shared" ref="L41:L43" si="14">1-(G41/K41)</f>
        <v>0.19413683954224503</v>
      </c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2.75" customHeight="1" x14ac:dyDescent="0.3">
      <c r="A42" s="47" t="s">
        <v>1587</v>
      </c>
      <c r="B42" s="37" t="s">
        <v>1704</v>
      </c>
      <c r="C42" s="37" t="s">
        <v>1705</v>
      </c>
      <c r="D42" s="43" t="s">
        <v>1706</v>
      </c>
      <c r="E42" s="5" t="s">
        <v>13</v>
      </c>
      <c r="F42" s="45">
        <v>2199</v>
      </c>
      <c r="G42" s="45">
        <v>1329.07</v>
      </c>
      <c r="H42" s="46">
        <f t="shared" si="12"/>
        <v>0.39560254661209648</v>
      </c>
      <c r="I42" s="46"/>
      <c r="J42" s="46">
        <v>0.25</v>
      </c>
      <c r="K42" s="45">
        <f t="shared" si="13"/>
        <v>1649.25</v>
      </c>
      <c r="L42" s="46">
        <f t="shared" si="14"/>
        <v>0.19413672881612853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2.75" customHeight="1" x14ac:dyDescent="0.3">
      <c r="A43" s="49" t="s">
        <v>1587</v>
      </c>
      <c r="B43" s="50" t="s">
        <v>1707</v>
      </c>
      <c r="C43" s="50" t="s">
        <v>1708</v>
      </c>
      <c r="D43" s="51" t="s">
        <v>1709</v>
      </c>
      <c r="E43" s="52" t="s">
        <v>13</v>
      </c>
      <c r="F43" s="53">
        <v>1964</v>
      </c>
      <c r="G43" s="53">
        <v>1187.03</v>
      </c>
      <c r="H43" s="54">
        <f t="shared" si="12"/>
        <v>0.39560590631364567</v>
      </c>
      <c r="I43" s="54"/>
      <c r="J43" s="54">
        <v>0.25</v>
      </c>
      <c r="K43" s="53">
        <f t="shared" si="13"/>
        <v>1473</v>
      </c>
      <c r="L43" s="54">
        <f t="shared" si="14"/>
        <v>0.19414120841819416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2.75" customHeight="1" x14ac:dyDescent="0.3">
      <c r="A44" s="47" t="s">
        <v>1587</v>
      </c>
      <c r="B44" s="37" t="s">
        <v>1651</v>
      </c>
      <c r="C44" s="37" t="s">
        <v>1652</v>
      </c>
      <c r="D44" s="43" t="s">
        <v>1710</v>
      </c>
      <c r="E44" s="5" t="s">
        <v>13</v>
      </c>
      <c r="F44" s="45">
        <v>1139</v>
      </c>
      <c r="G44" s="45">
        <v>688.41</v>
      </c>
      <c r="H44" s="46">
        <f t="shared" ref="H44:H60" si="15">1-(G44/F44)</f>
        <v>0.39560140474100092</v>
      </c>
      <c r="I44" s="46"/>
      <c r="J44" s="46">
        <v>0.25</v>
      </c>
      <c r="K44" s="45">
        <f t="shared" ref="K44:K60" si="16">F44*(1-J44)</f>
        <v>854.25</v>
      </c>
      <c r="L44" s="46">
        <f t="shared" ref="L44:L60" si="17">1-(G44/K44)</f>
        <v>0.19413520632133452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2.75" customHeight="1" x14ac:dyDescent="0.3">
      <c r="A45" s="47" t="s">
        <v>1587</v>
      </c>
      <c r="B45" s="37" t="s">
        <v>1654</v>
      </c>
      <c r="C45" s="37" t="s">
        <v>1655</v>
      </c>
      <c r="D45" s="43" t="s">
        <v>1656</v>
      </c>
      <c r="E45" s="5" t="s">
        <v>13</v>
      </c>
      <c r="F45" s="45">
        <v>116</v>
      </c>
      <c r="G45" s="45">
        <v>70.11</v>
      </c>
      <c r="H45" s="46">
        <f t="shared" si="15"/>
        <v>0.39560344827586202</v>
      </c>
      <c r="I45" s="46"/>
      <c r="J45" s="46">
        <v>0.25</v>
      </c>
      <c r="K45" s="45">
        <f t="shared" si="16"/>
        <v>87</v>
      </c>
      <c r="L45" s="46">
        <f t="shared" si="17"/>
        <v>0.19413793103448274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2.75" customHeight="1" x14ac:dyDescent="0.3">
      <c r="A46" s="47" t="s">
        <v>1587</v>
      </c>
      <c r="B46" s="37" t="s">
        <v>1657</v>
      </c>
      <c r="C46" s="37" t="s">
        <v>1658</v>
      </c>
      <c r="D46" s="43" t="s">
        <v>1659</v>
      </c>
      <c r="E46" s="5" t="s">
        <v>13</v>
      </c>
      <c r="F46" s="45">
        <v>89</v>
      </c>
      <c r="G46" s="45">
        <v>53.79</v>
      </c>
      <c r="H46" s="46">
        <f t="shared" si="15"/>
        <v>0.39561797752808991</v>
      </c>
      <c r="I46" s="46"/>
      <c r="J46" s="46">
        <v>0.25</v>
      </c>
      <c r="K46" s="45">
        <f t="shared" si="16"/>
        <v>66.75</v>
      </c>
      <c r="L46" s="46">
        <f t="shared" si="17"/>
        <v>0.19415730337078652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2.75" customHeight="1" x14ac:dyDescent="0.3">
      <c r="A47" s="47" t="s">
        <v>1587</v>
      </c>
      <c r="B47" s="37" t="s">
        <v>1660</v>
      </c>
      <c r="C47" s="37" t="s">
        <v>1661</v>
      </c>
      <c r="D47" s="43" t="s">
        <v>1662</v>
      </c>
      <c r="E47" s="5" t="s">
        <v>13</v>
      </c>
      <c r="F47" s="45">
        <v>139</v>
      </c>
      <c r="G47" s="45">
        <v>84.01</v>
      </c>
      <c r="H47" s="46">
        <f t="shared" si="15"/>
        <v>0.39561151079136692</v>
      </c>
      <c r="I47" s="46"/>
      <c r="J47" s="46">
        <v>0.25</v>
      </c>
      <c r="K47" s="45">
        <f t="shared" si="16"/>
        <v>104.25</v>
      </c>
      <c r="L47" s="46">
        <f t="shared" si="17"/>
        <v>0.19414868105515581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2.75" customHeight="1" x14ac:dyDescent="0.3">
      <c r="A48" s="47" t="s">
        <v>1587</v>
      </c>
      <c r="B48" s="37" t="s">
        <v>1666</v>
      </c>
      <c r="C48" s="37" t="s">
        <v>1667</v>
      </c>
      <c r="D48" s="43" t="s">
        <v>1711</v>
      </c>
      <c r="E48" s="5" t="s">
        <v>13</v>
      </c>
      <c r="F48" s="45">
        <v>279</v>
      </c>
      <c r="G48" s="45">
        <v>168.63</v>
      </c>
      <c r="H48" s="46">
        <f t="shared" si="15"/>
        <v>0.3955913978494624</v>
      </c>
      <c r="I48" s="46"/>
      <c r="J48" s="46">
        <v>0.25</v>
      </c>
      <c r="K48" s="45">
        <f t="shared" si="16"/>
        <v>209.25</v>
      </c>
      <c r="L48" s="46">
        <f t="shared" si="17"/>
        <v>0.1941218637992832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2.75" customHeight="1" x14ac:dyDescent="0.3">
      <c r="A49" s="47" t="s">
        <v>1587</v>
      </c>
      <c r="B49" s="37" t="s">
        <v>1669</v>
      </c>
      <c r="C49" s="37" t="s">
        <v>1712</v>
      </c>
      <c r="D49" s="43" t="s">
        <v>1713</v>
      </c>
      <c r="E49" s="5" t="s">
        <v>13</v>
      </c>
      <c r="F49" s="45">
        <v>199</v>
      </c>
      <c r="G49" s="45">
        <v>120.27</v>
      </c>
      <c r="H49" s="46">
        <f t="shared" si="15"/>
        <v>0.39562814070351759</v>
      </c>
      <c r="I49" s="46"/>
      <c r="J49" s="46">
        <v>0.25</v>
      </c>
      <c r="K49" s="45">
        <f t="shared" si="16"/>
        <v>149.25</v>
      </c>
      <c r="L49" s="46">
        <f t="shared" si="17"/>
        <v>0.19417085427135683</v>
      </c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2.75" customHeight="1" x14ac:dyDescent="0.3">
      <c r="A50" s="47" t="s">
        <v>1587</v>
      </c>
      <c r="B50" s="37" t="s">
        <v>1672</v>
      </c>
      <c r="C50" s="37" t="s">
        <v>1714</v>
      </c>
      <c r="D50" s="43" t="s">
        <v>1715</v>
      </c>
      <c r="E50" s="5" t="s">
        <v>13</v>
      </c>
      <c r="F50" s="45">
        <v>299</v>
      </c>
      <c r="G50" s="45">
        <v>180.71</v>
      </c>
      <c r="H50" s="46">
        <f t="shared" si="15"/>
        <v>0.39561872909698992</v>
      </c>
      <c r="I50" s="46"/>
      <c r="J50" s="46">
        <v>0.25</v>
      </c>
      <c r="K50" s="45">
        <f t="shared" si="16"/>
        <v>224.25</v>
      </c>
      <c r="L50" s="46">
        <f t="shared" si="17"/>
        <v>0.19415830546265322</v>
      </c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2.75" customHeight="1" x14ac:dyDescent="0.3">
      <c r="A51" s="47" t="s">
        <v>1587</v>
      </c>
      <c r="B51" s="37" t="s">
        <v>1675</v>
      </c>
      <c r="C51" s="37" t="s">
        <v>1716</v>
      </c>
      <c r="D51" s="43" t="s">
        <v>1717</v>
      </c>
      <c r="E51" s="5" t="s">
        <v>13</v>
      </c>
      <c r="F51" s="45">
        <v>110</v>
      </c>
      <c r="G51" s="45">
        <v>66.48</v>
      </c>
      <c r="H51" s="46">
        <f t="shared" si="15"/>
        <v>0.39563636363636356</v>
      </c>
      <c r="I51" s="46"/>
      <c r="J51" s="46">
        <v>0.25</v>
      </c>
      <c r="K51" s="45">
        <f t="shared" si="16"/>
        <v>82.5</v>
      </c>
      <c r="L51" s="46">
        <f t="shared" si="17"/>
        <v>0.19418181818181812</v>
      </c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2.75" customHeight="1" x14ac:dyDescent="0.3">
      <c r="A52" s="47" t="s">
        <v>1587</v>
      </c>
      <c r="B52" s="37" t="s">
        <v>1718</v>
      </c>
      <c r="C52" s="37" t="s">
        <v>1719</v>
      </c>
      <c r="D52" s="43" t="s">
        <v>1720</v>
      </c>
      <c r="E52" s="5" t="s">
        <v>13</v>
      </c>
      <c r="F52" s="45">
        <v>299</v>
      </c>
      <c r="G52" s="45">
        <v>164.29</v>
      </c>
      <c r="H52" s="46">
        <f t="shared" si="15"/>
        <v>0.45053511705685623</v>
      </c>
      <c r="I52" s="46"/>
      <c r="J52" s="46">
        <v>0.32</v>
      </c>
      <c r="K52" s="45">
        <f t="shared" si="16"/>
        <v>203.32</v>
      </c>
      <c r="L52" s="46">
        <f t="shared" si="17"/>
        <v>0.19196340743655327</v>
      </c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.75" customHeight="1" x14ac:dyDescent="0.3">
      <c r="A53" s="47" t="s">
        <v>1587</v>
      </c>
      <c r="B53" s="37" t="s">
        <v>1721</v>
      </c>
      <c r="C53" s="37" t="s">
        <v>1722</v>
      </c>
      <c r="D53" s="43" t="s">
        <v>1723</v>
      </c>
      <c r="E53" s="5" t="s">
        <v>13</v>
      </c>
      <c r="F53" s="45">
        <v>419</v>
      </c>
      <c r="G53" s="45">
        <v>253.24</v>
      </c>
      <c r="H53" s="46">
        <f t="shared" si="15"/>
        <v>0.39560859188544151</v>
      </c>
      <c r="I53" s="46"/>
      <c r="J53" s="46">
        <v>0.25</v>
      </c>
      <c r="K53" s="45">
        <f t="shared" si="16"/>
        <v>314.25</v>
      </c>
      <c r="L53" s="46">
        <f t="shared" si="17"/>
        <v>0.19414478918058864</v>
      </c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2.75" customHeight="1" x14ac:dyDescent="0.3">
      <c r="A54" s="47" t="s">
        <v>1587</v>
      </c>
      <c r="B54" s="37" t="s">
        <v>1724</v>
      </c>
      <c r="C54" s="37" t="s">
        <v>1725</v>
      </c>
      <c r="D54" s="43" t="s">
        <v>1723</v>
      </c>
      <c r="E54" s="5" t="s">
        <v>13</v>
      </c>
      <c r="F54" s="45">
        <v>419</v>
      </c>
      <c r="G54" s="45">
        <v>253.24</v>
      </c>
      <c r="H54" s="46">
        <f t="shared" si="15"/>
        <v>0.39560859188544151</v>
      </c>
      <c r="I54" s="46"/>
      <c r="J54" s="46">
        <v>0.25</v>
      </c>
      <c r="K54" s="45">
        <f t="shared" si="16"/>
        <v>314.25</v>
      </c>
      <c r="L54" s="46">
        <f t="shared" si="17"/>
        <v>0.19414478918058864</v>
      </c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2.75" customHeight="1" x14ac:dyDescent="0.3">
      <c r="A55" s="47" t="s">
        <v>1587</v>
      </c>
      <c r="B55" s="37" t="s">
        <v>1726</v>
      </c>
      <c r="C55" s="37" t="s">
        <v>1727</v>
      </c>
      <c r="D55" s="43" t="s">
        <v>1723</v>
      </c>
      <c r="E55" s="5" t="s">
        <v>13</v>
      </c>
      <c r="F55" s="45">
        <v>319</v>
      </c>
      <c r="G55" s="45">
        <v>192.8</v>
      </c>
      <c r="H55" s="46">
        <f t="shared" si="15"/>
        <v>0.39561128526645761</v>
      </c>
      <c r="I55" s="46"/>
      <c r="J55" s="46">
        <v>0.25</v>
      </c>
      <c r="K55" s="45">
        <f t="shared" si="16"/>
        <v>239.25</v>
      </c>
      <c r="L55" s="46">
        <f t="shared" si="17"/>
        <v>0.19414838035527682</v>
      </c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2.75" customHeight="1" x14ac:dyDescent="0.3">
      <c r="A56" s="47" t="s">
        <v>1587</v>
      </c>
      <c r="B56" s="37" t="s">
        <v>1728</v>
      </c>
      <c r="C56" s="37" t="s">
        <v>1729</v>
      </c>
      <c r="D56" s="43" t="s">
        <v>1730</v>
      </c>
      <c r="E56" s="5" t="s">
        <v>13</v>
      </c>
      <c r="F56" s="45">
        <v>149</v>
      </c>
      <c r="G56" s="45">
        <v>90.05</v>
      </c>
      <c r="H56" s="46">
        <f t="shared" si="15"/>
        <v>0.39563758389261749</v>
      </c>
      <c r="I56" s="46"/>
      <c r="J56" s="46">
        <v>0.25</v>
      </c>
      <c r="K56" s="45">
        <f t="shared" si="16"/>
        <v>111.75</v>
      </c>
      <c r="L56" s="46">
        <f t="shared" si="17"/>
        <v>0.19418344519015662</v>
      </c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2.75" customHeight="1" x14ac:dyDescent="0.3">
      <c r="A57" s="47" t="s">
        <v>1587</v>
      </c>
      <c r="B57" s="37" t="s">
        <v>1731</v>
      </c>
      <c r="C57" s="37" t="s">
        <v>1732</v>
      </c>
      <c r="D57" s="43" t="s">
        <v>1733</v>
      </c>
      <c r="E57" s="5" t="s">
        <v>13</v>
      </c>
      <c r="F57" s="45">
        <v>509</v>
      </c>
      <c r="G57" s="45">
        <v>307.64</v>
      </c>
      <c r="H57" s="46">
        <f t="shared" si="15"/>
        <v>0.39559921414538313</v>
      </c>
      <c r="I57" s="46"/>
      <c r="J57" s="46">
        <v>0.25</v>
      </c>
      <c r="K57" s="45">
        <f t="shared" si="16"/>
        <v>381.75</v>
      </c>
      <c r="L57" s="46">
        <f t="shared" si="17"/>
        <v>0.19413228552717754</v>
      </c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2.75" customHeight="1" x14ac:dyDescent="0.3">
      <c r="A58" s="47" t="s">
        <v>1587</v>
      </c>
      <c r="B58" s="37" t="s">
        <v>1734</v>
      </c>
      <c r="C58" s="37" t="s">
        <v>1735</v>
      </c>
      <c r="D58" s="43" t="s">
        <v>1736</v>
      </c>
      <c r="E58" s="5" t="s">
        <v>13</v>
      </c>
      <c r="F58" s="45">
        <v>429</v>
      </c>
      <c r="G58" s="45">
        <v>259.29000000000002</v>
      </c>
      <c r="H58" s="46">
        <f t="shared" si="15"/>
        <v>0.39559440559440551</v>
      </c>
      <c r="I58" s="46"/>
      <c r="J58" s="46">
        <v>0.25</v>
      </c>
      <c r="K58" s="45">
        <f t="shared" si="16"/>
        <v>321.75</v>
      </c>
      <c r="L58" s="46">
        <f t="shared" si="17"/>
        <v>0.19412587412587401</v>
      </c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2.75" customHeight="1" x14ac:dyDescent="0.3">
      <c r="A59" s="47" t="s">
        <v>1587</v>
      </c>
      <c r="B59" s="37" t="s">
        <v>1695</v>
      </c>
      <c r="C59" s="37" t="s">
        <v>1696</v>
      </c>
      <c r="D59" s="43" t="s">
        <v>1737</v>
      </c>
      <c r="E59" s="5" t="s">
        <v>13</v>
      </c>
      <c r="F59" s="45">
        <v>610</v>
      </c>
      <c r="G59" s="45">
        <v>368.68</v>
      </c>
      <c r="H59" s="46">
        <f t="shared" si="15"/>
        <v>0.39560655737704919</v>
      </c>
      <c r="I59" s="46"/>
      <c r="J59" s="46">
        <v>0.25</v>
      </c>
      <c r="K59" s="45">
        <f t="shared" si="16"/>
        <v>457.5</v>
      </c>
      <c r="L59" s="46">
        <f t="shared" si="17"/>
        <v>0.19414207650273219</v>
      </c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2.75" customHeight="1" x14ac:dyDescent="0.3">
      <c r="A60" s="48" t="s">
        <v>1587</v>
      </c>
      <c r="B60" s="38" t="s">
        <v>1698</v>
      </c>
      <c r="C60" s="38" t="s">
        <v>1699</v>
      </c>
      <c r="D60" s="39" t="s">
        <v>1738</v>
      </c>
      <c r="E60" s="40" t="s">
        <v>13</v>
      </c>
      <c r="F60" s="41">
        <v>320</v>
      </c>
      <c r="G60" s="41">
        <v>193.41</v>
      </c>
      <c r="H60" s="42">
        <f t="shared" si="15"/>
        <v>0.39559374999999997</v>
      </c>
      <c r="I60" s="42"/>
      <c r="J60" s="42">
        <v>0.25</v>
      </c>
      <c r="K60" s="41">
        <f t="shared" si="16"/>
        <v>240</v>
      </c>
      <c r="L60" s="42">
        <f t="shared" si="17"/>
        <v>0.19412499999999999</v>
      </c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2.75" customHeight="1" x14ac:dyDescent="0.3">
      <c r="A61" s="47" t="s">
        <v>1587</v>
      </c>
      <c r="B61" s="37" t="s">
        <v>1739</v>
      </c>
      <c r="C61" s="37" t="s">
        <v>1740</v>
      </c>
      <c r="D61" s="43" t="s">
        <v>1741</v>
      </c>
      <c r="E61" s="5" t="s">
        <v>13</v>
      </c>
      <c r="F61" s="45">
        <v>329</v>
      </c>
      <c r="G61" s="45">
        <v>198.85</v>
      </c>
      <c r="H61" s="46">
        <f t="shared" ref="H61:H68" si="18">1-(G61/F61)</f>
        <v>0.39559270516717326</v>
      </c>
      <c r="I61" s="46"/>
      <c r="J61" s="46">
        <v>0.25</v>
      </c>
      <c r="K61" s="45">
        <f t="shared" ref="K61:K68" si="19">F61*(1-J61)</f>
        <v>246.75</v>
      </c>
      <c r="L61" s="46">
        <f t="shared" ref="L61:L68" si="20">1-(G61/K61)</f>
        <v>0.19412360688956432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2.75" customHeight="1" x14ac:dyDescent="0.3">
      <c r="A62" s="47" t="s">
        <v>1587</v>
      </c>
      <c r="B62" s="37" t="s">
        <v>1742</v>
      </c>
      <c r="C62" s="37" t="s">
        <v>1743</v>
      </c>
      <c r="D62" s="43" t="s">
        <v>1744</v>
      </c>
      <c r="E62" s="5" t="s">
        <v>13</v>
      </c>
      <c r="F62" s="45">
        <v>449</v>
      </c>
      <c r="G62" s="45">
        <v>271.37</v>
      </c>
      <c r="H62" s="46">
        <f t="shared" si="18"/>
        <v>0.39561247216035633</v>
      </c>
      <c r="I62" s="46"/>
      <c r="J62" s="46">
        <v>0.25</v>
      </c>
      <c r="K62" s="45">
        <f t="shared" si="19"/>
        <v>336.75</v>
      </c>
      <c r="L62" s="46">
        <f t="shared" si="20"/>
        <v>0.19414996288047515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2.75" customHeight="1" x14ac:dyDescent="0.3">
      <c r="A63" s="47" t="s">
        <v>1587</v>
      </c>
      <c r="B63" s="37" t="s">
        <v>1745</v>
      </c>
      <c r="C63" s="37" t="s">
        <v>1746</v>
      </c>
      <c r="D63" s="43" t="s">
        <v>1747</v>
      </c>
      <c r="E63" s="5" t="s">
        <v>13</v>
      </c>
      <c r="F63" s="45">
        <v>529</v>
      </c>
      <c r="G63" s="45">
        <v>319.73</v>
      </c>
      <c r="H63" s="46">
        <f t="shared" si="18"/>
        <v>0.39559546313799621</v>
      </c>
      <c r="I63" s="46"/>
      <c r="J63" s="46">
        <v>0.25</v>
      </c>
      <c r="K63" s="45">
        <f t="shared" si="19"/>
        <v>396.75</v>
      </c>
      <c r="L63" s="46">
        <f t="shared" si="20"/>
        <v>0.19412728418399494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2.75" customHeight="1" x14ac:dyDescent="0.3">
      <c r="A64" s="47" t="s">
        <v>1587</v>
      </c>
      <c r="B64" s="37" t="s">
        <v>1748</v>
      </c>
      <c r="C64" s="37" t="s">
        <v>1749</v>
      </c>
      <c r="D64" s="43" t="s">
        <v>1750</v>
      </c>
      <c r="E64" s="5" t="s">
        <v>13</v>
      </c>
      <c r="F64" s="45">
        <v>619</v>
      </c>
      <c r="G64" s="45">
        <v>374.12</v>
      </c>
      <c r="H64" s="46">
        <f t="shared" si="18"/>
        <v>0.39560581583198706</v>
      </c>
      <c r="I64" s="46"/>
      <c r="J64" s="46">
        <v>0.25</v>
      </c>
      <c r="K64" s="45">
        <f t="shared" si="19"/>
        <v>464.25</v>
      </c>
      <c r="L64" s="46">
        <f t="shared" si="20"/>
        <v>0.19414108777598271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2.75" customHeight="1" x14ac:dyDescent="0.3">
      <c r="A65" s="47" t="s">
        <v>1587</v>
      </c>
      <c r="B65" s="37" t="s">
        <v>1657</v>
      </c>
      <c r="C65" s="37" t="s">
        <v>1658</v>
      </c>
      <c r="D65" s="43" t="s">
        <v>1659</v>
      </c>
      <c r="E65" s="5" t="s">
        <v>13</v>
      </c>
      <c r="F65" s="45">
        <v>89</v>
      </c>
      <c r="G65" s="45">
        <v>53.79</v>
      </c>
      <c r="H65" s="46">
        <f t="shared" si="18"/>
        <v>0.39561797752808991</v>
      </c>
      <c r="I65" s="46"/>
      <c r="J65" s="46">
        <v>0.25</v>
      </c>
      <c r="K65" s="45">
        <f t="shared" si="19"/>
        <v>66.75</v>
      </c>
      <c r="L65" s="46">
        <f t="shared" si="20"/>
        <v>0.19415730337078652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2.75" customHeight="1" x14ac:dyDescent="0.3">
      <c r="A66" s="47" t="s">
        <v>1587</v>
      </c>
      <c r="B66" s="37" t="s">
        <v>1660</v>
      </c>
      <c r="C66" s="37" t="s">
        <v>1661</v>
      </c>
      <c r="D66" s="43" t="s">
        <v>1662</v>
      </c>
      <c r="E66" s="5" t="s">
        <v>13</v>
      </c>
      <c r="F66" s="45">
        <v>139</v>
      </c>
      <c r="G66" s="45">
        <v>84.01</v>
      </c>
      <c r="H66" s="46">
        <f t="shared" si="18"/>
        <v>0.39561151079136692</v>
      </c>
      <c r="I66" s="46"/>
      <c r="J66" s="46">
        <v>0.25</v>
      </c>
      <c r="K66" s="45">
        <f t="shared" si="19"/>
        <v>104.25</v>
      </c>
      <c r="L66" s="46">
        <f t="shared" si="20"/>
        <v>0.19414868105515581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2.75" customHeight="1" x14ac:dyDescent="0.3">
      <c r="A67" s="47" t="s">
        <v>1587</v>
      </c>
      <c r="B67" s="37" t="s">
        <v>1751</v>
      </c>
      <c r="C67" s="37" t="s">
        <v>1752</v>
      </c>
      <c r="D67" s="43" t="s">
        <v>1753</v>
      </c>
      <c r="E67" s="5" t="s">
        <v>13</v>
      </c>
      <c r="F67" s="45">
        <v>69</v>
      </c>
      <c r="G67" s="45">
        <v>41.7</v>
      </c>
      <c r="H67" s="46">
        <f t="shared" si="18"/>
        <v>0.39565217391304341</v>
      </c>
      <c r="I67" s="46"/>
      <c r="J67" s="46">
        <v>0.25</v>
      </c>
      <c r="K67" s="45">
        <f t="shared" si="19"/>
        <v>51.75</v>
      </c>
      <c r="L67" s="46">
        <f t="shared" si="20"/>
        <v>0.19420289855072459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2.75" customHeight="1" x14ac:dyDescent="0.3">
      <c r="A68" s="48" t="s">
        <v>1587</v>
      </c>
      <c r="B68" s="38" t="s">
        <v>1678</v>
      </c>
      <c r="C68" s="38" t="s">
        <v>1754</v>
      </c>
      <c r="D68" s="39" t="s">
        <v>1755</v>
      </c>
      <c r="E68" s="40" t="s">
        <v>13</v>
      </c>
      <c r="F68" s="41">
        <v>279</v>
      </c>
      <c r="G68" s="41">
        <v>168.63</v>
      </c>
      <c r="H68" s="42">
        <f t="shared" si="18"/>
        <v>0.3955913978494624</v>
      </c>
      <c r="I68" s="42"/>
      <c r="J68" s="42">
        <v>0.25</v>
      </c>
      <c r="K68" s="41">
        <f t="shared" si="19"/>
        <v>209.25</v>
      </c>
      <c r="L68" s="42">
        <f t="shared" si="20"/>
        <v>0.1941218637992832</v>
      </c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2.75" customHeight="1" x14ac:dyDescent="0.3">
      <c r="A69" s="47" t="s">
        <v>1587</v>
      </c>
      <c r="B69" s="37" t="s">
        <v>1756</v>
      </c>
      <c r="C69" s="37" t="s">
        <v>1757</v>
      </c>
      <c r="D69" s="43" t="s">
        <v>1758</v>
      </c>
      <c r="E69" s="5" t="s">
        <v>13</v>
      </c>
      <c r="F69" s="45">
        <v>659</v>
      </c>
      <c r="G69" s="45">
        <v>398.3</v>
      </c>
      <c r="H69" s="46">
        <f t="shared" ref="H69:H72" si="21">1-(G69/F69)</f>
        <v>0.3955993930197268</v>
      </c>
      <c r="I69" s="46"/>
      <c r="J69" s="46">
        <v>0.25</v>
      </c>
      <c r="K69" s="45">
        <f t="shared" ref="K69:K72" si="22">F69*(1-J69)</f>
        <v>494.25</v>
      </c>
      <c r="L69" s="46">
        <f t="shared" ref="L69:L72" si="23">1-(G69/K69)</f>
        <v>0.19413252402630243</v>
      </c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2.75" customHeight="1" x14ac:dyDescent="0.3">
      <c r="A70" s="47" t="s">
        <v>1587</v>
      </c>
      <c r="B70" s="37" t="s">
        <v>1759</v>
      </c>
      <c r="C70" s="37" t="s">
        <v>1760</v>
      </c>
      <c r="D70" s="43" t="s">
        <v>1761</v>
      </c>
      <c r="E70" s="5" t="s">
        <v>13</v>
      </c>
      <c r="F70" s="45">
        <v>799</v>
      </c>
      <c r="G70" s="45">
        <v>482.91</v>
      </c>
      <c r="H70" s="46">
        <f t="shared" si="21"/>
        <v>0.39560700876095112</v>
      </c>
      <c r="I70" s="46"/>
      <c r="J70" s="46">
        <v>0.25</v>
      </c>
      <c r="K70" s="45">
        <f t="shared" si="22"/>
        <v>599.25</v>
      </c>
      <c r="L70" s="46">
        <f t="shared" si="23"/>
        <v>0.19414267834793486</v>
      </c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2.75" customHeight="1" x14ac:dyDescent="0.3">
      <c r="A71" s="47" t="s">
        <v>1587</v>
      </c>
      <c r="B71" s="37" t="s">
        <v>1762</v>
      </c>
      <c r="C71" s="37" t="s">
        <v>1763</v>
      </c>
      <c r="D71" s="43" t="s">
        <v>1764</v>
      </c>
      <c r="E71" s="5" t="s">
        <v>13</v>
      </c>
      <c r="F71" s="45">
        <v>989</v>
      </c>
      <c r="G71" s="45">
        <v>597.75</v>
      </c>
      <c r="H71" s="46">
        <f t="shared" si="21"/>
        <v>0.39560161779575331</v>
      </c>
      <c r="I71" s="46"/>
      <c r="J71" s="46">
        <v>0.25</v>
      </c>
      <c r="K71" s="45">
        <f t="shared" si="22"/>
        <v>741.75</v>
      </c>
      <c r="L71" s="46">
        <f t="shared" si="23"/>
        <v>0.19413549039433775</v>
      </c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2.75" customHeight="1" x14ac:dyDescent="0.3">
      <c r="A72" s="49" t="s">
        <v>1587</v>
      </c>
      <c r="B72" s="50" t="s">
        <v>1765</v>
      </c>
      <c r="C72" s="50" t="s">
        <v>1766</v>
      </c>
      <c r="D72" s="51" t="s">
        <v>1767</v>
      </c>
      <c r="E72" s="52" t="s">
        <v>13</v>
      </c>
      <c r="F72" s="53">
        <v>1299</v>
      </c>
      <c r="G72" s="53">
        <v>785.11</v>
      </c>
      <c r="H72" s="54">
        <f t="shared" si="21"/>
        <v>0.39560431100846805</v>
      </c>
      <c r="I72" s="54"/>
      <c r="J72" s="54">
        <v>0.25</v>
      </c>
      <c r="K72" s="53">
        <f t="shared" si="22"/>
        <v>974.25</v>
      </c>
      <c r="L72" s="54">
        <f t="shared" si="23"/>
        <v>0.1941390813446241</v>
      </c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2.75" customHeight="1" x14ac:dyDescent="0.3">
      <c r="A73" s="47" t="s">
        <v>1587</v>
      </c>
      <c r="B73" s="37" t="s">
        <v>1768</v>
      </c>
      <c r="C73" s="37" t="s">
        <v>1769</v>
      </c>
      <c r="D73" s="43" t="s">
        <v>1770</v>
      </c>
      <c r="E73" s="5" t="s">
        <v>13</v>
      </c>
      <c r="F73" s="45">
        <v>649</v>
      </c>
      <c r="G73" s="45">
        <v>392.25</v>
      </c>
      <c r="H73" s="46">
        <f t="shared" ref="H73:H82" si="24">1-(G73/F73)</f>
        <v>0.3956086286594761</v>
      </c>
      <c r="I73" s="46"/>
      <c r="J73" s="46">
        <v>0.25</v>
      </c>
      <c r="K73" s="45">
        <f t="shared" ref="K73:K82" si="25">F73*(1-J73)</f>
        <v>486.75</v>
      </c>
      <c r="L73" s="46">
        <f t="shared" ref="L73:L82" si="26">1-(G73/K73)</f>
        <v>0.19414483821263484</v>
      </c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2.75" customHeight="1" x14ac:dyDescent="0.3">
      <c r="A74" s="47" t="s">
        <v>1587</v>
      </c>
      <c r="B74" s="37" t="s">
        <v>1771</v>
      </c>
      <c r="C74" s="37" t="s">
        <v>1772</v>
      </c>
      <c r="D74" s="43" t="s">
        <v>1773</v>
      </c>
      <c r="E74" s="5" t="s">
        <v>13</v>
      </c>
      <c r="F74" s="45">
        <v>1076</v>
      </c>
      <c r="G74" s="45">
        <v>650.33000000000004</v>
      </c>
      <c r="H74" s="46">
        <f t="shared" si="24"/>
        <v>0.39560408921933077</v>
      </c>
      <c r="I74" s="46"/>
      <c r="J74" s="46">
        <v>0.25</v>
      </c>
      <c r="K74" s="45">
        <f t="shared" si="25"/>
        <v>807</v>
      </c>
      <c r="L74" s="46">
        <f t="shared" si="26"/>
        <v>0.19413878562577447</v>
      </c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2.75" customHeight="1" x14ac:dyDescent="0.3">
      <c r="A75" s="47" t="s">
        <v>1587</v>
      </c>
      <c r="B75" s="37" t="s">
        <v>1666</v>
      </c>
      <c r="C75" s="37" t="s">
        <v>1667</v>
      </c>
      <c r="D75" s="43" t="s">
        <v>1774</v>
      </c>
      <c r="E75" s="5" t="s">
        <v>13</v>
      </c>
      <c r="F75" s="45">
        <v>279</v>
      </c>
      <c r="G75" s="45">
        <v>168.63</v>
      </c>
      <c r="H75" s="46">
        <f t="shared" si="24"/>
        <v>0.3955913978494624</v>
      </c>
      <c r="I75" s="46"/>
      <c r="J75" s="46">
        <v>0.25</v>
      </c>
      <c r="K75" s="45">
        <f t="shared" si="25"/>
        <v>209.25</v>
      </c>
      <c r="L75" s="46">
        <f t="shared" si="26"/>
        <v>0.1941218637992832</v>
      </c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2.75" customHeight="1" x14ac:dyDescent="0.3">
      <c r="A76" s="164" t="s">
        <v>1587</v>
      </c>
      <c r="B76" s="37" t="s">
        <v>1669</v>
      </c>
      <c r="C76" s="37" t="s">
        <v>1712</v>
      </c>
      <c r="D76" s="43" t="s">
        <v>1775</v>
      </c>
      <c r="E76" s="5" t="s">
        <v>13</v>
      </c>
      <c r="F76" s="45">
        <v>199</v>
      </c>
      <c r="G76" s="45">
        <v>120.27</v>
      </c>
      <c r="H76" s="46">
        <f t="shared" si="24"/>
        <v>0.39562814070351759</v>
      </c>
      <c r="I76" s="46"/>
      <c r="J76" s="46">
        <v>0.25</v>
      </c>
      <c r="K76" s="45">
        <f t="shared" si="25"/>
        <v>149.25</v>
      </c>
      <c r="L76" s="46">
        <f t="shared" si="26"/>
        <v>0.19417085427135683</v>
      </c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2.75" customHeight="1" x14ac:dyDescent="0.3">
      <c r="A77" s="47" t="s">
        <v>1587</v>
      </c>
      <c r="B77" s="37" t="s">
        <v>1672</v>
      </c>
      <c r="C77" s="37" t="s">
        <v>1673</v>
      </c>
      <c r="D77" s="43" t="s">
        <v>1674</v>
      </c>
      <c r="E77" s="5" t="s">
        <v>13</v>
      </c>
      <c r="F77" s="45">
        <v>299</v>
      </c>
      <c r="G77" s="45">
        <v>180.71</v>
      </c>
      <c r="H77" s="46">
        <f t="shared" si="24"/>
        <v>0.39561872909698992</v>
      </c>
      <c r="I77" s="46"/>
      <c r="J77" s="46">
        <v>0.25</v>
      </c>
      <c r="K77" s="45">
        <f t="shared" si="25"/>
        <v>224.25</v>
      </c>
      <c r="L77" s="46">
        <f t="shared" si="26"/>
        <v>0.19415830546265322</v>
      </c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2.75" customHeight="1" x14ac:dyDescent="0.3">
      <c r="A78" s="47" t="s">
        <v>1587</v>
      </c>
      <c r="B78" s="37" t="s">
        <v>1675</v>
      </c>
      <c r="C78" s="37" t="s">
        <v>1676</v>
      </c>
      <c r="D78" s="43" t="s">
        <v>1776</v>
      </c>
      <c r="E78" s="5" t="s">
        <v>13</v>
      </c>
      <c r="F78" s="45">
        <v>110</v>
      </c>
      <c r="G78" s="45">
        <v>66.48</v>
      </c>
      <c r="H78" s="46">
        <f t="shared" si="24"/>
        <v>0.39563636363636356</v>
      </c>
      <c r="I78" s="46"/>
      <c r="J78" s="46">
        <v>0.25</v>
      </c>
      <c r="K78" s="45">
        <f t="shared" si="25"/>
        <v>82.5</v>
      </c>
      <c r="L78" s="46">
        <f t="shared" si="26"/>
        <v>0.19418181818181812</v>
      </c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2.75" customHeight="1" x14ac:dyDescent="0.3">
      <c r="A79" s="47" t="s">
        <v>1587</v>
      </c>
      <c r="B79" s="37" t="s">
        <v>1734</v>
      </c>
      <c r="C79" s="37" t="s">
        <v>1735</v>
      </c>
      <c r="D79" s="43" t="s">
        <v>1777</v>
      </c>
      <c r="E79" s="5" t="s">
        <v>13</v>
      </c>
      <c r="F79" s="45">
        <v>465</v>
      </c>
      <c r="G79" s="45">
        <v>281.04000000000002</v>
      </c>
      <c r="H79" s="46">
        <f t="shared" si="24"/>
        <v>0.39561290322580644</v>
      </c>
      <c r="I79" s="46"/>
      <c r="J79" s="46">
        <v>0.25</v>
      </c>
      <c r="K79" s="45">
        <f t="shared" si="25"/>
        <v>348.75</v>
      </c>
      <c r="L79" s="46">
        <f t="shared" si="26"/>
        <v>0.19415053763440859</v>
      </c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2.75" customHeight="1" x14ac:dyDescent="0.3">
      <c r="A80" s="47" t="s">
        <v>1587</v>
      </c>
      <c r="B80" s="37" t="s">
        <v>1778</v>
      </c>
      <c r="C80" s="37" t="s">
        <v>1779</v>
      </c>
      <c r="D80" s="43" t="s">
        <v>1780</v>
      </c>
      <c r="E80" s="5" t="s">
        <v>13</v>
      </c>
      <c r="F80" s="45">
        <v>350</v>
      </c>
      <c r="G80" s="45">
        <v>211.54</v>
      </c>
      <c r="H80" s="46">
        <f t="shared" si="24"/>
        <v>0.39560000000000006</v>
      </c>
      <c r="I80" s="46"/>
      <c r="J80" s="46">
        <v>0.25</v>
      </c>
      <c r="K80" s="45">
        <f t="shared" si="25"/>
        <v>262.5</v>
      </c>
      <c r="L80" s="46">
        <f t="shared" si="26"/>
        <v>0.19413333333333338</v>
      </c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2.75" customHeight="1" x14ac:dyDescent="0.3">
      <c r="A81" s="47" t="s">
        <v>1587</v>
      </c>
      <c r="B81" s="37" t="s">
        <v>1781</v>
      </c>
      <c r="C81" s="37" t="s">
        <v>1779</v>
      </c>
      <c r="D81" s="43" t="s">
        <v>1782</v>
      </c>
      <c r="E81" s="5" t="s">
        <v>13</v>
      </c>
      <c r="F81" s="45">
        <v>575</v>
      </c>
      <c r="G81" s="45">
        <v>347.52</v>
      </c>
      <c r="H81" s="46">
        <f t="shared" si="24"/>
        <v>0.39561739130434781</v>
      </c>
      <c r="I81" s="46"/>
      <c r="J81" s="46">
        <v>0.25</v>
      </c>
      <c r="K81" s="45">
        <f t="shared" si="25"/>
        <v>431.25</v>
      </c>
      <c r="L81" s="46">
        <f t="shared" si="26"/>
        <v>0.19415652173913045</v>
      </c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2.75" customHeight="1" x14ac:dyDescent="0.3">
      <c r="A82" s="48" t="s">
        <v>1587</v>
      </c>
      <c r="B82" s="38" t="s">
        <v>1783</v>
      </c>
      <c r="C82" s="38" t="s">
        <v>1784</v>
      </c>
      <c r="D82" s="39" t="s">
        <v>1785</v>
      </c>
      <c r="E82" s="40" t="s">
        <v>13</v>
      </c>
      <c r="F82" s="41">
        <v>320</v>
      </c>
      <c r="G82" s="41">
        <v>193.41</v>
      </c>
      <c r="H82" s="42">
        <f t="shared" si="24"/>
        <v>0.39559374999999997</v>
      </c>
      <c r="I82" s="42"/>
      <c r="J82" s="42">
        <v>0.25</v>
      </c>
      <c r="K82" s="41">
        <f t="shared" si="25"/>
        <v>240</v>
      </c>
      <c r="L82" s="42">
        <f t="shared" si="26"/>
        <v>0.19412499999999999</v>
      </c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2.75" customHeight="1" x14ac:dyDescent="0.3">
      <c r="A83" s="47" t="s">
        <v>1587</v>
      </c>
      <c r="B83" s="37" t="s">
        <v>1786</v>
      </c>
      <c r="C83" s="37" t="s">
        <v>1787</v>
      </c>
      <c r="D83" s="43" t="s">
        <v>1788</v>
      </c>
      <c r="E83" s="5" t="s">
        <v>13</v>
      </c>
      <c r="F83" s="45">
        <v>969</v>
      </c>
      <c r="G83" s="45">
        <v>585.66</v>
      </c>
      <c r="H83" s="46">
        <f t="shared" ref="H83:H87" si="27">1-(G83/F83)</f>
        <v>0.3956037151702787</v>
      </c>
      <c r="I83" s="46"/>
      <c r="J83" s="46">
        <v>0.25</v>
      </c>
      <c r="K83" s="45">
        <f t="shared" ref="K83:K87" si="28">F83*(1-J83)</f>
        <v>726.75</v>
      </c>
      <c r="L83" s="46">
        <f t="shared" ref="L83:L87" si="29">1-(G83/K83)</f>
        <v>0.19413828689370494</v>
      </c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2.75" customHeight="1" x14ac:dyDescent="0.3">
      <c r="A84" s="47" t="s">
        <v>1587</v>
      </c>
      <c r="B84" s="37" t="s">
        <v>1789</v>
      </c>
      <c r="C84" s="37" t="s">
        <v>1790</v>
      </c>
      <c r="D84" s="43" t="s">
        <v>1791</v>
      </c>
      <c r="E84" s="5" t="s">
        <v>13</v>
      </c>
      <c r="F84" s="45">
        <v>999</v>
      </c>
      <c r="G84" s="45">
        <v>603.79</v>
      </c>
      <c r="H84" s="46">
        <f t="shared" si="27"/>
        <v>0.39560560560560565</v>
      </c>
      <c r="I84" s="46"/>
      <c r="J84" s="46">
        <v>0.25</v>
      </c>
      <c r="K84" s="45">
        <f t="shared" si="28"/>
        <v>749.25</v>
      </c>
      <c r="L84" s="46">
        <f t="shared" si="29"/>
        <v>0.19414080747414086</v>
      </c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2.75" customHeight="1" x14ac:dyDescent="0.3">
      <c r="A85" s="47" t="s">
        <v>1587</v>
      </c>
      <c r="B85" s="37" t="s">
        <v>1792</v>
      </c>
      <c r="C85" s="37" t="s">
        <v>1793</v>
      </c>
      <c r="D85" s="43" t="s">
        <v>1794</v>
      </c>
      <c r="E85" s="5" t="s">
        <v>13</v>
      </c>
      <c r="F85" s="45">
        <v>1299</v>
      </c>
      <c r="G85" s="45">
        <v>785.11</v>
      </c>
      <c r="H85" s="46">
        <f t="shared" si="27"/>
        <v>0.39560431100846805</v>
      </c>
      <c r="I85" s="46"/>
      <c r="J85" s="46">
        <v>0.25</v>
      </c>
      <c r="K85" s="45">
        <f t="shared" si="28"/>
        <v>974.25</v>
      </c>
      <c r="L85" s="46">
        <f t="shared" si="29"/>
        <v>0.1941390813446241</v>
      </c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2.75" customHeight="1" x14ac:dyDescent="0.3">
      <c r="A86" s="47" t="s">
        <v>1587</v>
      </c>
      <c r="B86" s="37" t="s">
        <v>1795</v>
      </c>
      <c r="C86" s="37" t="s">
        <v>1796</v>
      </c>
      <c r="D86" s="43" t="s">
        <v>1797</v>
      </c>
      <c r="E86" s="5" t="s">
        <v>13</v>
      </c>
      <c r="F86" s="45">
        <v>1689</v>
      </c>
      <c r="G86" s="45">
        <v>1020.82</v>
      </c>
      <c r="H86" s="46">
        <f t="shared" si="27"/>
        <v>0.39560686796921252</v>
      </c>
      <c r="I86" s="46"/>
      <c r="J86" s="46">
        <v>0.25</v>
      </c>
      <c r="K86" s="45">
        <f t="shared" si="28"/>
        <v>1266.75</v>
      </c>
      <c r="L86" s="46">
        <f t="shared" si="29"/>
        <v>0.19414249062561673</v>
      </c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2.75" customHeight="1" x14ac:dyDescent="0.3">
      <c r="A87" s="49" t="s">
        <v>1587</v>
      </c>
      <c r="B87" s="50" t="s">
        <v>1798</v>
      </c>
      <c r="C87" s="50" t="s">
        <v>1799</v>
      </c>
      <c r="D87" s="51" t="s">
        <v>1800</v>
      </c>
      <c r="E87" s="20" t="s">
        <v>13</v>
      </c>
      <c r="F87" s="53">
        <v>2299</v>
      </c>
      <c r="G87" s="53">
        <v>1389.51</v>
      </c>
      <c r="H87" s="54">
        <f t="shared" si="27"/>
        <v>0.39560243584167032</v>
      </c>
      <c r="I87" s="54"/>
      <c r="J87" s="54">
        <v>0.25</v>
      </c>
      <c r="K87" s="53">
        <f t="shared" si="28"/>
        <v>1724.25</v>
      </c>
      <c r="L87" s="54">
        <f t="shared" si="29"/>
        <v>0.19413658112222709</v>
      </c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2.75" customHeight="1" x14ac:dyDescent="0.3">
      <c r="A88" s="47" t="s">
        <v>1587</v>
      </c>
      <c r="B88" s="37" t="s">
        <v>1801</v>
      </c>
      <c r="C88" s="37" t="s">
        <v>1802</v>
      </c>
      <c r="D88" s="43" t="s">
        <v>1803</v>
      </c>
      <c r="E88" s="5" t="s">
        <v>13</v>
      </c>
      <c r="F88" s="45">
        <v>769</v>
      </c>
      <c r="G88" s="45">
        <v>464.78</v>
      </c>
      <c r="H88" s="46">
        <f t="shared" ref="H88:H109" si="30">1-(G88/F88)</f>
        <v>0.3956046814044214</v>
      </c>
      <c r="I88" s="46"/>
      <c r="J88" s="46">
        <v>0.25</v>
      </c>
      <c r="K88" s="45">
        <f t="shared" ref="K88:K109" si="31">F88*(1-J88)</f>
        <v>576.75</v>
      </c>
      <c r="L88" s="46">
        <f t="shared" ref="L88:L109" si="32">1-(G88/K88)</f>
        <v>0.1941395752058952</v>
      </c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2.75" customHeight="1" x14ac:dyDescent="0.3">
      <c r="A89" s="47" t="s">
        <v>1587</v>
      </c>
      <c r="B89" s="37" t="s">
        <v>1804</v>
      </c>
      <c r="C89" s="37" t="s">
        <v>1805</v>
      </c>
      <c r="D89" s="43" t="s">
        <v>1806</v>
      </c>
      <c r="E89" s="5" t="s">
        <v>13</v>
      </c>
      <c r="F89" s="45">
        <v>1099</v>
      </c>
      <c r="G89" s="45">
        <v>664.23</v>
      </c>
      <c r="H89" s="46">
        <f t="shared" si="30"/>
        <v>0.39560509554140122</v>
      </c>
      <c r="I89" s="46"/>
      <c r="J89" s="46">
        <v>0.25</v>
      </c>
      <c r="K89" s="45">
        <f t="shared" si="31"/>
        <v>824.25</v>
      </c>
      <c r="L89" s="46">
        <f t="shared" si="32"/>
        <v>0.19414012738853503</v>
      </c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2.75" customHeight="1" x14ac:dyDescent="0.3">
      <c r="A90" s="47" t="s">
        <v>1587</v>
      </c>
      <c r="B90" s="37" t="s">
        <v>1648</v>
      </c>
      <c r="C90" s="37" t="s">
        <v>1649</v>
      </c>
      <c r="D90" s="43" t="s">
        <v>1807</v>
      </c>
      <c r="E90" s="5" t="s">
        <v>13</v>
      </c>
      <c r="F90" s="45">
        <v>899</v>
      </c>
      <c r="G90" s="45">
        <v>453.35</v>
      </c>
      <c r="H90" s="46">
        <f t="shared" si="30"/>
        <v>0.49571746384872073</v>
      </c>
      <c r="I90" s="46"/>
      <c r="J90" s="46">
        <v>0.38</v>
      </c>
      <c r="K90" s="45">
        <f t="shared" si="31"/>
        <v>557.38</v>
      </c>
      <c r="L90" s="46">
        <f t="shared" si="32"/>
        <v>0.18664107072374314</v>
      </c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2.75" customHeight="1" x14ac:dyDescent="0.3">
      <c r="A91" s="47" t="s">
        <v>1587</v>
      </c>
      <c r="B91" s="37" t="s">
        <v>1651</v>
      </c>
      <c r="C91" s="37" t="s">
        <v>1652</v>
      </c>
      <c r="D91" s="43" t="s">
        <v>1808</v>
      </c>
      <c r="E91" s="5" t="s">
        <v>13</v>
      </c>
      <c r="F91" s="45">
        <v>1139</v>
      </c>
      <c r="G91" s="45">
        <v>688.41</v>
      </c>
      <c r="H91" s="46">
        <f t="shared" si="30"/>
        <v>0.39560140474100092</v>
      </c>
      <c r="I91" s="46"/>
      <c r="J91" s="46">
        <v>0.25</v>
      </c>
      <c r="K91" s="45">
        <f t="shared" si="31"/>
        <v>854.25</v>
      </c>
      <c r="L91" s="46">
        <f t="shared" si="32"/>
        <v>0.19413520632133452</v>
      </c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2.75" customHeight="1" x14ac:dyDescent="0.3">
      <c r="A92" s="47" t="s">
        <v>1587</v>
      </c>
      <c r="B92" s="37" t="s">
        <v>1654</v>
      </c>
      <c r="C92" s="37" t="s">
        <v>1655</v>
      </c>
      <c r="D92" s="43" t="s">
        <v>1656</v>
      </c>
      <c r="E92" s="5" t="s">
        <v>13</v>
      </c>
      <c r="F92" s="45">
        <v>116</v>
      </c>
      <c r="G92" s="45">
        <v>70.11</v>
      </c>
      <c r="H92" s="46">
        <f t="shared" si="30"/>
        <v>0.39560344827586202</v>
      </c>
      <c r="I92" s="46"/>
      <c r="J92" s="46">
        <v>0.25</v>
      </c>
      <c r="K92" s="45">
        <f t="shared" si="31"/>
        <v>87</v>
      </c>
      <c r="L92" s="46">
        <f t="shared" si="32"/>
        <v>0.19413793103448274</v>
      </c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2.75" customHeight="1" x14ac:dyDescent="0.3">
      <c r="A93" s="47" t="s">
        <v>1587</v>
      </c>
      <c r="B93" s="37" t="s">
        <v>1657</v>
      </c>
      <c r="C93" s="37" t="s">
        <v>1658</v>
      </c>
      <c r="D93" s="43" t="s">
        <v>1659</v>
      </c>
      <c r="E93" s="5" t="s">
        <v>13</v>
      </c>
      <c r="F93" s="45">
        <v>89</v>
      </c>
      <c r="G93" s="45">
        <v>53.79</v>
      </c>
      <c r="H93" s="46">
        <f t="shared" si="30"/>
        <v>0.39561797752808991</v>
      </c>
      <c r="I93" s="46"/>
      <c r="J93" s="46">
        <v>0.25</v>
      </c>
      <c r="K93" s="45">
        <f t="shared" si="31"/>
        <v>66.75</v>
      </c>
      <c r="L93" s="46">
        <f t="shared" si="32"/>
        <v>0.19415730337078652</v>
      </c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2.75" customHeight="1" x14ac:dyDescent="0.3">
      <c r="A94" s="47" t="s">
        <v>1587</v>
      </c>
      <c r="B94" s="37" t="s">
        <v>1660</v>
      </c>
      <c r="C94" s="37" t="s">
        <v>1661</v>
      </c>
      <c r="D94" s="43" t="s">
        <v>1662</v>
      </c>
      <c r="E94" s="5" t="s">
        <v>13</v>
      </c>
      <c r="F94" s="45">
        <v>139</v>
      </c>
      <c r="G94" s="45">
        <v>84.01</v>
      </c>
      <c r="H94" s="46">
        <f t="shared" si="30"/>
        <v>0.39561151079136692</v>
      </c>
      <c r="I94" s="46"/>
      <c r="J94" s="46">
        <v>0.25</v>
      </c>
      <c r="K94" s="45">
        <f t="shared" si="31"/>
        <v>104.25</v>
      </c>
      <c r="L94" s="46">
        <f t="shared" si="32"/>
        <v>0.19414868105515581</v>
      </c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2.75" customHeight="1" x14ac:dyDescent="0.3">
      <c r="A95" s="47" t="s">
        <v>1587</v>
      </c>
      <c r="B95" s="37" t="s">
        <v>1809</v>
      </c>
      <c r="C95" s="37" t="s">
        <v>1810</v>
      </c>
      <c r="D95" s="43" t="s">
        <v>1811</v>
      </c>
      <c r="E95" s="5" t="s">
        <v>13</v>
      </c>
      <c r="F95" s="45">
        <v>69</v>
      </c>
      <c r="G95" s="45">
        <v>41.7</v>
      </c>
      <c r="H95" s="46">
        <f t="shared" si="30"/>
        <v>0.39565217391304341</v>
      </c>
      <c r="I95" s="46"/>
      <c r="J95" s="46">
        <v>0.25</v>
      </c>
      <c r="K95" s="45">
        <f t="shared" si="31"/>
        <v>51.75</v>
      </c>
      <c r="L95" s="46">
        <f t="shared" si="32"/>
        <v>0.19420289855072459</v>
      </c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2.75" customHeight="1" x14ac:dyDescent="0.3">
      <c r="A96" s="47" t="s">
        <v>1587</v>
      </c>
      <c r="B96" s="37" t="s">
        <v>1663</v>
      </c>
      <c r="C96" s="37" t="s">
        <v>1664</v>
      </c>
      <c r="D96" s="43" t="s">
        <v>1812</v>
      </c>
      <c r="E96" s="5" t="s">
        <v>13</v>
      </c>
      <c r="F96" s="45">
        <v>29</v>
      </c>
      <c r="G96" s="45">
        <v>17.53</v>
      </c>
      <c r="H96" s="46">
        <f t="shared" si="30"/>
        <v>0.39551724137931032</v>
      </c>
      <c r="I96" s="46"/>
      <c r="J96" s="46">
        <v>0.25</v>
      </c>
      <c r="K96" s="45">
        <f t="shared" si="31"/>
        <v>21.75</v>
      </c>
      <c r="L96" s="46">
        <f t="shared" si="32"/>
        <v>0.19402298850574706</v>
      </c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2.75" customHeight="1" x14ac:dyDescent="0.3">
      <c r="A97" s="47" t="s">
        <v>1587</v>
      </c>
      <c r="B97" s="37" t="s">
        <v>1813</v>
      </c>
      <c r="C97" s="37" t="s">
        <v>1814</v>
      </c>
      <c r="D97" s="43" t="s">
        <v>1815</v>
      </c>
      <c r="E97" s="5" t="s">
        <v>13</v>
      </c>
      <c r="F97" s="45">
        <v>259</v>
      </c>
      <c r="G97" s="45">
        <v>156.54</v>
      </c>
      <c r="H97" s="46">
        <f t="shared" si="30"/>
        <v>0.39559845559845563</v>
      </c>
      <c r="I97" s="46"/>
      <c r="J97" s="46">
        <v>0.25</v>
      </c>
      <c r="K97" s="45">
        <f t="shared" si="31"/>
        <v>194.25</v>
      </c>
      <c r="L97" s="46">
        <f t="shared" si="32"/>
        <v>0.19413127413127418</v>
      </c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2.75" customHeight="1" x14ac:dyDescent="0.3">
      <c r="A98" s="47" t="s">
        <v>1587</v>
      </c>
      <c r="B98" s="37" t="s">
        <v>1666</v>
      </c>
      <c r="C98" s="37" t="s">
        <v>1667</v>
      </c>
      <c r="D98" s="43" t="s">
        <v>1711</v>
      </c>
      <c r="E98" s="5" t="s">
        <v>13</v>
      </c>
      <c r="F98" s="45">
        <v>279</v>
      </c>
      <c r="G98" s="45">
        <v>168.63</v>
      </c>
      <c r="H98" s="46">
        <f t="shared" si="30"/>
        <v>0.3955913978494624</v>
      </c>
      <c r="I98" s="46"/>
      <c r="J98" s="46">
        <v>0.25</v>
      </c>
      <c r="K98" s="45">
        <f t="shared" si="31"/>
        <v>209.25</v>
      </c>
      <c r="L98" s="46">
        <f t="shared" si="32"/>
        <v>0.1941218637992832</v>
      </c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2.75" customHeight="1" x14ac:dyDescent="0.3">
      <c r="A99" s="47" t="s">
        <v>1587</v>
      </c>
      <c r="B99" s="37" t="s">
        <v>1669</v>
      </c>
      <c r="C99" s="37" t="s">
        <v>1670</v>
      </c>
      <c r="D99" s="43" t="s">
        <v>1671</v>
      </c>
      <c r="E99" s="5" t="s">
        <v>13</v>
      </c>
      <c r="F99" s="45">
        <v>199</v>
      </c>
      <c r="G99" s="45">
        <v>120.27</v>
      </c>
      <c r="H99" s="46">
        <f t="shared" si="30"/>
        <v>0.39562814070351759</v>
      </c>
      <c r="I99" s="46"/>
      <c r="J99" s="46">
        <v>0.25</v>
      </c>
      <c r="K99" s="45">
        <f t="shared" si="31"/>
        <v>149.25</v>
      </c>
      <c r="L99" s="46">
        <f t="shared" si="32"/>
        <v>0.19417085427135683</v>
      </c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2.75" customHeight="1" x14ac:dyDescent="0.3">
      <c r="A100" s="47" t="s">
        <v>1587</v>
      </c>
      <c r="B100" s="37" t="s">
        <v>1672</v>
      </c>
      <c r="C100" s="37" t="s">
        <v>1673</v>
      </c>
      <c r="D100" s="43" t="s">
        <v>1674</v>
      </c>
      <c r="E100" s="5" t="s">
        <v>13</v>
      </c>
      <c r="F100" s="45">
        <v>299</v>
      </c>
      <c r="G100" s="45">
        <v>180.71</v>
      </c>
      <c r="H100" s="46">
        <f t="shared" si="30"/>
        <v>0.39561872909698992</v>
      </c>
      <c r="I100" s="46"/>
      <c r="J100" s="46">
        <v>0.25</v>
      </c>
      <c r="K100" s="45">
        <f t="shared" si="31"/>
        <v>224.25</v>
      </c>
      <c r="L100" s="46">
        <f t="shared" si="32"/>
        <v>0.19415830546265322</v>
      </c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2.75" customHeight="1" x14ac:dyDescent="0.3">
      <c r="A101" s="47" t="s">
        <v>1587</v>
      </c>
      <c r="B101" s="37" t="s">
        <v>1675</v>
      </c>
      <c r="C101" s="37" t="s">
        <v>1676</v>
      </c>
      <c r="D101" s="43" t="s">
        <v>1677</v>
      </c>
      <c r="E101" s="5" t="s">
        <v>13</v>
      </c>
      <c r="F101" s="45">
        <v>110</v>
      </c>
      <c r="G101" s="45">
        <v>66.48</v>
      </c>
      <c r="H101" s="46">
        <f t="shared" si="30"/>
        <v>0.39563636363636356</v>
      </c>
      <c r="I101" s="46"/>
      <c r="J101" s="46">
        <v>0.25</v>
      </c>
      <c r="K101" s="45">
        <f t="shared" si="31"/>
        <v>82.5</v>
      </c>
      <c r="L101" s="46">
        <f t="shared" si="32"/>
        <v>0.19418181818181812</v>
      </c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2.75" customHeight="1" x14ac:dyDescent="0.3">
      <c r="A102" s="47" t="s">
        <v>1587</v>
      </c>
      <c r="B102" s="37" t="s">
        <v>1678</v>
      </c>
      <c r="C102" s="37" t="s">
        <v>1754</v>
      </c>
      <c r="D102" s="43" t="s">
        <v>1755</v>
      </c>
      <c r="E102" s="5" t="s">
        <v>13</v>
      </c>
      <c r="F102" s="45">
        <v>279</v>
      </c>
      <c r="G102" s="45">
        <v>168.63</v>
      </c>
      <c r="H102" s="46">
        <f t="shared" si="30"/>
        <v>0.3955913978494624</v>
      </c>
      <c r="I102" s="46"/>
      <c r="J102" s="46">
        <v>0.25</v>
      </c>
      <c r="K102" s="45">
        <f t="shared" si="31"/>
        <v>209.25</v>
      </c>
      <c r="L102" s="46">
        <f t="shared" si="32"/>
        <v>0.1941218637992832</v>
      </c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2.75" customHeight="1" x14ac:dyDescent="0.3">
      <c r="A103" s="47" t="s">
        <v>1587</v>
      </c>
      <c r="B103" s="37" t="s">
        <v>1681</v>
      </c>
      <c r="C103" s="37" t="s">
        <v>1682</v>
      </c>
      <c r="D103" s="43" t="s">
        <v>1683</v>
      </c>
      <c r="E103" s="5" t="s">
        <v>13</v>
      </c>
      <c r="F103" s="45">
        <v>319</v>
      </c>
      <c r="G103" s="45">
        <v>192.8</v>
      </c>
      <c r="H103" s="46">
        <f t="shared" si="30"/>
        <v>0.39561128526645761</v>
      </c>
      <c r="I103" s="46"/>
      <c r="J103" s="46">
        <v>0.25</v>
      </c>
      <c r="K103" s="45">
        <f t="shared" si="31"/>
        <v>239.25</v>
      </c>
      <c r="L103" s="46">
        <f t="shared" si="32"/>
        <v>0.19414838035527682</v>
      </c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2.75" customHeight="1" x14ac:dyDescent="0.3">
      <c r="A104" s="47" t="s">
        <v>1587</v>
      </c>
      <c r="B104" s="37" t="s">
        <v>1684</v>
      </c>
      <c r="C104" s="37" t="s">
        <v>1685</v>
      </c>
      <c r="D104" s="43" t="s">
        <v>1686</v>
      </c>
      <c r="E104" s="5" t="s">
        <v>13</v>
      </c>
      <c r="F104" s="45">
        <v>499</v>
      </c>
      <c r="G104" s="45">
        <v>301.58999999999997</v>
      </c>
      <c r="H104" s="46">
        <f t="shared" si="30"/>
        <v>0.39561122244488978</v>
      </c>
      <c r="I104" s="46"/>
      <c r="J104" s="46">
        <v>0.25</v>
      </c>
      <c r="K104" s="45">
        <f t="shared" si="31"/>
        <v>374.25</v>
      </c>
      <c r="L104" s="46">
        <f t="shared" si="32"/>
        <v>0.19414829659318644</v>
      </c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2.75" customHeight="1" x14ac:dyDescent="0.3">
      <c r="A105" s="47" t="s">
        <v>1587</v>
      </c>
      <c r="B105" s="37" t="s">
        <v>1687</v>
      </c>
      <c r="C105" s="37" t="s">
        <v>1688</v>
      </c>
      <c r="D105" s="43" t="s">
        <v>1689</v>
      </c>
      <c r="E105" s="5" t="s">
        <v>13</v>
      </c>
      <c r="F105" s="45">
        <v>95</v>
      </c>
      <c r="G105" s="45">
        <v>57.42</v>
      </c>
      <c r="H105" s="46">
        <f t="shared" si="30"/>
        <v>0.39557894736842103</v>
      </c>
      <c r="I105" s="46"/>
      <c r="J105" s="46">
        <v>0.25</v>
      </c>
      <c r="K105" s="45">
        <f t="shared" si="31"/>
        <v>71.25</v>
      </c>
      <c r="L105" s="46">
        <f t="shared" si="32"/>
        <v>0.19410526315789467</v>
      </c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2.75" customHeight="1" x14ac:dyDescent="0.3">
      <c r="A106" s="47" t="s">
        <v>1587</v>
      </c>
      <c r="B106" s="37" t="s">
        <v>1690</v>
      </c>
      <c r="C106" s="37" t="s">
        <v>1691</v>
      </c>
      <c r="D106" s="43" t="s">
        <v>1689</v>
      </c>
      <c r="E106" s="5" t="s">
        <v>13</v>
      </c>
      <c r="F106" s="45">
        <v>139</v>
      </c>
      <c r="G106" s="45">
        <v>105.99</v>
      </c>
      <c r="H106" s="46">
        <f t="shared" si="30"/>
        <v>0.23748201438848926</v>
      </c>
      <c r="I106" s="46"/>
      <c r="J106" s="46">
        <v>0.05</v>
      </c>
      <c r="K106" s="45">
        <f t="shared" si="31"/>
        <v>132.04999999999998</v>
      </c>
      <c r="L106" s="46">
        <f t="shared" si="32"/>
        <v>0.1973494888299886</v>
      </c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2.75" customHeight="1" x14ac:dyDescent="0.3">
      <c r="A107" s="47" t="s">
        <v>1587</v>
      </c>
      <c r="B107" s="37" t="s">
        <v>1692</v>
      </c>
      <c r="C107" s="37" t="s">
        <v>1693</v>
      </c>
      <c r="D107" s="43" t="s">
        <v>1694</v>
      </c>
      <c r="E107" s="5" t="s">
        <v>13</v>
      </c>
      <c r="F107" s="45">
        <v>375</v>
      </c>
      <c r="G107" s="45">
        <v>223.63</v>
      </c>
      <c r="H107" s="46">
        <f t="shared" si="30"/>
        <v>0.40365333333333331</v>
      </c>
      <c r="I107" s="46"/>
      <c r="J107" s="46">
        <v>0.25</v>
      </c>
      <c r="K107" s="45">
        <f t="shared" si="31"/>
        <v>281.25</v>
      </c>
      <c r="L107" s="46">
        <f t="shared" si="32"/>
        <v>0.20487111111111111</v>
      </c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2.75" customHeight="1" x14ac:dyDescent="0.3">
      <c r="A108" s="47" t="s">
        <v>1587</v>
      </c>
      <c r="B108" s="37" t="s">
        <v>1695</v>
      </c>
      <c r="C108" s="37" t="s">
        <v>1696</v>
      </c>
      <c r="D108" s="43" t="s">
        <v>1697</v>
      </c>
      <c r="E108" s="5" t="s">
        <v>13</v>
      </c>
      <c r="F108" s="45">
        <v>610</v>
      </c>
      <c r="G108" s="45">
        <v>368.68</v>
      </c>
      <c r="H108" s="46">
        <f t="shared" si="30"/>
        <v>0.39560655737704919</v>
      </c>
      <c r="I108" s="46"/>
      <c r="J108" s="46">
        <v>0.25</v>
      </c>
      <c r="K108" s="45">
        <f t="shared" si="31"/>
        <v>457.5</v>
      </c>
      <c r="L108" s="46">
        <f t="shared" si="32"/>
        <v>0.19414207650273219</v>
      </c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2.75" customHeight="1" x14ac:dyDescent="0.3">
      <c r="A109" s="47" t="s">
        <v>1587</v>
      </c>
      <c r="B109" s="38" t="s">
        <v>1698</v>
      </c>
      <c r="C109" s="38" t="s">
        <v>1699</v>
      </c>
      <c r="D109" s="39" t="s">
        <v>1700</v>
      </c>
      <c r="E109" s="40" t="s">
        <v>13</v>
      </c>
      <c r="F109" s="41">
        <v>320</v>
      </c>
      <c r="G109" s="41">
        <v>193.41</v>
      </c>
      <c r="H109" s="42">
        <f t="shared" si="30"/>
        <v>0.39559374999999997</v>
      </c>
      <c r="I109" s="42"/>
      <c r="J109" s="42">
        <v>0.25</v>
      </c>
      <c r="K109" s="41">
        <f t="shared" si="31"/>
        <v>240</v>
      </c>
      <c r="L109" s="42">
        <f t="shared" si="32"/>
        <v>0.19412499999999999</v>
      </c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2.75" customHeight="1" x14ac:dyDescent="0.3">
      <c r="A110" s="37"/>
      <c r="B110" s="37"/>
      <c r="C110" s="37"/>
      <c r="D110" s="43"/>
      <c r="E110" s="44"/>
      <c r="F110" s="45"/>
      <c r="G110" s="45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2.75" customHeight="1" x14ac:dyDescent="0.3">
      <c r="A111" s="37"/>
      <c r="B111" s="37"/>
      <c r="C111" s="37"/>
      <c r="D111" s="43"/>
      <c r="E111" s="44"/>
      <c r="F111" s="45"/>
      <c r="G111" s="45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2.75" customHeight="1" x14ac:dyDescent="0.3">
      <c r="A112" s="37"/>
      <c r="B112" s="37"/>
      <c r="C112" s="37"/>
      <c r="D112" s="43"/>
      <c r="E112" s="44"/>
      <c r="F112" s="45"/>
      <c r="G112" s="45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2.75" customHeight="1" x14ac:dyDescent="0.3">
      <c r="A113" s="37"/>
      <c r="B113" s="37"/>
      <c r="C113" s="37"/>
      <c r="D113" s="43"/>
      <c r="E113" s="44"/>
      <c r="F113" s="45"/>
      <c r="G113" s="45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2.75" customHeight="1" x14ac:dyDescent="0.3">
      <c r="A114" s="37"/>
      <c r="B114" s="37"/>
      <c r="C114" s="37"/>
      <c r="D114" s="43"/>
      <c r="E114" s="44"/>
      <c r="F114" s="45"/>
      <c r="G114" s="45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2.75" customHeight="1" x14ac:dyDescent="0.3">
      <c r="A115" s="37"/>
      <c r="B115" s="37"/>
      <c r="C115" s="37"/>
      <c r="D115" s="43"/>
      <c r="E115" s="44"/>
      <c r="F115" s="45"/>
      <c r="G115" s="45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2.75" customHeight="1" x14ac:dyDescent="0.3">
      <c r="A116" s="37"/>
      <c r="B116" s="37"/>
      <c r="C116" s="37"/>
      <c r="D116" s="43"/>
      <c r="E116" s="44"/>
      <c r="F116" s="45"/>
      <c r="G116" s="45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2.75" customHeight="1" x14ac:dyDescent="0.3">
      <c r="A117" s="37"/>
      <c r="B117" s="37"/>
      <c r="C117" s="37"/>
      <c r="D117" s="43"/>
      <c r="E117" s="44"/>
      <c r="F117" s="45"/>
      <c r="G117" s="45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2.75" customHeight="1" x14ac:dyDescent="0.3">
      <c r="A118" s="37"/>
      <c r="B118" s="37"/>
      <c r="C118" s="37"/>
      <c r="D118" s="43"/>
      <c r="E118" s="44"/>
      <c r="F118" s="45"/>
      <c r="G118" s="45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2.75" customHeight="1" x14ac:dyDescent="0.3">
      <c r="A119" s="37"/>
      <c r="B119" s="37"/>
      <c r="C119" s="37"/>
      <c r="D119" s="43"/>
      <c r="E119" s="44"/>
      <c r="F119" s="45"/>
      <c r="G119" s="45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2.75" customHeight="1" x14ac:dyDescent="0.3">
      <c r="A120" s="37"/>
      <c r="B120" s="37"/>
      <c r="C120" s="37"/>
      <c r="D120" s="43"/>
      <c r="E120" s="44"/>
      <c r="F120" s="45"/>
      <c r="G120" s="45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2.75" customHeight="1" x14ac:dyDescent="0.3">
      <c r="A121" s="37"/>
      <c r="B121" s="37"/>
      <c r="C121" s="37"/>
      <c r="D121" s="43"/>
      <c r="E121" s="44"/>
      <c r="F121" s="45"/>
      <c r="G121" s="45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2.75" customHeight="1" x14ac:dyDescent="0.3">
      <c r="A122" s="37"/>
      <c r="B122" s="37"/>
      <c r="C122" s="37"/>
      <c r="D122" s="43"/>
      <c r="E122" s="44"/>
      <c r="F122" s="45"/>
      <c r="G122" s="45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2.75" customHeight="1" x14ac:dyDescent="0.3">
      <c r="A123" s="37"/>
      <c r="B123" s="37"/>
      <c r="C123" s="37"/>
      <c r="D123" s="43"/>
      <c r="E123" s="44"/>
      <c r="F123" s="45"/>
      <c r="G123" s="45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2.75" customHeight="1" x14ac:dyDescent="0.3">
      <c r="A124" s="37"/>
      <c r="B124" s="37"/>
      <c r="C124" s="37"/>
      <c r="D124" s="43"/>
      <c r="E124" s="44"/>
      <c r="F124" s="45"/>
      <c r="G124" s="45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2.75" customHeight="1" x14ac:dyDescent="0.3">
      <c r="A125" s="37"/>
      <c r="B125" s="37"/>
      <c r="C125" s="37"/>
      <c r="D125" s="43"/>
      <c r="E125" s="44"/>
      <c r="F125" s="45"/>
      <c r="G125" s="45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2.75" customHeight="1" x14ac:dyDescent="0.3">
      <c r="A126" s="37"/>
      <c r="B126" s="37"/>
      <c r="C126" s="37"/>
      <c r="D126" s="43"/>
      <c r="E126" s="44"/>
      <c r="F126" s="45"/>
      <c r="G126" s="45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2.75" customHeight="1" x14ac:dyDescent="0.3">
      <c r="A127" s="37"/>
      <c r="B127" s="37"/>
      <c r="C127" s="37"/>
      <c r="D127" s="43"/>
      <c r="E127" s="44"/>
      <c r="F127" s="45"/>
      <c r="G127" s="45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2.75" customHeight="1" x14ac:dyDescent="0.3">
      <c r="A128" s="37"/>
      <c r="B128" s="37"/>
      <c r="C128" s="37"/>
      <c r="D128" s="43"/>
      <c r="E128" s="44"/>
      <c r="F128" s="45"/>
      <c r="G128" s="45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2.75" customHeight="1" x14ac:dyDescent="0.3">
      <c r="A129" s="37"/>
      <c r="B129" s="37"/>
      <c r="C129" s="37"/>
      <c r="D129" s="43"/>
      <c r="E129" s="44"/>
      <c r="F129" s="45"/>
      <c r="G129" s="45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2.75" customHeight="1" x14ac:dyDescent="0.3">
      <c r="A130" s="37"/>
      <c r="B130" s="37"/>
      <c r="C130" s="37"/>
      <c r="D130" s="43"/>
      <c r="E130" s="44"/>
      <c r="F130" s="45"/>
      <c r="G130" s="45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2.75" customHeight="1" x14ac:dyDescent="0.3">
      <c r="A131" s="37"/>
      <c r="B131" s="37"/>
      <c r="C131" s="37"/>
      <c r="D131" s="43"/>
      <c r="E131" s="44"/>
      <c r="F131" s="45"/>
      <c r="G131" s="45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2.75" customHeight="1" x14ac:dyDescent="0.3">
      <c r="A132" s="37"/>
      <c r="B132" s="37"/>
      <c r="C132" s="37"/>
      <c r="D132" s="43"/>
      <c r="E132" s="44"/>
      <c r="F132" s="45"/>
      <c r="G132" s="45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2.75" customHeight="1" x14ac:dyDescent="0.3">
      <c r="A133" s="37"/>
      <c r="B133" s="37"/>
      <c r="C133" s="37"/>
      <c r="D133" s="43"/>
      <c r="E133" s="44"/>
      <c r="F133" s="45"/>
      <c r="G133" s="45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2.75" customHeight="1" x14ac:dyDescent="0.3">
      <c r="A134" s="37"/>
      <c r="B134" s="37"/>
      <c r="C134" s="37"/>
      <c r="D134" s="43"/>
      <c r="E134" s="44"/>
      <c r="F134" s="45"/>
      <c r="G134" s="45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2.75" customHeight="1" x14ac:dyDescent="0.3">
      <c r="A135" s="37"/>
      <c r="B135" s="37"/>
      <c r="C135" s="37"/>
      <c r="D135" s="43"/>
      <c r="E135" s="44"/>
      <c r="F135" s="45"/>
      <c r="G135" s="45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2.75" customHeight="1" x14ac:dyDescent="0.3">
      <c r="A136" s="37"/>
      <c r="B136" s="37"/>
      <c r="C136" s="37"/>
      <c r="D136" s="43"/>
      <c r="E136" s="44"/>
      <c r="F136" s="45"/>
      <c r="G136" s="45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2.75" customHeight="1" x14ac:dyDescent="0.3">
      <c r="A137" s="37"/>
      <c r="B137" s="37"/>
      <c r="C137" s="37"/>
      <c r="D137" s="43"/>
      <c r="E137" s="44"/>
      <c r="F137" s="45"/>
      <c r="G137" s="45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2.75" customHeight="1" x14ac:dyDescent="0.3">
      <c r="A138" s="37"/>
      <c r="B138" s="37"/>
      <c r="C138" s="37"/>
      <c r="D138" s="43"/>
      <c r="E138" s="44"/>
      <c r="F138" s="45"/>
      <c r="G138" s="45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2.75" customHeight="1" x14ac:dyDescent="0.3">
      <c r="A139" s="37"/>
      <c r="B139" s="37"/>
      <c r="C139" s="37"/>
      <c r="D139" s="43"/>
      <c r="E139" s="44"/>
      <c r="F139" s="45"/>
      <c r="G139" s="45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2.75" customHeight="1" x14ac:dyDescent="0.3">
      <c r="A140" s="37"/>
      <c r="B140" s="37"/>
      <c r="C140" s="37"/>
      <c r="D140" s="43"/>
      <c r="E140" s="44"/>
      <c r="F140" s="45"/>
      <c r="G140" s="45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2.75" customHeight="1" x14ac:dyDescent="0.3">
      <c r="A141" s="37"/>
      <c r="B141" s="37"/>
      <c r="C141" s="37"/>
      <c r="D141" s="43"/>
      <c r="E141" s="44"/>
      <c r="F141" s="45"/>
      <c r="G141" s="45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2.75" customHeight="1" x14ac:dyDescent="0.3">
      <c r="A142" s="37"/>
      <c r="B142" s="37"/>
      <c r="C142" s="37"/>
      <c r="D142" s="43"/>
      <c r="E142" s="44"/>
      <c r="F142" s="45"/>
      <c r="G142" s="45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2.75" customHeight="1" x14ac:dyDescent="0.3">
      <c r="A143" s="37"/>
      <c r="B143" s="37"/>
      <c r="C143" s="37"/>
      <c r="D143" s="43"/>
      <c r="E143" s="44"/>
      <c r="F143" s="45"/>
      <c r="G143" s="45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2.75" customHeight="1" x14ac:dyDescent="0.3">
      <c r="A144" s="37"/>
      <c r="B144" s="37"/>
      <c r="C144" s="37"/>
      <c r="D144" s="43"/>
      <c r="E144" s="44"/>
      <c r="F144" s="45"/>
      <c r="G144" s="45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2.75" customHeight="1" x14ac:dyDescent="0.3">
      <c r="A145" s="37"/>
      <c r="B145" s="37"/>
      <c r="C145" s="37"/>
      <c r="D145" s="43"/>
      <c r="E145" s="44"/>
      <c r="F145" s="45"/>
      <c r="G145" s="45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2.75" customHeight="1" x14ac:dyDescent="0.3">
      <c r="A146" s="37"/>
      <c r="B146" s="37"/>
      <c r="C146" s="37"/>
      <c r="D146" s="43"/>
      <c r="E146" s="44"/>
      <c r="F146" s="45"/>
      <c r="G146" s="45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2.75" customHeight="1" x14ac:dyDescent="0.3">
      <c r="A147" s="37"/>
      <c r="B147" s="37"/>
      <c r="C147" s="37"/>
      <c r="D147" s="43"/>
      <c r="E147" s="44"/>
      <c r="F147" s="45"/>
      <c r="G147" s="45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2.75" customHeight="1" x14ac:dyDescent="0.3">
      <c r="A148" s="37"/>
      <c r="B148" s="37"/>
      <c r="C148" s="37"/>
      <c r="D148" s="43"/>
      <c r="E148" s="44"/>
      <c r="F148" s="45"/>
      <c r="G148" s="45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2.75" customHeight="1" x14ac:dyDescent="0.3">
      <c r="A149" s="37"/>
      <c r="B149" s="37"/>
      <c r="C149" s="37"/>
      <c r="D149" s="43"/>
      <c r="E149" s="44"/>
      <c r="F149" s="45"/>
      <c r="G149" s="45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2.75" customHeight="1" x14ac:dyDescent="0.3">
      <c r="A150" s="37"/>
      <c r="B150" s="37"/>
      <c r="C150" s="37"/>
      <c r="D150" s="43"/>
      <c r="E150" s="44"/>
      <c r="F150" s="45"/>
      <c r="G150" s="45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2.75" customHeight="1" x14ac:dyDescent="0.3">
      <c r="A151" s="37"/>
      <c r="B151" s="37"/>
      <c r="C151" s="37"/>
      <c r="D151" s="43"/>
      <c r="E151" s="44"/>
      <c r="F151" s="45"/>
      <c r="G151" s="45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2.75" customHeight="1" x14ac:dyDescent="0.3">
      <c r="A152" s="37"/>
      <c r="B152" s="37"/>
      <c r="C152" s="37"/>
      <c r="D152" s="43"/>
      <c r="E152" s="44"/>
      <c r="F152" s="45"/>
      <c r="G152" s="45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2.75" customHeight="1" x14ac:dyDescent="0.3">
      <c r="A153" s="37"/>
      <c r="B153" s="37"/>
      <c r="C153" s="37"/>
      <c r="D153" s="43"/>
      <c r="E153" s="44"/>
      <c r="F153" s="45"/>
      <c r="G153" s="45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2.75" customHeight="1" x14ac:dyDescent="0.3">
      <c r="A154" s="37"/>
      <c r="B154" s="37"/>
      <c r="C154" s="37"/>
      <c r="D154" s="43"/>
      <c r="E154" s="44"/>
      <c r="F154" s="45"/>
      <c r="G154" s="45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2.75" customHeight="1" x14ac:dyDescent="0.3">
      <c r="A155" s="37"/>
      <c r="B155" s="37"/>
      <c r="C155" s="37"/>
      <c r="D155" s="43"/>
      <c r="E155" s="44"/>
      <c r="F155" s="45"/>
      <c r="G155" s="45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2.75" customHeight="1" x14ac:dyDescent="0.3">
      <c r="A156" s="37"/>
      <c r="B156" s="37"/>
      <c r="C156" s="37"/>
      <c r="D156" s="43"/>
      <c r="E156" s="44"/>
      <c r="F156" s="45"/>
      <c r="G156" s="45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2.75" customHeight="1" x14ac:dyDescent="0.3">
      <c r="A157" s="37"/>
      <c r="B157" s="37"/>
      <c r="C157" s="37"/>
      <c r="D157" s="43"/>
      <c r="E157" s="44"/>
      <c r="F157" s="45"/>
      <c r="G157" s="45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2.75" customHeight="1" x14ac:dyDescent="0.3">
      <c r="A158" s="37"/>
      <c r="B158" s="37"/>
      <c r="C158" s="37"/>
      <c r="D158" s="43"/>
      <c r="E158" s="44"/>
      <c r="F158" s="45"/>
      <c r="G158" s="45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2.75" customHeight="1" x14ac:dyDescent="0.3">
      <c r="A159" s="37"/>
      <c r="B159" s="37"/>
      <c r="C159" s="37"/>
      <c r="D159" s="43"/>
      <c r="E159" s="44"/>
      <c r="F159" s="45"/>
      <c r="G159" s="45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2.75" customHeight="1" x14ac:dyDescent="0.3">
      <c r="A160" s="37"/>
      <c r="B160" s="37"/>
      <c r="C160" s="37"/>
      <c r="D160" s="43"/>
      <c r="E160" s="44"/>
      <c r="F160" s="45"/>
      <c r="G160" s="45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2.75" customHeight="1" x14ac:dyDescent="0.3">
      <c r="A161" s="37"/>
      <c r="B161" s="37"/>
      <c r="C161" s="37"/>
      <c r="D161" s="43"/>
      <c r="E161" s="44"/>
      <c r="F161" s="45"/>
      <c r="G161" s="45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2.75" customHeight="1" x14ac:dyDescent="0.3">
      <c r="A162" s="37"/>
      <c r="B162" s="37"/>
      <c r="C162" s="37"/>
      <c r="D162" s="43"/>
      <c r="E162" s="44"/>
      <c r="F162" s="45"/>
      <c r="G162" s="45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2.75" customHeight="1" x14ac:dyDescent="0.3">
      <c r="A163" s="37"/>
      <c r="B163" s="37"/>
      <c r="C163" s="37"/>
      <c r="D163" s="43"/>
      <c r="E163" s="44"/>
      <c r="F163" s="45"/>
      <c r="G163" s="45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2.75" customHeight="1" x14ac:dyDescent="0.3">
      <c r="A164" s="37"/>
      <c r="B164" s="37"/>
      <c r="C164" s="37"/>
      <c r="D164" s="43"/>
      <c r="E164" s="44"/>
      <c r="F164" s="45"/>
      <c r="G164" s="45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2.75" customHeight="1" x14ac:dyDescent="0.3">
      <c r="A165" s="37"/>
      <c r="B165" s="37"/>
      <c r="C165" s="37"/>
      <c r="D165" s="43"/>
      <c r="E165" s="44"/>
      <c r="F165" s="45"/>
      <c r="G165" s="45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2.75" customHeight="1" x14ac:dyDescent="0.3">
      <c r="A166" s="37"/>
      <c r="B166" s="37"/>
      <c r="C166" s="37"/>
      <c r="D166" s="43"/>
      <c r="E166" s="44"/>
      <c r="F166" s="45"/>
      <c r="G166" s="45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2.75" customHeight="1" x14ac:dyDescent="0.3">
      <c r="A167" s="37"/>
      <c r="B167" s="37"/>
      <c r="C167" s="37"/>
      <c r="D167" s="43"/>
      <c r="E167" s="44"/>
      <c r="F167" s="45"/>
      <c r="G167" s="45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2.75" customHeight="1" x14ac:dyDescent="0.3">
      <c r="A168" s="37"/>
      <c r="B168" s="37"/>
      <c r="C168" s="37"/>
      <c r="D168" s="43"/>
      <c r="E168" s="44"/>
      <c r="F168" s="45"/>
      <c r="G168" s="45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2.75" customHeight="1" x14ac:dyDescent="0.3">
      <c r="A169" s="37"/>
      <c r="B169" s="37"/>
      <c r="C169" s="37"/>
      <c r="D169" s="43"/>
      <c r="E169" s="44"/>
      <c r="F169" s="45"/>
      <c r="G169" s="45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2.75" customHeight="1" x14ac:dyDescent="0.3">
      <c r="A170" s="37"/>
      <c r="B170" s="37"/>
      <c r="C170" s="37"/>
      <c r="D170" s="43"/>
      <c r="E170" s="44"/>
      <c r="F170" s="45"/>
      <c r="G170" s="45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2.75" customHeight="1" x14ac:dyDescent="0.3">
      <c r="A171" s="37"/>
      <c r="B171" s="37"/>
      <c r="C171" s="37"/>
      <c r="D171" s="43"/>
      <c r="E171" s="44"/>
      <c r="F171" s="45"/>
      <c r="G171" s="45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2.75" customHeight="1" x14ac:dyDescent="0.3">
      <c r="A172" s="37"/>
      <c r="B172" s="37"/>
      <c r="C172" s="37"/>
      <c r="D172" s="43"/>
      <c r="E172" s="44"/>
      <c r="F172" s="45"/>
      <c r="G172" s="45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2.75" customHeight="1" x14ac:dyDescent="0.3">
      <c r="A173" s="37"/>
      <c r="B173" s="37"/>
      <c r="C173" s="37"/>
      <c r="D173" s="43"/>
      <c r="E173" s="44"/>
      <c r="F173" s="45"/>
      <c r="G173" s="45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2.75" customHeight="1" x14ac:dyDescent="0.3">
      <c r="A174" s="37"/>
      <c r="B174" s="37"/>
      <c r="C174" s="37"/>
      <c r="D174" s="43"/>
      <c r="E174" s="44"/>
      <c r="F174" s="45"/>
      <c r="G174" s="45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2.75" customHeight="1" x14ac:dyDescent="0.3">
      <c r="A175" s="37"/>
      <c r="B175" s="37"/>
      <c r="C175" s="37"/>
      <c r="D175" s="43"/>
      <c r="E175" s="44"/>
      <c r="F175" s="45"/>
      <c r="G175" s="45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2.75" customHeight="1" x14ac:dyDescent="0.3">
      <c r="A176" s="37"/>
      <c r="B176" s="37"/>
      <c r="C176" s="37"/>
      <c r="D176" s="43"/>
      <c r="E176" s="44"/>
      <c r="F176" s="45"/>
      <c r="G176" s="45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2.75" customHeight="1" x14ac:dyDescent="0.3">
      <c r="A177" s="37"/>
      <c r="B177" s="37"/>
      <c r="C177" s="37"/>
      <c r="D177" s="43"/>
      <c r="E177" s="44"/>
      <c r="F177" s="45"/>
      <c r="G177" s="45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2.75" customHeight="1" x14ac:dyDescent="0.3">
      <c r="A178" s="37"/>
      <c r="B178" s="37"/>
      <c r="C178" s="37"/>
      <c r="D178" s="43"/>
      <c r="E178" s="44"/>
      <c r="F178" s="45"/>
      <c r="G178" s="45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2.75" customHeight="1" x14ac:dyDescent="0.3">
      <c r="A179" s="37"/>
      <c r="B179" s="37"/>
      <c r="C179" s="37"/>
      <c r="D179" s="43"/>
      <c r="E179" s="44"/>
      <c r="F179" s="45"/>
      <c r="G179" s="45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2.75" customHeight="1" x14ac:dyDescent="0.3">
      <c r="A180" s="37"/>
      <c r="B180" s="37"/>
      <c r="C180" s="37"/>
      <c r="D180" s="43"/>
      <c r="E180" s="44"/>
      <c r="F180" s="45"/>
      <c r="G180" s="45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2.75" customHeight="1" x14ac:dyDescent="0.3">
      <c r="A181" s="37"/>
      <c r="B181" s="37"/>
      <c r="C181" s="37"/>
      <c r="D181" s="43"/>
      <c r="E181" s="44"/>
      <c r="F181" s="45"/>
      <c r="G181" s="45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2.75" customHeight="1" x14ac:dyDescent="0.3">
      <c r="A182" s="37"/>
      <c r="B182" s="37"/>
      <c r="C182" s="37"/>
      <c r="D182" s="43"/>
      <c r="E182" s="44"/>
      <c r="F182" s="45"/>
      <c r="G182" s="45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2.75" customHeight="1" x14ac:dyDescent="0.3">
      <c r="A183" s="37"/>
      <c r="B183" s="37"/>
      <c r="C183" s="37"/>
      <c r="D183" s="43"/>
      <c r="E183" s="44"/>
      <c r="F183" s="45"/>
      <c r="G183" s="45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2.75" customHeight="1" x14ac:dyDescent="0.3">
      <c r="A184" s="37"/>
      <c r="B184" s="37"/>
      <c r="C184" s="37"/>
      <c r="D184" s="43"/>
      <c r="E184" s="44"/>
      <c r="F184" s="45"/>
      <c r="G184" s="45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2.75" customHeight="1" x14ac:dyDescent="0.3">
      <c r="A185" s="37"/>
      <c r="B185" s="37"/>
      <c r="C185" s="37"/>
      <c r="D185" s="43"/>
      <c r="E185" s="44"/>
      <c r="F185" s="45"/>
      <c r="G185" s="45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2.75" customHeight="1" x14ac:dyDescent="0.3">
      <c r="A186" s="37"/>
      <c r="B186" s="37"/>
      <c r="C186" s="37"/>
      <c r="D186" s="43"/>
      <c r="E186" s="44"/>
      <c r="F186" s="45"/>
      <c r="G186" s="45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2.75" customHeight="1" x14ac:dyDescent="0.3">
      <c r="A187" s="37"/>
      <c r="B187" s="37"/>
      <c r="C187" s="37"/>
      <c r="D187" s="43"/>
      <c r="E187" s="44"/>
      <c r="F187" s="45"/>
      <c r="G187" s="45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2.75" customHeight="1" x14ac:dyDescent="0.3">
      <c r="A188" s="37"/>
      <c r="B188" s="37"/>
      <c r="C188" s="37"/>
      <c r="D188" s="43"/>
      <c r="E188" s="44"/>
      <c r="F188" s="45"/>
      <c r="G188" s="45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2.75" customHeight="1" x14ac:dyDescent="0.3">
      <c r="A189" s="37"/>
      <c r="B189" s="37"/>
      <c r="C189" s="37"/>
      <c r="D189" s="43"/>
      <c r="E189" s="44"/>
      <c r="F189" s="45"/>
      <c r="G189" s="45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2.75" customHeight="1" x14ac:dyDescent="0.3">
      <c r="A190" s="37"/>
      <c r="B190" s="37"/>
      <c r="C190" s="37"/>
      <c r="D190" s="43"/>
      <c r="E190" s="44"/>
      <c r="F190" s="45"/>
      <c r="G190" s="45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2.75" customHeight="1" x14ac:dyDescent="0.3">
      <c r="A191" s="37"/>
      <c r="B191" s="37"/>
      <c r="C191" s="37"/>
      <c r="D191" s="43"/>
      <c r="E191" s="44"/>
      <c r="F191" s="45"/>
      <c r="G191" s="45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2.75" customHeight="1" x14ac:dyDescent="0.3">
      <c r="A192" s="37"/>
      <c r="B192" s="37"/>
      <c r="C192" s="37"/>
      <c r="D192" s="43"/>
      <c r="E192" s="44"/>
      <c r="F192" s="45"/>
      <c r="G192" s="45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2.75" customHeight="1" x14ac:dyDescent="0.3">
      <c r="A193" s="37"/>
      <c r="B193" s="37"/>
      <c r="C193" s="37"/>
      <c r="D193" s="43"/>
      <c r="E193" s="44"/>
      <c r="F193" s="45"/>
      <c r="G193" s="45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2.75" customHeight="1" x14ac:dyDescent="0.3">
      <c r="A194" s="37"/>
      <c r="B194" s="37"/>
      <c r="C194" s="37"/>
      <c r="D194" s="43"/>
      <c r="E194" s="44"/>
      <c r="F194" s="45"/>
      <c r="G194" s="45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2.75" customHeight="1" x14ac:dyDescent="0.3">
      <c r="A195" s="37"/>
      <c r="B195" s="37"/>
      <c r="C195" s="37"/>
      <c r="D195" s="43"/>
      <c r="E195" s="44"/>
      <c r="F195" s="45"/>
      <c r="G195" s="45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2.75" customHeight="1" x14ac:dyDescent="0.3">
      <c r="A196" s="37"/>
      <c r="B196" s="37"/>
      <c r="C196" s="37"/>
      <c r="D196" s="43"/>
      <c r="E196" s="44"/>
      <c r="F196" s="45"/>
      <c r="G196" s="45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2.75" customHeight="1" x14ac:dyDescent="0.3">
      <c r="A197" s="37"/>
      <c r="B197" s="37"/>
      <c r="C197" s="37"/>
      <c r="D197" s="43"/>
      <c r="E197" s="44"/>
      <c r="F197" s="45"/>
      <c r="G197" s="45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2.75" customHeight="1" x14ac:dyDescent="0.3">
      <c r="A198" s="37"/>
      <c r="B198" s="37"/>
      <c r="C198" s="37"/>
      <c r="D198" s="43"/>
      <c r="E198" s="44"/>
      <c r="F198" s="45"/>
      <c r="G198" s="45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2.75" customHeight="1" x14ac:dyDescent="0.3">
      <c r="A199" s="37"/>
      <c r="B199" s="37"/>
      <c r="C199" s="37"/>
      <c r="D199" s="43"/>
      <c r="E199" s="44"/>
      <c r="F199" s="45"/>
      <c r="G199" s="45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2.75" customHeight="1" x14ac:dyDescent="0.3">
      <c r="A200" s="37"/>
      <c r="B200" s="37"/>
      <c r="C200" s="37"/>
      <c r="D200" s="43"/>
      <c r="E200" s="44"/>
      <c r="F200" s="45"/>
      <c r="G200" s="45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2.75" customHeight="1" x14ac:dyDescent="0.3">
      <c r="A201" s="37"/>
      <c r="B201" s="37"/>
      <c r="C201" s="37"/>
      <c r="D201" s="43"/>
      <c r="E201" s="44"/>
      <c r="F201" s="45"/>
      <c r="G201" s="45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2.75" customHeight="1" x14ac:dyDescent="0.3">
      <c r="A202" s="37"/>
      <c r="B202" s="37"/>
      <c r="C202" s="37"/>
      <c r="D202" s="43"/>
      <c r="E202" s="44"/>
      <c r="F202" s="45"/>
      <c r="G202" s="45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2.75" customHeight="1" x14ac:dyDescent="0.3">
      <c r="A203" s="37"/>
      <c r="B203" s="37"/>
      <c r="C203" s="37"/>
      <c r="D203" s="43"/>
      <c r="E203" s="44"/>
      <c r="F203" s="45"/>
      <c r="G203" s="45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2.75" customHeight="1" x14ac:dyDescent="0.3">
      <c r="A204" s="37"/>
      <c r="B204" s="37"/>
      <c r="C204" s="37"/>
      <c r="D204" s="43"/>
      <c r="E204" s="44"/>
      <c r="F204" s="45"/>
      <c r="G204" s="45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2.75" customHeight="1" x14ac:dyDescent="0.3">
      <c r="A205" s="37"/>
      <c r="B205" s="37"/>
      <c r="C205" s="37"/>
      <c r="D205" s="43"/>
      <c r="E205" s="44"/>
      <c r="F205" s="45"/>
      <c r="G205" s="45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2.75" customHeight="1" x14ac:dyDescent="0.3">
      <c r="A206" s="37"/>
      <c r="B206" s="37"/>
      <c r="C206" s="37"/>
      <c r="D206" s="43"/>
      <c r="E206" s="44"/>
      <c r="F206" s="45"/>
      <c r="G206" s="45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2.75" customHeight="1" x14ac:dyDescent="0.3">
      <c r="A207" s="37"/>
      <c r="B207" s="37"/>
      <c r="C207" s="37"/>
      <c r="D207" s="43"/>
      <c r="E207" s="44"/>
      <c r="F207" s="45"/>
      <c r="G207" s="45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2.75" customHeight="1" x14ac:dyDescent="0.3">
      <c r="A208" s="37"/>
      <c r="B208" s="37"/>
      <c r="C208" s="37"/>
      <c r="D208" s="43"/>
      <c r="E208" s="44"/>
      <c r="F208" s="45"/>
      <c r="G208" s="45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2.75" customHeight="1" x14ac:dyDescent="0.3">
      <c r="A209" s="37"/>
      <c r="B209" s="37"/>
      <c r="C209" s="37"/>
      <c r="D209" s="43"/>
      <c r="E209" s="44"/>
      <c r="F209" s="45"/>
      <c r="G209" s="45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2.75" customHeight="1" x14ac:dyDescent="0.3">
      <c r="A210" s="37"/>
      <c r="B210" s="37"/>
      <c r="C210" s="37"/>
      <c r="D210" s="43"/>
      <c r="E210" s="44"/>
      <c r="F210" s="45"/>
      <c r="G210" s="45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2.75" customHeight="1" x14ac:dyDescent="0.3">
      <c r="A211" s="37"/>
      <c r="B211" s="37"/>
      <c r="C211" s="37"/>
      <c r="D211" s="43"/>
      <c r="E211" s="44"/>
      <c r="F211" s="45"/>
      <c r="G211" s="45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2.75" customHeight="1" x14ac:dyDescent="0.3">
      <c r="A212" s="37"/>
      <c r="B212" s="37"/>
      <c r="C212" s="37"/>
      <c r="D212" s="43"/>
      <c r="E212" s="44"/>
      <c r="F212" s="45"/>
      <c r="G212" s="45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2.75" customHeight="1" x14ac:dyDescent="0.3">
      <c r="A213" s="37"/>
      <c r="B213" s="37"/>
      <c r="C213" s="37"/>
      <c r="D213" s="43"/>
      <c r="E213" s="44"/>
      <c r="F213" s="45"/>
      <c r="G213" s="45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2.75" customHeight="1" x14ac:dyDescent="0.3">
      <c r="A214" s="37"/>
      <c r="B214" s="37"/>
      <c r="C214" s="37"/>
      <c r="D214" s="43"/>
      <c r="E214" s="44"/>
      <c r="F214" s="45"/>
      <c r="G214" s="45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2.75" customHeight="1" x14ac:dyDescent="0.3">
      <c r="A215" s="37"/>
      <c r="B215" s="37"/>
      <c r="C215" s="37"/>
      <c r="D215" s="43"/>
      <c r="E215" s="44"/>
      <c r="F215" s="45"/>
      <c r="G215" s="45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2.75" customHeight="1" x14ac:dyDescent="0.3">
      <c r="A216" s="37"/>
      <c r="B216" s="37"/>
      <c r="C216" s="37"/>
      <c r="D216" s="43"/>
      <c r="E216" s="44"/>
      <c r="F216" s="45"/>
      <c r="G216" s="45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2.75" customHeight="1" x14ac:dyDescent="0.3">
      <c r="A217" s="37"/>
      <c r="B217" s="37"/>
      <c r="C217" s="37"/>
      <c r="D217" s="43"/>
      <c r="E217" s="44"/>
      <c r="F217" s="45"/>
      <c r="G217" s="45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2.75" customHeight="1" x14ac:dyDescent="0.3">
      <c r="A218" s="37"/>
      <c r="B218" s="37"/>
      <c r="C218" s="37"/>
      <c r="D218" s="43"/>
      <c r="E218" s="44"/>
      <c r="F218" s="45"/>
      <c r="G218" s="45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2.75" customHeight="1" x14ac:dyDescent="0.3">
      <c r="A219" s="37"/>
      <c r="B219" s="37"/>
      <c r="C219" s="37"/>
      <c r="D219" s="43"/>
      <c r="E219" s="44"/>
      <c r="F219" s="45"/>
      <c r="G219" s="45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2.75" customHeight="1" x14ac:dyDescent="0.3">
      <c r="A220" s="37"/>
      <c r="B220" s="37"/>
      <c r="C220" s="37"/>
      <c r="D220" s="43"/>
      <c r="E220" s="44"/>
      <c r="F220" s="45"/>
      <c r="G220" s="45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2.75" customHeight="1" x14ac:dyDescent="0.3">
      <c r="A221" s="37"/>
      <c r="B221" s="37"/>
      <c r="C221" s="37"/>
      <c r="D221" s="43"/>
      <c r="E221" s="44"/>
      <c r="F221" s="45"/>
      <c r="G221" s="45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2.75" customHeight="1" x14ac:dyDescent="0.3">
      <c r="A222" s="37"/>
      <c r="B222" s="37"/>
      <c r="C222" s="37"/>
      <c r="D222" s="43"/>
      <c r="E222" s="44"/>
      <c r="F222" s="45"/>
      <c r="G222" s="45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2.75" customHeight="1" x14ac:dyDescent="0.3">
      <c r="A223" s="37"/>
      <c r="B223" s="37"/>
      <c r="C223" s="37"/>
      <c r="D223" s="43"/>
      <c r="E223" s="44"/>
      <c r="F223" s="45"/>
      <c r="G223" s="45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2.75" customHeight="1" x14ac:dyDescent="0.3">
      <c r="A224" s="37"/>
      <c r="B224" s="37"/>
      <c r="C224" s="37"/>
      <c r="D224" s="43"/>
      <c r="E224" s="44"/>
      <c r="F224" s="45"/>
      <c r="G224" s="45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2.75" customHeight="1" x14ac:dyDescent="0.3">
      <c r="A225" s="37"/>
      <c r="B225" s="37"/>
      <c r="C225" s="37"/>
      <c r="D225" s="43"/>
      <c r="E225" s="44"/>
      <c r="F225" s="45"/>
      <c r="G225" s="45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2.75" customHeight="1" x14ac:dyDescent="0.3">
      <c r="A226" s="37"/>
      <c r="B226" s="37"/>
      <c r="C226" s="37"/>
      <c r="D226" s="43"/>
      <c r="E226" s="44"/>
      <c r="F226" s="45"/>
      <c r="G226" s="45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2.75" customHeight="1" x14ac:dyDescent="0.3">
      <c r="A227" s="37"/>
      <c r="B227" s="37"/>
      <c r="C227" s="37"/>
      <c r="D227" s="43"/>
      <c r="E227" s="44"/>
      <c r="F227" s="45"/>
      <c r="G227" s="45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2.75" customHeight="1" x14ac:dyDescent="0.3">
      <c r="A228" s="37"/>
      <c r="B228" s="37"/>
      <c r="C228" s="37"/>
      <c r="D228" s="43"/>
      <c r="E228" s="44"/>
      <c r="F228" s="45"/>
      <c r="G228" s="45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2.75" customHeight="1" x14ac:dyDescent="0.3">
      <c r="A229" s="37"/>
      <c r="B229" s="37"/>
      <c r="C229" s="37"/>
      <c r="D229" s="43"/>
      <c r="E229" s="44"/>
      <c r="F229" s="45"/>
      <c r="G229" s="45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2.75" customHeight="1" x14ac:dyDescent="0.3">
      <c r="A230" s="37"/>
      <c r="B230" s="37"/>
      <c r="C230" s="37"/>
      <c r="D230" s="43"/>
      <c r="E230" s="44"/>
      <c r="F230" s="45"/>
      <c r="G230" s="45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2.75" customHeight="1" x14ac:dyDescent="0.3">
      <c r="A231" s="37"/>
      <c r="B231" s="37"/>
      <c r="C231" s="37"/>
      <c r="D231" s="43"/>
      <c r="E231" s="44"/>
      <c r="F231" s="45"/>
      <c r="G231" s="45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2.75" customHeight="1" x14ac:dyDescent="0.3">
      <c r="A232" s="37"/>
      <c r="B232" s="37"/>
      <c r="C232" s="37"/>
      <c r="D232" s="43"/>
      <c r="E232" s="44"/>
      <c r="F232" s="45"/>
      <c r="G232" s="45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2.75" customHeight="1" x14ac:dyDescent="0.3">
      <c r="A233" s="37"/>
      <c r="B233" s="37"/>
      <c r="C233" s="37"/>
      <c r="D233" s="43"/>
      <c r="E233" s="44"/>
      <c r="F233" s="45"/>
      <c r="G233" s="45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2.75" customHeight="1" x14ac:dyDescent="0.3">
      <c r="A234" s="37"/>
      <c r="B234" s="37"/>
      <c r="C234" s="37"/>
      <c r="D234" s="43"/>
      <c r="E234" s="44"/>
      <c r="F234" s="45"/>
      <c r="G234" s="45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2.75" customHeight="1" x14ac:dyDescent="0.3">
      <c r="A235" s="37"/>
      <c r="B235" s="37"/>
      <c r="C235" s="37"/>
      <c r="D235" s="43"/>
      <c r="E235" s="44"/>
      <c r="F235" s="45"/>
      <c r="G235" s="45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2.75" customHeight="1" x14ac:dyDescent="0.3">
      <c r="A236" s="37"/>
      <c r="B236" s="37"/>
      <c r="C236" s="37"/>
      <c r="D236" s="43"/>
      <c r="E236" s="44"/>
      <c r="F236" s="45"/>
      <c r="G236" s="45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2.75" customHeight="1" x14ac:dyDescent="0.3">
      <c r="A237" s="37"/>
      <c r="B237" s="37"/>
      <c r="C237" s="37"/>
      <c r="D237" s="43"/>
      <c r="E237" s="44"/>
      <c r="F237" s="45"/>
      <c r="G237" s="45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2.75" customHeight="1" x14ac:dyDescent="0.3">
      <c r="A238" s="37"/>
      <c r="B238" s="37"/>
      <c r="C238" s="37"/>
      <c r="D238" s="43"/>
      <c r="E238" s="44"/>
      <c r="F238" s="45"/>
      <c r="G238" s="45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2.75" customHeight="1" x14ac:dyDescent="0.3">
      <c r="A239" s="37"/>
      <c r="B239" s="37"/>
      <c r="C239" s="37"/>
      <c r="D239" s="43"/>
      <c r="E239" s="44"/>
      <c r="F239" s="45"/>
      <c r="G239" s="45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2.75" customHeight="1" x14ac:dyDescent="0.3">
      <c r="A240" s="37"/>
      <c r="B240" s="37"/>
      <c r="C240" s="37"/>
      <c r="D240" s="43"/>
      <c r="E240" s="44"/>
      <c r="F240" s="45"/>
      <c r="G240" s="45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2.75" customHeight="1" x14ac:dyDescent="0.3">
      <c r="A241" s="37"/>
      <c r="B241" s="37"/>
      <c r="C241" s="37"/>
      <c r="D241" s="43"/>
      <c r="E241" s="44"/>
      <c r="F241" s="45"/>
      <c r="G241" s="45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2.75" customHeight="1" x14ac:dyDescent="0.3">
      <c r="A242" s="37"/>
      <c r="B242" s="37"/>
      <c r="C242" s="37"/>
      <c r="D242" s="43"/>
      <c r="E242" s="44"/>
      <c r="F242" s="45"/>
      <c r="G242" s="45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2.75" customHeight="1" x14ac:dyDescent="0.3">
      <c r="A243" s="37"/>
      <c r="B243" s="37"/>
      <c r="C243" s="37"/>
      <c r="D243" s="43"/>
      <c r="E243" s="44"/>
      <c r="F243" s="45"/>
      <c r="G243" s="45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2.75" customHeight="1" x14ac:dyDescent="0.3">
      <c r="A244" s="37"/>
      <c r="B244" s="37"/>
      <c r="C244" s="37"/>
      <c r="D244" s="43"/>
      <c r="E244" s="44"/>
      <c r="F244" s="45"/>
      <c r="G244" s="45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2.75" customHeight="1" x14ac:dyDescent="0.3">
      <c r="A245" s="37"/>
      <c r="B245" s="37"/>
      <c r="C245" s="37"/>
      <c r="D245" s="43"/>
      <c r="E245" s="44"/>
      <c r="F245" s="45"/>
      <c r="G245" s="45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2.75" customHeight="1" x14ac:dyDescent="0.3">
      <c r="A246" s="37"/>
      <c r="B246" s="37"/>
      <c r="C246" s="37"/>
      <c r="D246" s="43"/>
      <c r="E246" s="44"/>
      <c r="F246" s="45"/>
      <c r="G246" s="45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2.75" customHeight="1" x14ac:dyDescent="0.3">
      <c r="A247" s="37"/>
      <c r="B247" s="37"/>
      <c r="C247" s="37"/>
      <c r="D247" s="43"/>
      <c r="E247" s="44"/>
      <c r="F247" s="45"/>
      <c r="G247" s="45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2.75" customHeight="1" x14ac:dyDescent="0.3">
      <c r="A248" s="37"/>
      <c r="B248" s="37"/>
      <c r="C248" s="37"/>
      <c r="D248" s="43"/>
      <c r="E248" s="44"/>
      <c r="F248" s="45"/>
      <c r="G248" s="45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2.75" customHeight="1" x14ac:dyDescent="0.3">
      <c r="A249" s="37"/>
      <c r="B249" s="37"/>
      <c r="C249" s="37"/>
      <c r="D249" s="43"/>
      <c r="E249" s="44"/>
      <c r="F249" s="45"/>
      <c r="G249" s="45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2.75" customHeight="1" x14ac:dyDescent="0.3">
      <c r="A250" s="37"/>
      <c r="B250" s="37"/>
      <c r="C250" s="37"/>
      <c r="D250" s="43"/>
      <c r="E250" s="44"/>
      <c r="F250" s="45"/>
      <c r="G250" s="45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2.75" customHeight="1" x14ac:dyDescent="0.3">
      <c r="A251" s="37"/>
      <c r="B251" s="37"/>
      <c r="C251" s="37"/>
      <c r="D251" s="43"/>
      <c r="E251" s="44"/>
      <c r="F251" s="45"/>
      <c r="G251" s="45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2.75" customHeight="1" x14ac:dyDescent="0.3">
      <c r="A252" s="37"/>
      <c r="B252" s="37"/>
      <c r="C252" s="37"/>
      <c r="D252" s="43"/>
      <c r="E252" s="44"/>
      <c r="F252" s="45"/>
      <c r="G252" s="45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2.75" customHeight="1" x14ac:dyDescent="0.3">
      <c r="A253" s="37"/>
      <c r="B253" s="37"/>
      <c r="C253" s="37"/>
      <c r="D253" s="43"/>
      <c r="E253" s="44"/>
      <c r="F253" s="45"/>
      <c r="G253" s="45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2.75" customHeight="1" x14ac:dyDescent="0.3">
      <c r="A254" s="37"/>
      <c r="B254" s="37"/>
      <c r="C254" s="37"/>
      <c r="D254" s="43"/>
      <c r="E254" s="44"/>
      <c r="F254" s="45"/>
      <c r="G254" s="45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2.75" customHeight="1" x14ac:dyDescent="0.3">
      <c r="A255" s="37"/>
      <c r="B255" s="37"/>
      <c r="C255" s="37"/>
      <c r="D255" s="43"/>
      <c r="E255" s="44"/>
      <c r="F255" s="45"/>
      <c r="G255" s="45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2.75" customHeight="1" x14ac:dyDescent="0.3">
      <c r="A256" s="37"/>
      <c r="B256" s="37"/>
      <c r="C256" s="37"/>
      <c r="D256" s="43"/>
      <c r="E256" s="44"/>
      <c r="F256" s="45"/>
      <c r="G256" s="45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2.75" customHeight="1" x14ac:dyDescent="0.3">
      <c r="A257" s="37"/>
      <c r="B257" s="37"/>
      <c r="C257" s="37"/>
      <c r="D257" s="43"/>
      <c r="E257" s="44"/>
      <c r="F257" s="45"/>
      <c r="G257" s="45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2.75" customHeight="1" x14ac:dyDescent="0.3">
      <c r="A258" s="37"/>
      <c r="B258" s="37"/>
      <c r="C258" s="37"/>
      <c r="D258" s="43"/>
      <c r="E258" s="44"/>
      <c r="F258" s="45"/>
      <c r="G258" s="45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2.75" customHeight="1" x14ac:dyDescent="0.3">
      <c r="A259" s="37"/>
      <c r="B259" s="37"/>
      <c r="C259" s="37"/>
      <c r="D259" s="43"/>
      <c r="E259" s="44"/>
      <c r="F259" s="45"/>
      <c r="G259" s="45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2.75" customHeight="1" x14ac:dyDescent="0.3">
      <c r="A260" s="37"/>
      <c r="B260" s="37"/>
      <c r="C260" s="37"/>
      <c r="D260" s="43"/>
      <c r="E260" s="44"/>
      <c r="F260" s="45"/>
      <c r="G260" s="45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2.75" customHeight="1" x14ac:dyDescent="0.3">
      <c r="A261" s="37"/>
      <c r="B261" s="37"/>
      <c r="C261" s="37"/>
      <c r="D261" s="43"/>
      <c r="E261" s="44"/>
      <c r="F261" s="45"/>
      <c r="G261" s="45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2.75" customHeight="1" x14ac:dyDescent="0.3">
      <c r="A262" s="37"/>
      <c r="B262" s="37"/>
      <c r="C262" s="37"/>
      <c r="D262" s="43"/>
      <c r="E262" s="44"/>
      <c r="F262" s="45"/>
      <c r="G262" s="45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2.75" customHeight="1" x14ac:dyDescent="0.3">
      <c r="A263" s="37"/>
      <c r="B263" s="37"/>
      <c r="C263" s="37"/>
      <c r="D263" s="43"/>
      <c r="E263" s="44"/>
      <c r="F263" s="45"/>
      <c r="G263" s="45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2.75" customHeight="1" x14ac:dyDescent="0.3">
      <c r="A264" s="37"/>
      <c r="B264" s="37"/>
      <c r="C264" s="37"/>
      <c r="D264" s="43"/>
      <c r="E264" s="44"/>
      <c r="F264" s="45"/>
      <c r="G264" s="45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2.75" customHeight="1" x14ac:dyDescent="0.3">
      <c r="A265" s="37"/>
      <c r="B265" s="37"/>
      <c r="C265" s="37"/>
      <c r="D265" s="43"/>
      <c r="E265" s="44"/>
      <c r="F265" s="45"/>
      <c r="G265" s="45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2.75" customHeight="1" x14ac:dyDescent="0.3">
      <c r="A266" s="37"/>
      <c r="B266" s="37"/>
      <c r="C266" s="37"/>
      <c r="D266" s="43"/>
      <c r="E266" s="44"/>
      <c r="F266" s="45"/>
      <c r="G266" s="45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2.75" customHeight="1" x14ac:dyDescent="0.3">
      <c r="A267" s="37"/>
      <c r="B267" s="37"/>
      <c r="C267" s="37"/>
      <c r="D267" s="43"/>
      <c r="E267" s="44"/>
      <c r="F267" s="45"/>
      <c r="G267" s="45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2.75" customHeight="1" x14ac:dyDescent="0.3">
      <c r="A268" s="37"/>
      <c r="B268" s="37"/>
      <c r="C268" s="37"/>
      <c r="D268" s="43"/>
      <c r="E268" s="44"/>
      <c r="F268" s="45"/>
      <c r="G268" s="45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2.75" customHeight="1" x14ac:dyDescent="0.3">
      <c r="A269" s="37"/>
      <c r="B269" s="37"/>
      <c r="C269" s="37"/>
      <c r="D269" s="43"/>
      <c r="E269" s="44"/>
      <c r="F269" s="45"/>
      <c r="G269" s="45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2.75" customHeight="1" x14ac:dyDescent="0.3">
      <c r="A270" s="37"/>
      <c r="B270" s="37"/>
      <c r="C270" s="37"/>
      <c r="D270" s="43"/>
      <c r="E270" s="44"/>
      <c r="F270" s="45"/>
      <c r="G270" s="45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2.75" customHeight="1" x14ac:dyDescent="0.3">
      <c r="A271" s="37"/>
      <c r="B271" s="37"/>
      <c r="C271" s="37"/>
      <c r="D271" s="43"/>
      <c r="E271" s="44"/>
      <c r="F271" s="45"/>
      <c r="G271" s="45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2.75" customHeight="1" x14ac:dyDescent="0.3">
      <c r="A272" s="37"/>
      <c r="B272" s="37"/>
      <c r="C272" s="37"/>
      <c r="D272" s="43"/>
      <c r="E272" s="44"/>
      <c r="F272" s="45"/>
      <c r="G272" s="45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2.75" customHeight="1" x14ac:dyDescent="0.3">
      <c r="A273" s="37"/>
      <c r="B273" s="37"/>
      <c r="C273" s="37"/>
      <c r="D273" s="43"/>
      <c r="E273" s="44"/>
      <c r="F273" s="45"/>
      <c r="G273" s="45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2.75" customHeight="1" x14ac:dyDescent="0.3">
      <c r="A274" s="37"/>
      <c r="B274" s="37"/>
      <c r="C274" s="37"/>
      <c r="D274" s="43"/>
      <c r="E274" s="44"/>
      <c r="F274" s="45"/>
      <c r="G274" s="45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2.75" customHeight="1" x14ac:dyDescent="0.3">
      <c r="A275" s="37"/>
      <c r="B275" s="37"/>
      <c r="C275" s="37"/>
      <c r="D275" s="43"/>
      <c r="E275" s="44"/>
      <c r="F275" s="45"/>
      <c r="G275" s="45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2.75" customHeight="1" x14ac:dyDescent="0.3">
      <c r="A276" s="37"/>
      <c r="B276" s="37"/>
      <c r="C276" s="37"/>
      <c r="D276" s="43"/>
      <c r="E276" s="44"/>
      <c r="F276" s="45"/>
      <c r="G276" s="45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2.75" customHeight="1" x14ac:dyDescent="0.3">
      <c r="A277" s="37"/>
      <c r="B277" s="37"/>
      <c r="C277" s="37"/>
      <c r="D277" s="43"/>
      <c r="E277" s="44"/>
      <c r="F277" s="45"/>
      <c r="G277" s="45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2.75" customHeight="1" x14ac:dyDescent="0.3">
      <c r="A278" s="37"/>
      <c r="B278" s="37"/>
      <c r="C278" s="37"/>
      <c r="D278" s="43"/>
      <c r="E278" s="44"/>
      <c r="F278" s="45"/>
      <c r="G278" s="45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2.75" customHeight="1" x14ac:dyDescent="0.3">
      <c r="A279" s="37"/>
      <c r="B279" s="37"/>
      <c r="C279" s="37"/>
      <c r="D279" s="43"/>
      <c r="E279" s="44"/>
      <c r="F279" s="45"/>
      <c r="G279" s="45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2.75" customHeight="1" x14ac:dyDescent="0.3">
      <c r="A280" s="37"/>
      <c r="B280" s="37"/>
      <c r="C280" s="37"/>
      <c r="D280" s="43"/>
      <c r="E280" s="44"/>
      <c r="F280" s="45"/>
      <c r="G280" s="45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2.75" customHeight="1" x14ac:dyDescent="0.3">
      <c r="A281" s="37"/>
      <c r="B281" s="37"/>
      <c r="C281" s="37"/>
      <c r="D281" s="43"/>
      <c r="E281" s="44"/>
      <c r="F281" s="45"/>
      <c r="G281" s="45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2.75" customHeight="1" x14ac:dyDescent="0.3">
      <c r="A282" s="37"/>
      <c r="B282" s="37"/>
      <c r="C282" s="37"/>
      <c r="D282" s="43"/>
      <c r="E282" s="44"/>
      <c r="F282" s="45"/>
      <c r="G282" s="45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2.75" customHeight="1" x14ac:dyDescent="0.3">
      <c r="A283" s="37"/>
      <c r="B283" s="37"/>
      <c r="C283" s="37"/>
      <c r="D283" s="43"/>
      <c r="E283" s="44"/>
      <c r="F283" s="45"/>
      <c r="G283" s="45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2.75" customHeight="1" x14ac:dyDescent="0.3">
      <c r="A284" s="37"/>
      <c r="B284" s="37"/>
      <c r="C284" s="37"/>
      <c r="D284" s="43"/>
      <c r="E284" s="44"/>
      <c r="F284" s="45"/>
      <c r="G284" s="45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2.75" customHeight="1" x14ac:dyDescent="0.3">
      <c r="A285" s="37"/>
      <c r="B285" s="37"/>
      <c r="C285" s="37"/>
      <c r="D285" s="43"/>
      <c r="E285" s="44"/>
      <c r="F285" s="45"/>
      <c r="G285" s="45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2.75" customHeight="1" x14ac:dyDescent="0.3">
      <c r="A286" s="37"/>
      <c r="B286" s="37"/>
      <c r="C286" s="37"/>
      <c r="D286" s="43"/>
      <c r="E286" s="44"/>
      <c r="F286" s="45"/>
      <c r="G286" s="45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2.75" customHeight="1" x14ac:dyDescent="0.3">
      <c r="A287" s="37"/>
      <c r="B287" s="37"/>
      <c r="C287" s="37"/>
      <c r="D287" s="43"/>
      <c r="E287" s="44"/>
      <c r="F287" s="45"/>
      <c r="G287" s="45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2.75" customHeight="1" x14ac:dyDescent="0.3">
      <c r="A288" s="37"/>
      <c r="B288" s="37"/>
      <c r="C288" s="37"/>
      <c r="D288" s="43"/>
      <c r="E288" s="44"/>
      <c r="F288" s="45"/>
      <c r="G288" s="45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2.75" customHeight="1" x14ac:dyDescent="0.3">
      <c r="A289" s="37"/>
      <c r="B289" s="37"/>
      <c r="C289" s="37"/>
      <c r="D289" s="43"/>
      <c r="E289" s="44"/>
      <c r="F289" s="45"/>
      <c r="G289" s="45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2.75" customHeight="1" x14ac:dyDescent="0.3">
      <c r="A290" s="37"/>
      <c r="B290" s="37"/>
      <c r="C290" s="37"/>
      <c r="D290" s="43"/>
      <c r="E290" s="44"/>
      <c r="F290" s="45"/>
      <c r="G290" s="45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2.75" customHeight="1" x14ac:dyDescent="0.3">
      <c r="A291" s="37"/>
      <c r="B291" s="37"/>
      <c r="C291" s="37"/>
      <c r="D291" s="43"/>
      <c r="E291" s="44"/>
      <c r="F291" s="45"/>
      <c r="G291" s="45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2.75" customHeight="1" x14ac:dyDescent="0.3">
      <c r="A292" s="37"/>
      <c r="B292" s="37"/>
      <c r="C292" s="37"/>
      <c r="D292" s="43"/>
      <c r="E292" s="44"/>
      <c r="F292" s="45"/>
      <c r="G292" s="45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2.75" customHeight="1" x14ac:dyDescent="0.3">
      <c r="A293" s="37"/>
      <c r="B293" s="37"/>
      <c r="C293" s="37"/>
      <c r="D293" s="43"/>
      <c r="E293" s="44"/>
      <c r="F293" s="45"/>
      <c r="G293" s="45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2.75" customHeight="1" x14ac:dyDescent="0.3">
      <c r="A294" s="37"/>
      <c r="B294" s="37"/>
      <c r="C294" s="37"/>
      <c r="D294" s="43"/>
      <c r="E294" s="44"/>
      <c r="F294" s="45"/>
      <c r="G294" s="45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2.75" customHeight="1" x14ac:dyDescent="0.3">
      <c r="A295" s="37"/>
      <c r="B295" s="37"/>
      <c r="C295" s="37"/>
      <c r="D295" s="43"/>
      <c r="E295" s="44"/>
      <c r="F295" s="45"/>
      <c r="G295" s="45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2.75" customHeight="1" x14ac:dyDescent="0.3">
      <c r="A296" s="37"/>
      <c r="B296" s="37"/>
      <c r="C296" s="37"/>
      <c r="D296" s="43"/>
      <c r="E296" s="44"/>
      <c r="F296" s="45"/>
      <c r="G296" s="45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2.75" customHeight="1" x14ac:dyDescent="0.3">
      <c r="A297" s="37"/>
      <c r="B297" s="37"/>
      <c r="C297" s="37"/>
      <c r="D297" s="43"/>
      <c r="E297" s="44"/>
      <c r="F297" s="45"/>
      <c r="G297" s="45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2.75" customHeight="1" x14ac:dyDescent="0.3">
      <c r="A298" s="37"/>
      <c r="B298" s="37"/>
      <c r="C298" s="37"/>
      <c r="D298" s="43"/>
      <c r="E298" s="44"/>
      <c r="F298" s="45"/>
      <c r="G298" s="45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2.75" customHeight="1" x14ac:dyDescent="0.3">
      <c r="A299" s="37"/>
      <c r="B299" s="37"/>
      <c r="C299" s="37"/>
      <c r="D299" s="43"/>
      <c r="E299" s="44"/>
      <c r="F299" s="45"/>
      <c r="G299" s="45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2.75" customHeight="1" x14ac:dyDescent="0.3">
      <c r="A300" s="37"/>
      <c r="B300" s="37"/>
      <c r="C300" s="37"/>
      <c r="D300" s="43"/>
      <c r="E300" s="44"/>
      <c r="F300" s="45"/>
      <c r="G300" s="45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2.75" customHeight="1" x14ac:dyDescent="0.3">
      <c r="A301" s="37"/>
      <c r="B301" s="37"/>
      <c r="C301" s="37"/>
      <c r="D301" s="43"/>
      <c r="E301" s="44"/>
      <c r="F301" s="45"/>
      <c r="G301" s="45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2.75" customHeight="1" x14ac:dyDescent="0.3">
      <c r="A302" s="37"/>
      <c r="B302" s="37"/>
      <c r="C302" s="37"/>
      <c r="D302" s="43"/>
      <c r="E302" s="44"/>
      <c r="F302" s="45"/>
      <c r="G302" s="45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2.75" customHeight="1" x14ac:dyDescent="0.3">
      <c r="A303" s="37"/>
      <c r="B303" s="37"/>
      <c r="C303" s="37"/>
      <c r="D303" s="43"/>
      <c r="E303" s="44"/>
      <c r="F303" s="45"/>
      <c r="G303" s="45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2.75" customHeight="1" x14ac:dyDescent="0.3">
      <c r="A304" s="37"/>
      <c r="B304" s="37"/>
      <c r="C304" s="37"/>
      <c r="D304" s="43"/>
      <c r="E304" s="44"/>
      <c r="F304" s="45"/>
      <c r="G304" s="45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2.75" customHeight="1" x14ac:dyDescent="0.3">
      <c r="A305" s="37"/>
      <c r="B305" s="37"/>
      <c r="C305" s="37"/>
      <c r="D305" s="43"/>
      <c r="E305" s="44"/>
      <c r="F305" s="45"/>
      <c r="G305" s="45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2.75" customHeight="1" x14ac:dyDescent="0.3">
      <c r="A306" s="37"/>
      <c r="B306" s="37"/>
      <c r="C306" s="37"/>
      <c r="D306" s="43"/>
      <c r="E306" s="44"/>
      <c r="F306" s="45"/>
      <c r="G306" s="45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2.75" customHeight="1" x14ac:dyDescent="0.3">
      <c r="A307" s="37"/>
      <c r="B307" s="37"/>
      <c r="C307" s="37"/>
      <c r="D307" s="43"/>
      <c r="E307" s="44"/>
      <c r="F307" s="45"/>
      <c r="G307" s="45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2.75" customHeight="1" x14ac:dyDescent="0.3">
      <c r="A308" s="37"/>
      <c r="B308" s="37"/>
      <c r="C308" s="37"/>
      <c r="D308" s="43"/>
      <c r="E308" s="44"/>
      <c r="F308" s="45"/>
      <c r="G308" s="45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2.75" customHeight="1" x14ac:dyDescent="0.3">
      <c r="A309" s="37"/>
      <c r="B309" s="37"/>
      <c r="C309" s="37"/>
      <c r="D309" s="43"/>
      <c r="E309" s="44"/>
      <c r="F309" s="45"/>
      <c r="G309" s="45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2.75" customHeight="1" x14ac:dyDescent="0.3">
      <c r="A310" s="37"/>
      <c r="B310" s="37"/>
      <c r="C310" s="37"/>
      <c r="D310" s="43"/>
      <c r="E310" s="44"/>
      <c r="F310" s="45"/>
      <c r="G310" s="45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2.75" customHeight="1" x14ac:dyDescent="0.3">
      <c r="A311" s="37"/>
      <c r="B311" s="37"/>
      <c r="C311" s="37"/>
      <c r="D311" s="43"/>
      <c r="E311" s="44"/>
      <c r="F311" s="45"/>
      <c r="G311" s="45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2.75" customHeight="1" x14ac:dyDescent="0.3">
      <c r="A312" s="37"/>
      <c r="B312" s="37"/>
      <c r="C312" s="37"/>
      <c r="D312" s="43"/>
      <c r="E312" s="44"/>
      <c r="F312" s="45"/>
      <c r="G312" s="45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2.75" customHeight="1" x14ac:dyDescent="0.3">
      <c r="A313" s="37"/>
      <c r="B313" s="37"/>
      <c r="C313" s="37"/>
      <c r="D313" s="43"/>
      <c r="E313" s="44"/>
      <c r="F313" s="45"/>
      <c r="G313" s="45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2.75" customHeight="1" x14ac:dyDescent="0.3">
      <c r="A314" s="37"/>
      <c r="B314" s="37"/>
      <c r="C314" s="37"/>
      <c r="D314" s="43"/>
      <c r="E314" s="44"/>
      <c r="F314" s="45"/>
      <c r="G314" s="45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2.75" customHeight="1" x14ac:dyDescent="0.3">
      <c r="A315" s="37"/>
      <c r="B315" s="37"/>
      <c r="C315" s="37"/>
      <c r="D315" s="43"/>
      <c r="E315" s="44"/>
      <c r="F315" s="45"/>
      <c r="G315" s="45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2.75" customHeight="1" x14ac:dyDescent="0.3">
      <c r="A316" s="37"/>
      <c r="B316" s="37"/>
      <c r="C316" s="37"/>
      <c r="D316" s="43"/>
      <c r="E316" s="44"/>
      <c r="F316" s="45"/>
      <c r="G316" s="45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2.75" customHeight="1" x14ac:dyDescent="0.3">
      <c r="A317" s="37"/>
      <c r="B317" s="37"/>
      <c r="C317" s="37"/>
      <c r="D317" s="43"/>
      <c r="E317" s="44"/>
      <c r="F317" s="45"/>
      <c r="G317" s="45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2.75" customHeight="1" x14ac:dyDescent="0.3">
      <c r="A318" s="37"/>
      <c r="B318" s="37"/>
      <c r="C318" s="37"/>
      <c r="D318" s="43"/>
      <c r="E318" s="44"/>
      <c r="F318" s="45"/>
      <c r="G318" s="45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2.75" customHeight="1" x14ac:dyDescent="0.3">
      <c r="A319" s="37"/>
      <c r="B319" s="37"/>
      <c r="C319" s="37"/>
      <c r="D319" s="43"/>
      <c r="E319" s="44"/>
      <c r="F319" s="45"/>
      <c r="G319" s="45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2.75" customHeight="1" x14ac:dyDescent="0.3">
      <c r="A320" s="37"/>
      <c r="B320" s="37"/>
      <c r="C320" s="37"/>
      <c r="D320" s="43"/>
      <c r="E320" s="44"/>
      <c r="F320" s="45"/>
      <c r="G320" s="45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2.75" customHeight="1" x14ac:dyDescent="0.3">
      <c r="A321" s="37"/>
      <c r="B321" s="37"/>
      <c r="C321" s="37"/>
      <c r="D321" s="43"/>
      <c r="E321" s="44"/>
      <c r="F321" s="45"/>
      <c r="G321" s="45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2.75" customHeight="1" x14ac:dyDescent="0.3">
      <c r="A322" s="37"/>
      <c r="B322" s="37"/>
      <c r="C322" s="37"/>
      <c r="D322" s="43"/>
      <c r="E322" s="44"/>
      <c r="F322" s="45"/>
      <c r="G322" s="45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2.75" customHeight="1" x14ac:dyDescent="0.3">
      <c r="A323" s="37"/>
      <c r="B323" s="37"/>
      <c r="C323" s="37"/>
      <c r="D323" s="43"/>
      <c r="E323" s="44"/>
      <c r="F323" s="45"/>
      <c r="G323" s="45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2.75" customHeight="1" x14ac:dyDescent="0.3">
      <c r="A324" s="37"/>
      <c r="B324" s="37"/>
      <c r="C324" s="37"/>
      <c r="D324" s="43"/>
      <c r="E324" s="44"/>
      <c r="F324" s="45"/>
      <c r="G324" s="45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2.75" customHeight="1" x14ac:dyDescent="0.3">
      <c r="A325" s="37"/>
      <c r="B325" s="37"/>
      <c r="C325" s="37"/>
      <c r="D325" s="43"/>
      <c r="E325" s="44"/>
      <c r="F325" s="45"/>
      <c r="G325" s="45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2.75" customHeight="1" x14ac:dyDescent="0.3">
      <c r="A326" s="37"/>
      <c r="B326" s="37"/>
      <c r="C326" s="37"/>
      <c r="D326" s="43"/>
      <c r="E326" s="44"/>
      <c r="F326" s="45"/>
      <c r="G326" s="45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2.75" customHeight="1" x14ac:dyDescent="0.3">
      <c r="A327" s="37"/>
      <c r="B327" s="37"/>
      <c r="C327" s="37"/>
      <c r="D327" s="43"/>
      <c r="E327" s="44"/>
      <c r="F327" s="45"/>
      <c r="G327" s="45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2.75" customHeight="1" x14ac:dyDescent="0.3">
      <c r="A328" s="37"/>
      <c r="B328" s="37"/>
      <c r="C328" s="37"/>
      <c r="D328" s="43"/>
      <c r="E328" s="44"/>
      <c r="F328" s="45"/>
      <c r="G328" s="45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2.75" customHeight="1" x14ac:dyDescent="0.3">
      <c r="A329" s="37"/>
      <c r="B329" s="37"/>
      <c r="C329" s="37"/>
      <c r="D329" s="43"/>
      <c r="E329" s="44"/>
      <c r="F329" s="45"/>
      <c r="G329" s="45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2.75" customHeight="1" x14ac:dyDescent="0.3">
      <c r="A330" s="37"/>
      <c r="B330" s="37"/>
      <c r="C330" s="37"/>
      <c r="D330" s="43"/>
      <c r="E330" s="44"/>
      <c r="F330" s="45"/>
      <c r="G330" s="45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2.75" customHeight="1" x14ac:dyDescent="0.3">
      <c r="A331" s="37"/>
      <c r="B331" s="37"/>
      <c r="C331" s="37"/>
      <c r="D331" s="43"/>
      <c r="E331" s="44"/>
      <c r="F331" s="45"/>
      <c r="G331" s="45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2.75" customHeight="1" x14ac:dyDescent="0.3">
      <c r="A332" s="37"/>
      <c r="B332" s="37"/>
      <c r="C332" s="37"/>
      <c r="D332" s="43"/>
      <c r="E332" s="44"/>
      <c r="F332" s="45"/>
      <c r="G332" s="45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2.75" customHeight="1" x14ac:dyDescent="0.3">
      <c r="A333" s="37"/>
      <c r="B333" s="37"/>
      <c r="C333" s="37"/>
      <c r="D333" s="43"/>
      <c r="E333" s="44"/>
      <c r="F333" s="45"/>
      <c r="G333" s="45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2.75" customHeight="1" x14ac:dyDescent="0.3">
      <c r="A334" s="37"/>
      <c r="B334" s="37"/>
      <c r="C334" s="37"/>
      <c r="D334" s="43"/>
      <c r="E334" s="44"/>
      <c r="F334" s="45"/>
      <c r="G334" s="45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2.75" customHeight="1" x14ac:dyDescent="0.3">
      <c r="A335" s="37"/>
      <c r="B335" s="37"/>
      <c r="C335" s="37"/>
      <c r="D335" s="43"/>
      <c r="E335" s="44"/>
      <c r="F335" s="45"/>
      <c r="G335" s="45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2.75" customHeight="1" x14ac:dyDescent="0.3">
      <c r="A336" s="37"/>
      <c r="B336" s="37"/>
      <c r="C336" s="37"/>
      <c r="D336" s="43"/>
      <c r="E336" s="44"/>
      <c r="F336" s="45"/>
      <c r="G336" s="45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2.75" customHeight="1" x14ac:dyDescent="0.3">
      <c r="A337" s="37"/>
      <c r="B337" s="37"/>
      <c r="C337" s="37"/>
      <c r="D337" s="43"/>
      <c r="E337" s="44"/>
      <c r="F337" s="45"/>
      <c r="G337" s="45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2.75" customHeight="1" x14ac:dyDescent="0.3">
      <c r="A338" s="37"/>
      <c r="B338" s="37"/>
      <c r="C338" s="37"/>
      <c r="D338" s="43"/>
      <c r="E338" s="44"/>
      <c r="F338" s="45"/>
      <c r="G338" s="45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2.75" customHeight="1" x14ac:dyDescent="0.3">
      <c r="A339" s="37"/>
      <c r="B339" s="37"/>
      <c r="C339" s="37"/>
      <c r="D339" s="43"/>
      <c r="E339" s="44"/>
      <c r="F339" s="45"/>
      <c r="G339" s="45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2.75" customHeight="1" x14ac:dyDescent="0.3">
      <c r="A340" s="37"/>
      <c r="B340" s="37"/>
      <c r="C340" s="37"/>
      <c r="D340" s="43"/>
      <c r="E340" s="44"/>
      <c r="F340" s="45"/>
      <c r="G340" s="45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2.75" customHeight="1" x14ac:dyDescent="0.3">
      <c r="A341" s="37"/>
      <c r="B341" s="37"/>
      <c r="C341" s="37"/>
      <c r="D341" s="43"/>
      <c r="E341" s="44"/>
      <c r="F341" s="45"/>
      <c r="G341" s="45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2.75" customHeight="1" x14ac:dyDescent="0.3">
      <c r="A342" s="37"/>
      <c r="B342" s="37"/>
      <c r="C342" s="37"/>
      <c r="D342" s="43"/>
      <c r="E342" s="44"/>
      <c r="F342" s="45"/>
      <c r="G342" s="45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2.75" customHeight="1" x14ac:dyDescent="0.3">
      <c r="A343" s="37"/>
      <c r="B343" s="37"/>
      <c r="C343" s="37"/>
      <c r="D343" s="43"/>
      <c r="E343" s="44"/>
      <c r="F343" s="45"/>
      <c r="G343" s="45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2.75" customHeight="1" x14ac:dyDescent="0.3">
      <c r="A344" s="37"/>
      <c r="B344" s="37"/>
      <c r="C344" s="37"/>
      <c r="D344" s="43"/>
      <c r="E344" s="44"/>
      <c r="F344" s="45"/>
      <c r="G344" s="45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2.75" customHeight="1" x14ac:dyDescent="0.3">
      <c r="A345" s="37"/>
      <c r="B345" s="37"/>
      <c r="C345" s="37"/>
      <c r="D345" s="43"/>
      <c r="E345" s="44"/>
      <c r="F345" s="45"/>
      <c r="G345" s="45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2.75" customHeight="1" x14ac:dyDescent="0.3">
      <c r="A346" s="37"/>
      <c r="B346" s="37"/>
      <c r="C346" s="37"/>
      <c r="D346" s="43"/>
      <c r="E346" s="44"/>
      <c r="F346" s="45"/>
      <c r="G346" s="45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2.75" customHeight="1" x14ac:dyDescent="0.3">
      <c r="A347" s="37"/>
      <c r="B347" s="37"/>
      <c r="C347" s="37"/>
      <c r="D347" s="43"/>
      <c r="E347" s="44"/>
      <c r="F347" s="45"/>
      <c r="G347" s="45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2.75" customHeight="1" x14ac:dyDescent="0.3">
      <c r="A348" s="37"/>
      <c r="B348" s="37"/>
      <c r="C348" s="37"/>
      <c r="D348" s="43"/>
      <c r="E348" s="44"/>
      <c r="F348" s="45"/>
      <c r="G348" s="45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2.75" customHeight="1" x14ac:dyDescent="0.3">
      <c r="A349" s="37"/>
      <c r="B349" s="37"/>
      <c r="C349" s="37"/>
      <c r="D349" s="43"/>
      <c r="E349" s="44"/>
      <c r="F349" s="45"/>
      <c r="G349" s="45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2.75" customHeight="1" x14ac:dyDescent="0.3">
      <c r="A350" s="37"/>
      <c r="B350" s="37"/>
      <c r="C350" s="37"/>
      <c r="D350" s="43"/>
      <c r="E350" s="44"/>
      <c r="F350" s="45"/>
      <c r="G350" s="45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2.75" customHeight="1" x14ac:dyDescent="0.3">
      <c r="A351" s="37"/>
      <c r="B351" s="37"/>
      <c r="C351" s="37"/>
      <c r="D351" s="43"/>
      <c r="E351" s="44"/>
      <c r="F351" s="45"/>
      <c r="G351" s="45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2.75" customHeight="1" x14ac:dyDescent="0.3">
      <c r="A352" s="37"/>
      <c r="B352" s="37"/>
      <c r="C352" s="37"/>
      <c r="D352" s="43"/>
      <c r="E352" s="44"/>
      <c r="F352" s="45"/>
      <c r="G352" s="45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2.75" customHeight="1" x14ac:dyDescent="0.3">
      <c r="A353" s="37"/>
      <c r="B353" s="37"/>
      <c r="C353" s="37"/>
      <c r="D353" s="43"/>
      <c r="E353" s="44"/>
      <c r="F353" s="45"/>
      <c r="G353" s="45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2.75" customHeight="1" x14ac:dyDescent="0.3">
      <c r="A354" s="37"/>
      <c r="B354" s="37"/>
      <c r="C354" s="37"/>
      <c r="D354" s="43"/>
      <c r="E354" s="44"/>
      <c r="F354" s="45"/>
      <c r="G354" s="45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2.75" customHeight="1" x14ac:dyDescent="0.3">
      <c r="A355" s="37"/>
      <c r="B355" s="37"/>
      <c r="C355" s="37"/>
      <c r="D355" s="43"/>
      <c r="E355" s="44"/>
      <c r="F355" s="45"/>
      <c r="G355" s="45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2.75" customHeight="1" x14ac:dyDescent="0.3">
      <c r="A356" s="37"/>
      <c r="B356" s="37"/>
      <c r="C356" s="37"/>
      <c r="D356" s="43"/>
      <c r="E356" s="44"/>
      <c r="F356" s="45"/>
      <c r="G356" s="45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2.75" customHeight="1" x14ac:dyDescent="0.3">
      <c r="A357" s="37"/>
      <c r="B357" s="37"/>
      <c r="C357" s="37"/>
      <c r="D357" s="43"/>
      <c r="E357" s="44"/>
      <c r="F357" s="45"/>
      <c r="G357" s="45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2.75" customHeight="1" x14ac:dyDescent="0.3">
      <c r="A358" s="37"/>
      <c r="B358" s="37"/>
      <c r="C358" s="37"/>
      <c r="D358" s="43"/>
      <c r="E358" s="44"/>
      <c r="F358" s="45"/>
      <c r="G358" s="45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2.75" customHeight="1" x14ac:dyDescent="0.3">
      <c r="A359" s="37"/>
      <c r="B359" s="37"/>
      <c r="C359" s="37"/>
      <c r="D359" s="43"/>
      <c r="E359" s="44"/>
      <c r="F359" s="45"/>
      <c r="G359" s="45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2.75" customHeight="1" x14ac:dyDescent="0.3">
      <c r="A360" s="37"/>
      <c r="B360" s="37"/>
      <c r="C360" s="37"/>
      <c r="D360" s="43"/>
      <c r="E360" s="44"/>
      <c r="F360" s="45"/>
      <c r="G360" s="45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2.75" customHeight="1" x14ac:dyDescent="0.3">
      <c r="A361" s="37"/>
      <c r="B361" s="37"/>
      <c r="C361" s="37"/>
      <c r="D361" s="43"/>
      <c r="E361" s="44"/>
      <c r="F361" s="45"/>
      <c r="G361" s="45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2.75" customHeight="1" x14ac:dyDescent="0.3">
      <c r="A362" s="37"/>
      <c r="B362" s="37"/>
      <c r="C362" s="37"/>
      <c r="D362" s="43"/>
      <c r="E362" s="44"/>
      <c r="F362" s="45"/>
      <c r="G362" s="45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2.75" customHeight="1" x14ac:dyDescent="0.3">
      <c r="A363" s="37"/>
      <c r="B363" s="37"/>
      <c r="C363" s="37"/>
      <c r="D363" s="43"/>
      <c r="E363" s="44"/>
      <c r="F363" s="45"/>
      <c r="G363" s="45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2.75" customHeight="1" x14ac:dyDescent="0.3">
      <c r="A364" s="37"/>
      <c r="B364" s="37"/>
      <c r="C364" s="37"/>
      <c r="D364" s="43"/>
      <c r="E364" s="44"/>
      <c r="F364" s="45"/>
      <c r="G364" s="45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2.75" customHeight="1" x14ac:dyDescent="0.3">
      <c r="A365" s="37"/>
      <c r="B365" s="37"/>
      <c r="C365" s="37"/>
      <c r="D365" s="43"/>
      <c r="E365" s="44"/>
      <c r="F365" s="45"/>
      <c r="G365" s="45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2.75" customHeight="1" x14ac:dyDescent="0.3">
      <c r="A366" s="37"/>
      <c r="B366" s="37"/>
      <c r="C366" s="37"/>
      <c r="D366" s="43"/>
      <c r="E366" s="44"/>
      <c r="F366" s="45"/>
      <c r="G366" s="45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2.75" customHeight="1" x14ac:dyDescent="0.3">
      <c r="A367" s="37"/>
      <c r="B367" s="37"/>
      <c r="C367" s="37"/>
      <c r="D367" s="43"/>
      <c r="E367" s="44"/>
      <c r="F367" s="45"/>
      <c r="G367" s="45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2.75" customHeight="1" x14ac:dyDescent="0.3">
      <c r="A368" s="37"/>
      <c r="B368" s="37"/>
      <c r="C368" s="37"/>
      <c r="D368" s="43"/>
      <c r="E368" s="44"/>
      <c r="F368" s="45"/>
      <c r="G368" s="45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2.75" customHeight="1" x14ac:dyDescent="0.3">
      <c r="A369" s="37"/>
      <c r="B369" s="37"/>
      <c r="C369" s="37"/>
      <c r="D369" s="43"/>
      <c r="E369" s="44"/>
      <c r="F369" s="45"/>
      <c r="G369" s="45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2.75" customHeight="1" x14ac:dyDescent="0.3">
      <c r="A370" s="37"/>
      <c r="B370" s="37"/>
      <c r="C370" s="37"/>
      <c r="D370" s="43"/>
      <c r="E370" s="44"/>
      <c r="F370" s="45"/>
      <c r="G370" s="45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2.75" customHeight="1" x14ac:dyDescent="0.3">
      <c r="A371" s="37"/>
      <c r="B371" s="37"/>
      <c r="C371" s="37"/>
      <c r="D371" s="43"/>
      <c r="E371" s="44"/>
      <c r="F371" s="45"/>
      <c r="G371" s="45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2.75" customHeight="1" x14ac:dyDescent="0.3">
      <c r="A372" s="37"/>
      <c r="B372" s="37"/>
      <c r="C372" s="37"/>
      <c r="D372" s="43"/>
      <c r="E372" s="44"/>
      <c r="F372" s="45"/>
      <c r="G372" s="45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2.75" customHeight="1" x14ac:dyDescent="0.3">
      <c r="A373" s="37"/>
      <c r="B373" s="37"/>
      <c r="C373" s="37"/>
      <c r="D373" s="43"/>
      <c r="E373" s="44"/>
      <c r="F373" s="45"/>
      <c r="G373" s="45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2.75" customHeight="1" x14ac:dyDescent="0.3">
      <c r="A374" s="37"/>
      <c r="B374" s="37"/>
      <c r="C374" s="37"/>
      <c r="D374" s="43"/>
      <c r="E374" s="44"/>
      <c r="F374" s="45"/>
      <c r="G374" s="45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2.75" customHeight="1" x14ac:dyDescent="0.3">
      <c r="A375" s="37"/>
      <c r="B375" s="37"/>
      <c r="C375" s="37"/>
      <c r="D375" s="43"/>
      <c r="E375" s="44"/>
      <c r="F375" s="45"/>
      <c r="G375" s="45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2.75" customHeight="1" x14ac:dyDescent="0.3">
      <c r="A376" s="37"/>
      <c r="B376" s="37"/>
      <c r="C376" s="37"/>
      <c r="D376" s="43"/>
      <c r="E376" s="44"/>
      <c r="F376" s="45"/>
      <c r="G376" s="45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2.75" customHeight="1" x14ac:dyDescent="0.3">
      <c r="A377" s="37"/>
      <c r="B377" s="37"/>
      <c r="C377" s="37"/>
      <c r="D377" s="43"/>
      <c r="E377" s="44"/>
      <c r="F377" s="45"/>
      <c r="G377" s="45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2.75" customHeight="1" x14ac:dyDescent="0.3">
      <c r="A378" s="37"/>
      <c r="B378" s="37"/>
      <c r="C378" s="37"/>
      <c r="D378" s="43"/>
      <c r="E378" s="44"/>
      <c r="F378" s="45"/>
      <c r="G378" s="45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2.75" customHeight="1" x14ac:dyDescent="0.3">
      <c r="A379" s="37"/>
      <c r="B379" s="37"/>
      <c r="C379" s="37"/>
      <c r="D379" s="43"/>
      <c r="E379" s="44"/>
      <c r="F379" s="45"/>
      <c r="G379" s="45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2.75" customHeight="1" x14ac:dyDescent="0.3">
      <c r="A380" s="37"/>
      <c r="B380" s="37"/>
      <c r="C380" s="37"/>
      <c r="D380" s="43"/>
      <c r="E380" s="44"/>
      <c r="F380" s="45"/>
      <c r="G380" s="45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2.75" customHeight="1" x14ac:dyDescent="0.3">
      <c r="A381" s="37"/>
      <c r="B381" s="37"/>
      <c r="C381" s="37"/>
      <c r="D381" s="43"/>
      <c r="E381" s="44"/>
      <c r="F381" s="45"/>
      <c r="G381" s="45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2.75" customHeight="1" x14ac:dyDescent="0.3">
      <c r="A382" s="37"/>
      <c r="B382" s="37"/>
      <c r="C382" s="37"/>
      <c r="D382" s="43"/>
      <c r="E382" s="44"/>
      <c r="F382" s="45"/>
      <c r="G382" s="45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2.75" customHeight="1" x14ac:dyDescent="0.3">
      <c r="A383" s="37"/>
      <c r="B383" s="37"/>
      <c r="C383" s="37"/>
      <c r="D383" s="43"/>
      <c r="E383" s="44"/>
      <c r="F383" s="45"/>
      <c r="G383" s="45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2.75" customHeight="1" x14ac:dyDescent="0.3">
      <c r="A384" s="37"/>
      <c r="B384" s="37"/>
      <c r="C384" s="37"/>
      <c r="D384" s="43"/>
      <c r="E384" s="44"/>
      <c r="F384" s="45"/>
      <c r="G384" s="45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2.75" customHeight="1" x14ac:dyDescent="0.3">
      <c r="A385" s="37"/>
      <c r="B385" s="37"/>
      <c r="C385" s="37"/>
      <c r="D385" s="43"/>
      <c r="E385" s="44"/>
      <c r="F385" s="45"/>
      <c r="G385" s="45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2.75" customHeight="1" x14ac:dyDescent="0.3">
      <c r="A386" s="37"/>
      <c r="B386" s="37"/>
      <c r="C386" s="37"/>
      <c r="D386" s="43"/>
      <c r="E386" s="44"/>
      <c r="F386" s="45"/>
      <c r="G386" s="45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2.75" customHeight="1" x14ac:dyDescent="0.3">
      <c r="A387" s="37"/>
      <c r="B387" s="37"/>
      <c r="C387" s="37"/>
      <c r="D387" s="43"/>
      <c r="E387" s="44"/>
      <c r="F387" s="45"/>
      <c r="G387" s="45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2.75" customHeight="1" x14ac:dyDescent="0.3">
      <c r="A388" s="37"/>
      <c r="B388" s="37"/>
      <c r="C388" s="37"/>
      <c r="D388" s="43"/>
      <c r="E388" s="44"/>
      <c r="F388" s="45"/>
      <c r="G388" s="45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2.75" customHeight="1" x14ac:dyDescent="0.3">
      <c r="A389" s="37"/>
      <c r="B389" s="37"/>
      <c r="C389" s="37"/>
      <c r="D389" s="43"/>
      <c r="E389" s="44"/>
      <c r="F389" s="45"/>
      <c r="G389" s="45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2.75" customHeight="1" x14ac:dyDescent="0.3">
      <c r="A390" s="37"/>
      <c r="B390" s="37"/>
      <c r="C390" s="37"/>
      <c r="D390" s="43"/>
      <c r="E390" s="44"/>
      <c r="F390" s="45"/>
      <c r="G390" s="45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2.75" customHeight="1" x14ac:dyDescent="0.3">
      <c r="A391" s="37"/>
      <c r="B391" s="37"/>
      <c r="C391" s="37"/>
      <c r="D391" s="43"/>
      <c r="E391" s="44"/>
      <c r="F391" s="45"/>
      <c r="G391" s="45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2.75" customHeight="1" x14ac:dyDescent="0.3">
      <c r="A392" s="37"/>
      <c r="B392" s="37"/>
      <c r="C392" s="37"/>
      <c r="D392" s="43"/>
      <c r="E392" s="44"/>
      <c r="F392" s="45"/>
      <c r="G392" s="45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2.75" customHeight="1" x14ac:dyDescent="0.3">
      <c r="A393" s="37"/>
      <c r="B393" s="37"/>
      <c r="C393" s="37"/>
      <c r="D393" s="43"/>
      <c r="E393" s="44"/>
      <c r="F393" s="45"/>
      <c r="G393" s="45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2.75" customHeight="1" x14ac:dyDescent="0.3">
      <c r="A394" s="37"/>
      <c r="B394" s="37"/>
      <c r="C394" s="37"/>
      <c r="D394" s="43"/>
      <c r="E394" s="44"/>
      <c r="F394" s="45"/>
      <c r="G394" s="45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2.75" customHeight="1" x14ac:dyDescent="0.3">
      <c r="A395" s="37"/>
      <c r="B395" s="37"/>
      <c r="C395" s="37"/>
      <c r="D395" s="43"/>
      <c r="E395" s="44"/>
      <c r="F395" s="45"/>
      <c r="G395" s="45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2.75" customHeight="1" x14ac:dyDescent="0.3">
      <c r="A396" s="37"/>
      <c r="B396" s="37"/>
      <c r="C396" s="37"/>
      <c r="D396" s="43"/>
      <c r="E396" s="44"/>
      <c r="F396" s="45"/>
      <c r="G396" s="45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2.75" customHeight="1" x14ac:dyDescent="0.3">
      <c r="A397" s="37"/>
      <c r="B397" s="37"/>
      <c r="C397" s="37"/>
      <c r="D397" s="43"/>
      <c r="E397" s="44"/>
      <c r="F397" s="45"/>
      <c r="G397" s="45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2.75" customHeight="1" x14ac:dyDescent="0.3">
      <c r="A398" s="37"/>
      <c r="B398" s="37"/>
      <c r="C398" s="37"/>
      <c r="D398" s="43"/>
      <c r="E398" s="44"/>
      <c r="F398" s="45"/>
      <c r="G398" s="45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2.75" customHeight="1" x14ac:dyDescent="0.3">
      <c r="A399" s="37"/>
      <c r="B399" s="37"/>
      <c r="C399" s="37"/>
      <c r="D399" s="43"/>
      <c r="E399" s="44"/>
      <c r="F399" s="45"/>
      <c r="G399" s="45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2.75" customHeight="1" x14ac:dyDescent="0.3">
      <c r="A400" s="37"/>
      <c r="B400" s="37"/>
      <c r="C400" s="37"/>
      <c r="D400" s="43"/>
      <c r="E400" s="44"/>
      <c r="F400" s="45"/>
      <c r="G400" s="45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2.75" customHeight="1" x14ac:dyDescent="0.3">
      <c r="A401" s="37"/>
      <c r="B401" s="37"/>
      <c r="C401" s="37"/>
      <c r="D401" s="43"/>
      <c r="E401" s="44"/>
      <c r="F401" s="45"/>
      <c r="G401" s="45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2.75" customHeight="1" x14ac:dyDescent="0.3">
      <c r="A402" s="37"/>
      <c r="B402" s="37"/>
      <c r="C402" s="37"/>
      <c r="D402" s="43"/>
      <c r="E402" s="44"/>
      <c r="F402" s="45"/>
      <c r="G402" s="45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2.75" customHeight="1" x14ac:dyDescent="0.3">
      <c r="A403" s="37"/>
      <c r="B403" s="37"/>
      <c r="C403" s="37"/>
      <c r="D403" s="43"/>
      <c r="E403" s="44"/>
      <c r="F403" s="45"/>
      <c r="G403" s="45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2.75" customHeight="1" x14ac:dyDescent="0.3">
      <c r="A404" s="37"/>
      <c r="B404" s="37"/>
      <c r="C404" s="37"/>
      <c r="D404" s="43"/>
      <c r="E404" s="44"/>
      <c r="F404" s="45"/>
      <c r="G404" s="45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2.75" customHeight="1" x14ac:dyDescent="0.3">
      <c r="A405" s="37"/>
      <c r="B405" s="37"/>
      <c r="C405" s="37"/>
      <c r="D405" s="43"/>
      <c r="E405" s="44"/>
      <c r="F405" s="45"/>
      <c r="G405" s="45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2.75" customHeight="1" x14ac:dyDescent="0.3">
      <c r="A406" s="37"/>
      <c r="B406" s="37"/>
      <c r="C406" s="37"/>
      <c r="D406" s="43"/>
      <c r="E406" s="44"/>
      <c r="F406" s="45"/>
      <c r="G406" s="45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2.75" customHeight="1" x14ac:dyDescent="0.3">
      <c r="A407" s="37"/>
      <c r="B407" s="37"/>
      <c r="C407" s="37"/>
      <c r="D407" s="43"/>
      <c r="E407" s="44"/>
      <c r="F407" s="45"/>
      <c r="G407" s="45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2.75" customHeight="1" x14ac:dyDescent="0.3">
      <c r="A408" s="37"/>
      <c r="B408" s="37"/>
      <c r="C408" s="37"/>
      <c r="D408" s="43"/>
      <c r="E408" s="44"/>
      <c r="F408" s="45"/>
      <c r="G408" s="45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2.75" customHeight="1" x14ac:dyDescent="0.3">
      <c r="A409" s="37"/>
      <c r="B409" s="37"/>
      <c r="C409" s="37"/>
      <c r="D409" s="43"/>
      <c r="E409" s="44"/>
      <c r="F409" s="45"/>
      <c r="G409" s="45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2.75" customHeight="1" x14ac:dyDescent="0.3">
      <c r="A410" s="37"/>
      <c r="B410" s="37"/>
      <c r="C410" s="37"/>
      <c r="D410" s="43"/>
      <c r="E410" s="44"/>
      <c r="F410" s="45"/>
      <c r="G410" s="45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2.75" customHeight="1" x14ac:dyDescent="0.3">
      <c r="A411" s="37"/>
      <c r="B411" s="37"/>
      <c r="C411" s="37"/>
      <c r="D411" s="43"/>
      <c r="E411" s="44"/>
      <c r="F411" s="45"/>
      <c r="G411" s="45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2.75" customHeight="1" x14ac:dyDescent="0.3">
      <c r="A412" s="37"/>
      <c r="B412" s="37"/>
      <c r="C412" s="37"/>
      <c r="D412" s="43"/>
      <c r="E412" s="44"/>
      <c r="F412" s="45"/>
      <c r="G412" s="45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2.75" customHeight="1" x14ac:dyDescent="0.3">
      <c r="A413" s="37"/>
      <c r="B413" s="37"/>
      <c r="C413" s="37"/>
      <c r="D413" s="43"/>
      <c r="E413" s="44"/>
      <c r="F413" s="45"/>
      <c r="G413" s="45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2.75" customHeight="1" x14ac:dyDescent="0.3">
      <c r="A414" s="37"/>
      <c r="B414" s="37"/>
      <c r="C414" s="37"/>
      <c r="D414" s="43"/>
      <c r="E414" s="44"/>
      <c r="F414" s="45"/>
      <c r="G414" s="45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2.75" customHeight="1" x14ac:dyDescent="0.3">
      <c r="A415" s="37"/>
      <c r="B415" s="37"/>
      <c r="C415" s="37"/>
      <c r="D415" s="43"/>
      <c r="E415" s="44"/>
      <c r="F415" s="45"/>
      <c r="G415" s="45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2.75" customHeight="1" x14ac:dyDescent="0.3">
      <c r="A416" s="37"/>
      <c r="B416" s="37"/>
      <c r="C416" s="37"/>
      <c r="D416" s="43"/>
      <c r="E416" s="44"/>
      <c r="F416" s="45"/>
      <c r="G416" s="45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2.75" customHeight="1" x14ac:dyDescent="0.3">
      <c r="A417" s="37"/>
      <c r="B417" s="37"/>
      <c r="C417" s="37"/>
      <c r="D417" s="43"/>
      <c r="E417" s="44"/>
      <c r="F417" s="45"/>
      <c r="G417" s="45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2.75" customHeight="1" x14ac:dyDescent="0.3">
      <c r="A418" s="37"/>
      <c r="B418" s="37"/>
      <c r="C418" s="37"/>
      <c r="D418" s="43"/>
      <c r="E418" s="44"/>
      <c r="F418" s="45"/>
      <c r="G418" s="45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2.75" customHeight="1" x14ac:dyDescent="0.3">
      <c r="A419" s="37"/>
      <c r="B419" s="37"/>
      <c r="C419" s="37"/>
      <c r="D419" s="43"/>
      <c r="E419" s="44"/>
      <c r="F419" s="45"/>
      <c r="G419" s="45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2.75" customHeight="1" x14ac:dyDescent="0.3">
      <c r="A420" s="37"/>
      <c r="B420" s="37"/>
      <c r="C420" s="37"/>
      <c r="D420" s="43"/>
      <c r="E420" s="44"/>
      <c r="F420" s="45"/>
      <c r="G420" s="45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2.75" customHeight="1" x14ac:dyDescent="0.3">
      <c r="A421" s="37"/>
      <c r="B421" s="37"/>
      <c r="C421" s="37"/>
      <c r="D421" s="43"/>
      <c r="E421" s="44"/>
      <c r="F421" s="45"/>
      <c r="G421" s="45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2.75" customHeight="1" x14ac:dyDescent="0.3">
      <c r="A422" s="37"/>
      <c r="B422" s="37"/>
      <c r="C422" s="37"/>
      <c r="D422" s="43"/>
      <c r="E422" s="44"/>
      <c r="F422" s="45"/>
      <c r="G422" s="45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2.75" customHeight="1" x14ac:dyDescent="0.3">
      <c r="A423" s="37"/>
      <c r="B423" s="37"/>
      <c r="C423" s="37"/>
      <c r="D423" s="43"/>
      <c r="E423" s="44"/>
      <c r="F423" s="45"/>
      <c r="G423" s="45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2.75" customHeight="1" x14ac:dyDescent="0.3">
      <c r="A424" s="37"/>
      <c r="B424" s="37"/>
      <c r="C424" s="37"/>
      <c r="D424" s="43"/>
      <c r="E424" s="44"/>
      <c r="F424" s="45"/>
      <c r="G424" s="45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2.75" customHeight="1" x14ac:dyDescent="0.3">
      <c r="A425" s="37"/>
      <c r="B425" s="37"/>
      <c r="C425" s="37"/>
      <c r="D425" s="43"/>
      <c r="E425" s="44"/>
      <c r="F425" s="45"/>
      <c r="G425" s="45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2.75" customHeight="1" x14ac:dyDescent="0.3">
      <c r="A426" s="37"/>
      <c r="B426" s="37"/>
      <c r="C426" s="37"/>
      <c r="D426" s="43"/>
      <c r="E426" s="44"/>
      <c r="F426" s="45"/>
      <c r="G426" s="45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2.75" customHeight="1" x14ac:dyDescent="0.3">
      <c r="A427" s="37"/>
      <c r="B427" s="37"/>
      <c r="C427" s="37"/>
      <c r="D427" s="43"/>
      <c r="E427" s="44"/>
      <c r="F427" s="45"/>
      <c r="G427" s="45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2.75" customHeight="1" x14ac:dyDescent="0.3">
      <c r="A428" s="37"/>
      <c r="B428" s="37"/>
      <c r="C428" s="37"/>
      <c r="D428" s="43"/>
      <c r="E428" s="44"/>
      <c r="F428" s="45"/>
      <c r="G428" s="45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2.75" customHeight="1" x14ac:dyDescent="0.3">
      <c r="A429" s="37"/>
      <c r="B429" s="37"/>
      <c r="C429" s="37"/>
      <c r="D429" s="43"/>
      <c r="E429" s="44"/>
      <c r="F429" s="45"/>
      <c r="G429" s="45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2.75" customHeight="1" x14ac:dyDescent="0.3">
      <c r="A430" s="37"/>
      <c r="B430" s="37"/>
      <c r="C430" s="37"/>
      <c r="D430" s="43"/>
      <c r="E430" s="44"/>
      <c r="F430" s="45"/>
      <c r="G430" s="45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2.75" customHeight="1" x14ac:dyDescent="0.3">
      <c r="A431" s="37"/>
      <c r="B431" s="37"/>
      <c r="C431" s="37"/>
      <c r="D431" s="43"/>
      <c r="E431" s="44"/>
      <c r="F431" s="45"/>
      <c r="G431" s="45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2.75" customHeight="1" x14ac:dyDescent="0.3">
      <c r="A432" s="37"/>
      <c r="B432" s="37"/>
      <c r="C432" s="37"/>
      <c r="D432" s="43"/>
      <c r="E432" s="44"/>
      <c r="F432" s="45"/>
      <c r="G432" s="45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2.75" customHeight="1" x14ac:dyDescent="0.3">
      <c r="A433" s="37"/>
      <c r="B433" s="37"/>
      <c r="C433" s="37"/>
      <c r="D433" s="43"/>
      <c r="E433" s="44"/>
      <c r="F433" s="45"/>
      <c r="G433" s="45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2.75" customHeight="1" x14ac:dyDescent="0.3">
      <c r="A434" s="37"/>
      <c r="B434" s="37"/>
      <c r="C434" s="37"/>
      <c r="D434" s="43"/>
      <c r="E434" s="44"/>
      <c r="F434" s="45"/>
      <c r="G434" s="45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2.75" customHeight="1" x14ac:dyDescent="0.3">
      <c r="A435" s="37"/>
      <c r="B435" s="37"/>
      <c r="C435" s="37"/>
      <c r="D435" s="43"/>
      <c r="E435" s="44"/>
      <c r="F435" s="45"/>
      <c r="G435" s="45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2.75" customHeight="1" x14ac:dyDescent="0.3">
      <c r="A436" s="37"/>
      <c r="B436" s="37"/>
      <c r="C436" s="37"/>
      <c r="D436" s="43"/>
      <c r="E436" s="44"/>
      <c r="F436" s="45"/>
      <c r="G436" s="45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2.75" customHeight="1" x14ac:dyDescent="0.3">
      <c r="A437" s="37"/>
      <c r="B437" s="37"/>
      <c r="C437" s="37"/>
      <c r="D437" s="43"/>
      <c r="E437" s="44"/>
      <c r="F437" s="45"/>
      <c r="G437" s="45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2.75" customHeight="1" x14ac:dyDescent="0.3">
      <c r="A438" s="37"/>
      <c r="B438" s="37"/>
      <c r="C438" s="37"/>
      <c r="D438" s="43"/>
      <c r="E438" s="44"/>
      <c r="F438" s="45"/>
      <c r="G438" s="45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2.75" customHeight="1" x14ac:dyDescent="0.3">
      <c r="A439" s="37"/>
      <c r="B439" s="37"/>
      <c r="C439" s="37"/>
      <c r="D439" s="43"/>
      <c r="E439" s="44"/>
      <c r="F439" s="45"/>
      <c r="G439" s="45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2.75" customHeight="1" x14ac:dyDescent="0.3">
      <c r="A440" s="37"/>
      <c r="B440" s="37"/>
      <c r="C440" s="37"/>
      <c r="D440" s="43"/>
      <c r="E440" s="44"/>
      <c r="F440" s="45"/>
      <c r="G440" s="45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2.75" customHeight="1" x14ac:dyDescent="0.3">
      <c r="A441" s="37"/>
      <c r="B441" s="37"/>
      <c r="C441" s="37"/>
      <c r="D441" s="43"/>
      <c r="E441" s="44"/>
      <c r="F441" s="45"/>
      <c r="G441" s="45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2.75" customHeight="1" x14ac:dyDescent="0.3">
      <c r="A442" s="37"/>
      <c r="B442" s="37"/>
      <c r="C442" s="37"/>
      <c r="D442" s="43"/>
      <c r="E442" s="44"/>
      <c r="F442" s="45"/>
      <c r="G442" s="45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2.75" customHeight="1" x14ac:dyDescent="0.3">
      <c r="A443" s="37"/>
      <c r="B443" s="37"/>
      <c r="C443" s="37"/>
      <c r="D443" s="43"/>
      <c r="E443" s="44"/>
      <c r="F443" s="45"/>
      <c r="G443" s="45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2.75" customHeight="1" x14ac:dyDescent="0.3">
      <c r="A444" s="37"/>
      <c r="B444" s="37"/>
      <c r="C444" s="37"/>
      <c r="D444" s="43"/>
      <c r="E444" s="44"/>
      <c r="F444" s="45"/>
      <c r="G444" s="45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2.75" customHeight="1" x14ac:dyDescent="0.3">
      <c r="A445" s="37"/>
      <c r="B445" s="37"/>
      <c r="C445" s="37"/>
      <c r="D445" s="43"/>
      <c r="E445" s="44"/>
      <c r="F445" s="45"/>
      <c r="G445" s="45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2.75" customHeight="1" x14ac:dyDescent="0.3">
      <c r="A446" s="37"/>
      <c r="B446" s="37"/>
      <c r="C446" s="37"/>
      <c r="D446" s="43"/>
      <c r="E446" s="44"/>
      <c r="F446" s="45"/>
      <c r="G446" s="45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2.75" customHeight="1" x14ac:dyDescent="0.3">
      <c r="A447" s="37"/>
      <c r="B447" s="37"/>
      <c r="C447" s="37"/>
      <c r="D447" s="43"/>
      <c r="E447" s="44"/>
      <c r="F447" s="45"/>
      <c r="G447" s="45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2.75" customHeight="1" x14ac:dyDescent="0.3">
      <c r="A448" s="37"/>
      <c r="B448" s="37"/>
      <c r="C448" s="37"/>
      <c r="D448" s="43"/>
      <c r="E448" s="44"/>
      <c r="F448" s="45"/>
      <c r="G448" s="45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2.75" customHeight="1" x14ac:dyDescent="0.3">
      <c r="A449" s="37"/>
      <c r="B449" s="37"/>
      <c r="C449" s="37"/>
      <c r="D449" s="43"/>
      <c r="E449" s="44"/>
      <c r="F449" s="45"/>
      <c r="G449" s="45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2.75" customHeight="1" x14ac:dyDescent="0.3">
      <c r="A450" s="37"/>
      <c r="B450" s="37"/>
      <c r="C450" s="37"/>
      <c r="D450" s="43"/>
      <c r="E450" s="44"/>
      <c r="F450" s="45"/>
      <c r="G450" s="45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2.75" customHeight="1" x14ac:dyDescent="0.3">
      <c r="A451" s="37"/>
      <c r="B451" s="37"/>
      <c r="C451" s="37"/>
      <c r="D451" s="43"/>
      <c r="E451" s="44"/>
      <c r="F451" s="45"/>
      <c r="G451" s="45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2.75" customHeight="1" x14ac:dyDescent="0.3">
      <c r="A452" s="37"/>
      <c r="B452" s="37"/>
      <c r="C452" s="37"/>
      <c r="D452" s="43"/>
      <c r="E452" s="44"/>
      <c r="F452" s="45"/>
      <c r="G452" s="45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2.75" customHeight="1" x14ac:dyDescent="0.3">
      <c r="A453" s="37"/>
      <c r="B453" s="37"/>
      <c r="C453" s="37"/>
      <c r="D453" s="43"/>
      <c r="E453" s="44"/>
      <c r="F453" s="45"/>
      <c r="G453" s="45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2.75" customHeight="1" x14ac:dyDescent="0.3">
      <c r="A454" s="37"/>
      <c r="B454" s="37"/>
      <c r="C454" s="37"/>
      <c r="D454" s="43"/>
      <c r="E454" s="44"/>
      <c r="F454" s="45"/>
      <c r="G454" s="45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2.75" customHeight="1" x14ac:dyDescent="0.3">
      <c r="A455" s="37"/>
      <c r="B455" s="37"/>
      <c r="C455" s="37"/>
      <c r="D455" s="43"/>
      <c r="E455" s="44"/>
      <c r="F455" s="45"/>
      <c r="G455" s="45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2.75" customHeight="1" x14ac:dyDescent="0.3">
      <c r="A456" s="37"/>
      <c r="B456" s="37"/>
      <c r="C456" s="37"/>
      <c r="D456" s="43"/>
      <c r="E456" s="44"/>
      <c r="F456" s="45"/>
      <c r="G456" s="45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2.75" customHeight="1" x14ac:dyDescent="0.3">
      <c r="A457" s="37"/>
      <c r="B457" s="37"/>
      <c r="C457" s="37"/>
      <c r="D457" s="43"/>
      <c r="E457" s="44"/>
      <c r="F457" s="45"/>
      <c r="G457" s="45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2.75" customHeight="1" x14ac:dyDescent="0.3">
      <c r="A458" s="37"/>
      <c r="B458" s="37"/>
      <c r="C458" s="37"/>
      <c r="D458" s="43"/>
      <c r="E458" s="44"/>
      <c r="F458" s="45"/>
      <c r="G458" s="45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2.75" customHeight="1" x14ac:dyDescent="0.3">
      <c r="A459" s="37"/>
      <c r="B459" s="37"/>
      <c r="C459" s="37"/>
      <c r="D459" s="43"/>
      <c r="E459" s="44"/>
      <c r="F459" s="45"/>
      <c r="G459" s="45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2.75" customHeight="1" x14ac:dyDescent="0.3">
      <c r="A460" s="37"/>
      <c r="B460" s="37"/>
      <c r="C460" s="37"/>
      <c r="D460" s="43"/>
      <c r="E460" s="44"/>
      <c r="F460" s="45"/>
      <c r="G460" s="45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2.75" customHeight="1" x14ac:dyDescent="0.3">
      <c r="A461" s="37"/>
      <c r="B461" s="37"/>
      <c r="C461" s="37"/>
      <c r="D461" s="43"/>
      <c r="E461" s="44"/>
      <c r="F461" s="45"/>
      <c r="G461" s="45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2.75" customHeight="1" x14ac:dyDescent="0.3">
      <c r="A462" s="37"/>
      <c r="B462" s="37"/>
      <c r="C462" s="37"/>
      <c r="D462" s="43"/>
      <c r="E462" s="44"/>
      <c r="F462" s="45"/>
      <c r="G462" s="45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2.75" customHeight="1" x14ac:dyDescent="0.3">
      <c r="A463" s="37"/>
      <c r="B463" s="37"/>
      <c r="C463" s="37"/>
      <c r="D463" s="43"/>
      <c r="E463" s="44"/>
      <c r="F463" s="45"/>
      <c r="G463" s="45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2.75" customHeight="1" x14ac:dyDescent="0.3">
      <c r="A464" s="37"/>
      <c r="B464" s="37"/>
      <c r="C464" s="37"/>
      <c r="D464" s="43"/>
      <c r="E464" s="44"/>
      <c r="F464" s="45"/>
      <c r="G464" s="45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2.75" customHeight="1" x14ac:dyDescent="0.3">
      <c r="A465" s="37"/>
      <c r="B465" s="37"/>
      <c r="C465" s="37"/>
      <c r="D465" s="43"/>
      <c r="E465" s="44"/>
      <c r="F465" s="45"/>
      <c r="G465" s="45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2.75" customHeight="1" x14ac:dyDescent="0.3">
      <c r="A466" s="37"/>
      <c r="B466" s="37"/>
      <c r="C466" s="37"/>
      <c r="D466" s="43"/>
      <c r="E466" s="44"/>
      <c r="F466" s="45"/>
      <c r="G466" s="45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2.75" customHeight="1" x14ac:dyDescent="0.3">
      <c r="A467" s="37"/>
      <c r="B467" s="37"/>
      <c r="C467" s="37"/>
      <c r="D467" s="43"/>
      <c r="E467" s="44"/>
      <c r="F467" s="45"/>
      <c r="G467" s="45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2.75" customHeight="1" x14ac:dyDescent="0.3">
      <c r="A468" s="37"/>
      <c r="B468" s="37"/>
      <c r="C468" s="37"/>
      <c r="D468" s="43"/>
      <c r="E468" s="44"/>
      <c r="F468" s="45"/>
      <c r="G468" s="45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2.75" customHeight="1" x14ac:dyDescent="0.3">
      <c r="A469" s="37"/>
      <c r="B469" s="37"/>
      <c r="C469" s="37"/>
      <c r="D469" s="43"/>
      <c r="E469" s="44"/>
      <c r="F469" s="45"/>
      <c r="G469" s="45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2.75" customHeight="1" x14ac:dyDescent="0.3">
      <c r="A470" s="37"/>
      <c r="B470" s="37"/>
      <c r="C470" s="37"/>
      <c r="D470" s="43"/>
      <c r="E470" s="44"/>
      <c r="F470" s="45"/>
      <c r="G470" s="45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2.75" customHeight="1" x14ac:dyDescent="0.3">
      <c r="A471" s="37"/>
      <c r="B471" s="37"/>
      <c r="C471" s="37"/>
      <c r="D471" s="43"/>
      <c r="E471" s="44"/>
      <c r="F471" s="45"/>
      <c r="G471" s="45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2.75" customHeight="1" x14ac:dyDescent="0.3">
      <c r="A472" s="37"/>
      <c r="B472" s="37"/>
      <c r="C472" s="37"/>
      <c r="D472" s="43"/>
      <c r="E472" s="44"/>
      <c r="F472" s="45"/>
      <c r="G472" s="45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2.75" customHeight="1" x14ac:dyDescent="0.3">
      <c r="A473" s="37"/>
      <c r="B473" s="37"/>
      <c r="C473" s="37"/>
      <c r="D473" s="43"/>
      <c r="E473" s="44"/>
      <c r="F473" s="45"/>
      <c r="G473" s="45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2.75" customHeight="1" x14ac:dyDescent="0.3">
      <c r="A474" s="37"/>
      <c r="B474" s="37"/>
      <c r="C474" s="37"/>
      <c r="D474" s="43"/>
      <c r="E474" s="44"/>
      <c r="F474" s="45"/>
      <c r="G474" s="45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2.75" customHeight="1" x14ac:dyDescent="0.3">
      <c r="A475" s="37"/>
      <c r="B475" s="37"/>
      <c r="C475" s="37"/>
      <c r="D475" s="43"/>
      <c r="E475" s="44"/>
      <c r="F475" s="45"/>
      <c r="G475" s="45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2.75" customHeight="1" x14ac:dyDescent="0.3">
      <c r="A476" s="37"/>
      <c r="B476" s="37"/>
      <c r="C476" s="37"/>
      <c r="D476" s="43"/>
      <c r="E476" s="44"/>
      <c r="F476" s="45"/>
      <c r="G476" s="45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2.75" customHeight="1" x14ac:dyDescent="0.3">
      <c r="A477" s="37"/>
      <c r="B477" s="37"/>
      <c r="C477" s="37"/>
      <c r="D477" s="43"/>
      <c r="E477" s="44"/>
      <c r="F477" s="45"/>
      <c r="G477" s="45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2.75" customHeight="1" x14ac:dyDescent="0.3">
      <c r="A478" s="37"/>
      <c r="B478" s="37"/>
      <c r="C478" s="37"/>
      <c r="D478" s="43"/>
      <c r="E478" s="44"/>
      <c r="F478" s="45"/>
      <c r="G478" s="45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2.75" customHeight="1" x14ac:dyDescent="0.3">
      <c r="A479" s="37"/>
      <c r="B479" s="37"/>
      <c r="C479" s="37"/>
      <c r="D479" s="43"/>
      <c r="E479" s="44"/>
      <c r="F479" s="45"/>
      <c r="G479" s="45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2.75" customHeight="1" x14ac:dyDescent="0.3">
      <c r="A480" s="37"/>
      <c r="B480" s="37"/>
      <c r="C480" s="37"/>
      <c r="D480" s="43"/>
      <c r="E480" s="44"/>
      <c r="F480" s="45"/>
      <c r="G480" s="45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2.75" customHeight="1" x14ac:dyDescent="0.3">
      <c r="A481" s="37"/>
      <c r="B481" s="37"/>
      <c r="C481" s="37"/>
      <c r="D481" s="43"/>
      <c r="E481" s="44"/>
      <c r="F481" s="45"/>
      <c r="G481" s="45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2.75" customHeight="1" x14ac:dyDescent="0.3">
      <c r="A482" s="37"/>
      <c r="B482" s="37"/>
      <c r="C482" s="37"/>
      <c r="D482" s="43"/>
      <c r="E482" s="44"/>
      <c r="F482" s="45"/>
      <c r="G482" s="45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2.75" customHeight="1" x14ac:dyDescent="0.3">
      <c r="A483" s="37"/>
      <c r="B483" s="37"/>
      <c r="C483" s="37"/>
      <c r="D483" s="43"/>
      <c r="E483" s="44"/>
      <c r="F483" s="45"/>
      <c r="G483" s="45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2.75" customHeight="1" x14ac:dyDescent="0.3">
      <c r="A484" s="37"/>
      <c r="B484" s="37"/>
      <c r="C484" s="37"/>
      <c r="D484" s="43"/>
      <c r="E484" s="44"/>
      <c r="F484" s="45"/>
      <c r="G484" s="45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2.75" customHeight="1" x14ac:dyDescent="0.3">
      <c r="A485" s="37"/>
      <c r="B485" s="37"/>
      <c r="C485" s="37"/>
      <c r="D485" s="43"/>
      <c r="E485" s="44"/>
      <c r="F485" s="45"/>
      <c r="G485" s="45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2.75" customHeight="1" x14ac:dyDescent="0.3">
      <c r="A486" s="37"/>
      <c r="B486" s="37"/>
      <c r="C486" s="37"/>
      <c r="D486" s="43"/>
      <c r="E486" s="44"/>
      <c r="F486" s="45"/>
      <c r="G486" s="45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2.75" customHeight="1" x14ac:dyDescent="0.3">
      <c r="A487" s="37"/>
      <c r="B487" s="37"/>
      <c r="C487" s="37"/>
      <c r="D487" s="43"/>
      <c r="E487" s="44"/>
      <c r="F487" s="45"/>
      <c r="G487" s="45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2.75" customHeight="1" x14ac:dyDescent="0.3">
      <c r="A488" s="37"/>
      <c r="B488" s="37"/>
      <c r="C488" s="37"/>
      <c r="D488" s="43"/>
      <c r="E488" s="44"/>
      <c r="F488" s="45"/>
      <c r="G488" s="45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2.75" customHeight="1" x14ac:dyDescent="0.3">
      <c r="A489" s="37"/>
      <c r="B489" s="37"/>
      <c r="C489" s="37"/>
      <c r="D489" s="43"/>
      <c r="E489" s="44"/>
      <c r="F489" s="45"/>
      <c r="G489" s="45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2.75" customHeight="1" x14ac:dyDescent="0.3">
      <c r="A490" s="37"/>
      <c r="B490" s="37"/>
      <c r="C490" s="37"/>
      <c r="D490" s="43"/>
      <c r="E490" s="44"/>
      <c r="F490" s="45"/>
      <c r="G490" s="45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2.75" customHeight="1" x14ac:dyDescent="0.3">
      <c r="A491" s="37"/>
      <c r="B491" s="37"/>
      <c r="C491" s="37"/>
      <c r="D491" s="43"/>
      <c r="E491" s="44"/>
      <c r="F491" s="45"/>
      <c r="G491" s="45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2.75" customHeight="1" x14ac:dyDescent="0.3">
      <c r="A492" s="37"/>
      <c r="B492" s="37"/>
      <c r="C492" s="37"/>
      <c r="D492" s="43"/>
      <c r="E492" s="44"/>
      <c r="F492" s="45"/>
      <c r="G492" s="45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2.75" customHeight="1" x14ac:dyDescent="0.3">
      <c r="A493" s="37"/>
      <c r="B493" s="37"/>
      <c r="C493" s="37"/>
      <c r="D493" s="43"/>
      <c r="E493" s="44"/>
      <c r="F493" s="45"/>
      <c r="G493" s="45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2.75" customHeight="1" x14ac:dyDescent="0.3">
      <c r="A494" s="37"/>
      <c r="B494" s="37"/>
      <c r="C494" s="37"/>
      <c r="D494" s="43"/>
      <c r="E494" s="44"/>
      <c r="F494" s="45"/>
      <c r="G494" s="45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2.75" customHeight="1" x14ac:dyDescent="0.3">
      <c r="A495" s="37"/>
      <c r="B495" s="37"/>
      <c r="C495" s="37"/>
      <c r="D495" s="43"/>
      <c r="E495" s="44"/>
      <c r="F495" s="45"/>
      <c r="G495" s="45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2.75" customHeight="1" x14ac:dyDescent="0.3">
      <c r="A496" s="37"/>
      <c r="B496" s="37"/>
      <c r="C496" s="37"/>
      <c r="D496" s="43"/>
      <c r="E496" s="44"/>
      <c r="F496" s="45"/>
      <c r="G496" s="45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2.75" customHeight="1" x14ac:dyDescent="0.3">
      <c r="A497" s="37"/>
      <c r="B497" s="37"/>
      <c r="C497" s="37"/>
      <c r="D497" s="43"/>
      <c r="E497" s="44"/>
      <c r="F497" s="45"/>
      <c r="G497" s="45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2.75" customHeight="1" x14ac:dyDescent="0.3">
      <c r="A498" s="37"/>
      <c r="B498" s="37"/>
      <c r="C498" s="37"/>
      <c r="D498" s="43"/>
      <c r="E498" s="44"/>
      <c r="F498" s="45"/>
      <c r="G498" s="45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2.75" customHeight="1" x14ac:dyDescent="0.3">
      <c r="A499" s="37"/>
      <c r="B499" s="37"/>
      <c r="C499" s="37"/>
      <c r="D499" s="43"/>
      <c r="E499" s="44"/>
      <c r="F499" s="45"/>
      <c r="G499" s="45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2.75" customHeight="1" x14ac:dyDescent="0.3">
      <c r="A500" s="37"/>
      <c r="B500" s="37"/>
      <c r="C500" s="37"/>
      <c r="D500" s="43"/>
      <c r="E500" s="44"/>
      <c r="F500" s="45"/>
      <c r="G500" s="45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2.75" customHeight="1" x14ac:dyDescent="0.3">
      <c r="A501" s="37"/>
      <c r="B501" s="37"/>
      <c r="C501" s="37"/>
      <c r="D501" s="43"/>
      <c r="E501" s="44"/>
      <c r="F501" s="45"/>
      <c r="G501" s="45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2.75" customHeight="1" x14ac:dyDescent="0.3">
      <c r="A502" s="37"/>
      <c r="B502" s="37"/>
      <c r="C502" s="37"/>
      <c r="D502" s="43"/>
      <c r="E502" s="44"/>
      <c r="F502" s="45"/>
      <c r="G502" s="45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2.75" customHeight="1" x14ac:dyDescent="0.3">
      <c r="A503" s="37"/>
      <c r="B503" s="37"/>
      <c r="C503" s="37"/>
      <c r="D503" s="43"/>
      <c r="E503" s="44"/>
      <c r="F503" s="45"/>
      <c r="G503" s="45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2.75" customHeight="1" x14ac:dyDescent="0.3">
      <c r="A504" s="37"/>
      <c r="B504" s="37"/>
      <c r="C504" s="37"/>
      <c r="D504" s="43"/>
      <c r="E504" s="44"/>
      <c r="F504" s="45"/>
      <c r="G504" s="45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2.75" customHeight="1" x14ac:dyDescent="0.3">
      <c r="A505" s="37"/>
      <c r="B505" s="37"/>
      <c r="C505" s="37"/>
      <c r="D505" s="43"/>
      <c r="E505" s="44"/>
      <c r="F505" s="45"/>
      <c r="G505" s="45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2.75" customHeight="1" x14ac:dyDescent="0.3">
      <c r="A506" s="37"/>
      <c r="B506" s="37"/>
      <c r="C506" s="37"/>
      <c r="D506" s="43"/>
      <c r="E506" s="44"/>
      <c r="F506" s="45"/>
      <c r="G506" s="45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2.75" customHeight="1" x14ac:dyDescent="0.3">
      <c r="A507" s="37"/>
      <c r="B507" s="37"/>
      <c r="C507" s="37"/>
      <c r="D507" s="43"/>
      <c r="E507" s="44"/>
      <c r="F507" s="45"/>
      <c r="G507" s="45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2.75" customHeight="1" x14ac:dyDescent="0.3">
      <c r="A508" s="37"/>
      <c r="B508" s="37"/>
      <c r="C508" s="37"/>
      <c r="D508" s="43"/>
      <c r="E508" s="44"/>
      <c r="F508" s="45"/>
      <c r="G508" s="45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2.75" customHeight="1" x14ac:dyDescent="0.3">
      <c r="A509" s="37"/>
      <c r="B509" s="37"/>
      <c r="C509" s="37"/>
      <c r="D509" s="43"/>
      <c r="E509" s="44"/>
      <c r="F509" s="45"/>
      <c r="G509" s="45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2.75" customHeight="1" x14ac:dyDescent="0.3">
      <c r="A510" s="37"/>
      <c r="B510" s="37"/>
      <c r="C510" s="37"/>
      <c r="D510" s="43"/>
      <c r="E510" s="44"/>
      <c r="F510" s="45"/>
      <c r="G510" s="45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2.75" customHeight="1" x14ac:dyDescent="0.3">
      <c r="A511" s="37"/>
      <c r="B511" s="37"/>
      <c r="C511" s="37"/>
      <c r="D511" s="43"/>
      <c r="E511" s="44"/>
      <c r="F511" s="45"/>
      <c r="G511" s="45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2.75" customHeight="1" x14ac:dyDescent="0.3">
      <c r="A512" s="37"/>
      <c r="B512" s="37"/>
      <c r="C512" s="37"/>
      <c r="D512" s="43"/>
      <c r="E512" s="44"/>
      <c r="F512" s="45"/>
      <c r="G512" s="45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2.75" customHeight="1" x14ac:dyDescent="0.3">
      <c r="A513" s="37"/>
      <c r="B513" s="37"/>
      <c r="C513" s="37"/>
      <c r="D513" s="43"/>
      <c r="E513" s="44"/>
      <c r="F513" s="45"/>
      <c r="G513" s="45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2.75" customHeight="1" x14ac:dyDescent="0.3">
      <c r="A514" s="37"/>
      <c r="B514" s="37"/>
      <c r="C514" s="37"/>
      <c r="D514" s="43"/>
      <c r="E514" s="44"/>
      <c r="F514" s="45"/>
      <c r="G514" s="45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2.75" customHeight="1" x14ac:dyDescent="0.3">
      <c r="A515" s="37"/>
      <c r="B515" s="37"/>
      <c r="C515" s="37"/>
      <c r="D515" s="43"/>
      <c r="E515" s="44"/>
      <c r="F515" s="45"/>
      <c r="G515" s="45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2.75" customHeight="1" x14ac:dyDescent="0.3">
      <c r="A516" s="37"/>
      <c r="B516" s="37"/>
      <c r="C516" s="37"/>
      <c r="D516" s="43"/>
      <c r="E516" s="44"/>
      <c r="F516" s="45"/>
      <c r="G516" s="45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2.75" customHeight="1" x14ac:dyDescent="0.3">
      <c r="A517" s="37"/>
      <c r="B517" s="37"/>
      <c r="C517" s="37"/>
      <c r="D517" s="43"/>
      <c r="E517" s="44"/>
      <c r="F517" s="45"/>
      <c r="G517" s="45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2.75" customHeight="1" x14ac:dyDescent="0.3">
      <c r="A518" s="37"/>
      <c r="B518" s="37"/>
      <c r="C518" s="37"/>
      <c r="D518" s="43"/>
      <c r="E518" s="44"/>
      <c r="F518" s="45"/>
      <c r="G518" s="45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2.75" customHeight="1" x14ac:dyDescent="0.3">
      <c r="A519" s="37"/>
      <c r="B519" s="37"/>
      <c r="C519" s="37"/>
      <c r="D519" s="43"/>
      <c r="E519" s="44"/>
      <c r="F519" s="45"/>
      <c r="G519" s="45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2.75" customHeight="1" x14ac:dyDescent="0.3">
      <c r="A520" s="37"/>
      <c r="B520" s="37"/>
      <c r="C520" s="37"/>
      <c r="D520" s="43"/>
      <c r="E520" s="44"/>
      <c r="F520" s="45"/>
      <c r="G520" s="45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2.75" customHeight="1" x14ac:dyDescent="0.3">
      <c r="A521" s="37"/>
      <c r="B521" s="37"/>
      <c r="C521" s="37"/>
      <c r="D521" s="43"/>
      <c r="E521" s="44"/>
      <c r="F521" s="45"/>
      <c r="G521" s="45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2.75" customHeight="1" x14ac:dyDescent="0.3">
      <c r="A522" s="37"/>
      <c r="B522" s="37"/>
      <c r="C522" s="37"/>
      <c r="D522" s="43"/>
      <c r="E522" s="44"/>
      <c r="F522" s="45"/>
      <c r="G522" s="45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2.75" customHeight="1" x14ac:dyDescent="0.3">
      <c r="A523" s="37"/>
      <c r="B523" s="37"/>
      <c r="C523" s="37"/>
      <c r="D523" s="43"/>
      <c r="E523" s="44"/>
      <c r="F523" s="45"/>
      <c r="G523" s="45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2.75" customHeight="1" x14ac:dyDescent="0.3">
      <c r="A524" s="37"/>
      <c r="B524" s="37"/>
      <c r="C524" s="37"/>
      <c r="D524" s="43"/>
      <c r="E524" s="44"/>
      <c r="F524" s="45"/>
      <c r="G524" s="45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2.75" customHeight="1" x14ac:dyDescent="0.3">
      <c r="A525" s="37"/>
      <c r="B525" s="37"/>
      <c r="C525" s="37"/>
      <c r="D525" s="43"/>
      <c r="E525" s="44"/>
      <c r="F525" s="45"/>
      <c r="G525" s="45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2.75" customHeight="1" x14ac:dyDescent="0.3">
      <c r="A526" s="37"/>
      <c r="B526" s="37"/>
      <c r="C526" s="37"/>
      <c r="D526" s="43"/>
      <c r="E526" s="44"/>
      <c r="F526" s="45"/>
      <c r="G526" s="45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2.75" customHeight="1" x14ac:dyDescent="0.3">
      <c r="A527" s="37"/>
      <c r="B527" s="37"/>
      <c r="C527" s="37"/>
      <c r="D527" s="43"/>
      <c r="E527" s="44"/>
      <c r="F527" s="45"/>
      <c r="G527" s="45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2.75" customHeight="1" x14ac:dyDescent="0.3">
      <c r="A528" s="37"/>
      <c r="B528" s="37"/>
      <c r="C528" s="37"/>
      <c r="D528" s="43"/>
      <c r="E528" s="44"/>
      <c r="F528" s="45"/>
      <c r="G528" s="45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2.75" customHeight="1" x14ac:dyDescent="0.3">
      <c r="A529" s="37"/>
      <c r="B529" s="37"/>
      <c r="C529" s="37"/>
      <c r="D529" s="43"/>
      <c r="E529" s="44"/>
      <c r="F529" s="45"/>
      <c r="G529" s="45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2.75" customHeight="1" x14ac:dyDescent="0.3">
      <c r="A530" s="37"/>
      <c r="B530" s="37"/>
      <c r="C530" s="37"/>
      <c r="D530" s="43"/>
      <c r="E530" s="44"/>
      <c r="F530" s="45"/>
      <c r="G530" s="45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2.75" customHeight="1" x14ac:dyDescent="0.3">
      <c r="A531" s="37"/>
      <c r="B531" s="37"/>
      <c r="C531" s="37"/>
      <c r="D531" s="43"/>
      <c r="E531" s="44"/>
      <c r="F531" s="45"/>
      <c r="G531" s="45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2.75" customHeight="1" x14ac:dyDescent="0.3">
      <c r="A532" s="37"/>
      <c r="B532" s="37"/>
      <c r="C532" s="37"/>
      <c r="D532" s="43"/>
      <c r="E532" s="44"/>
      <c r="F532" s="45"/>
      <c r="G532" s="45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2.75" customHeight="1" x14ac:dyDescent="0.3">
      <c r="A533" s="37"/>
      <c r="B533" s="37"/>
      <c r="C533" s="37"/>
      <c r="D533" s="43"/>
      <c r="E533" s="44"/>
      <c r="F533" s="45"/>
      <c r="G533" s="45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2.75" customHeight="1" x14ac:dyDescent="0.3">
      <c r="A534" s="37"/>
      <c r="B534" s="37"/>
      <c r="C534" s="37"/>
      <c r="D534" s="43"/>
      <c r="E534" s="44"/>
      <c r="F534" s="45"/>
      <c r="G534" s="45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2.75" customHeight="1" x14ac:dyDescent="0.3">
      <c r="A535" s="37"/>
      <c r="B535" s="37"/>
      <c r="C535" s="37"/>
      <c r="D535" s="43"/>
      <c r="E535" s="44"/>
      <c r="F535" s="45"/>
      <c r="G535" s="45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2.75" customHeight="1" x14ac:dyDescent="0.3">
      <c r="A536" s="37"/>
      <c r="B536" s="37"/>
      <c r="C536" s="37"/>
      <c r="D536" s="43"/>
      <c r="E536" s="44"/>
      <c r="F536" s="45"/>
      <c r="G536" s="45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2.75" customHeight="1" x14ac:dyDescent="0.3">
      <c r="A537" s="37"/>
      <c r="B537" s="37"/>
      <c r="C537" s="37"/>
      <c r="D537" s="43"/>
      <c r="E537" s="44"/>
      <c r="F537" s="45"/>
      <c r="G537" s="45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2.75" customHeight="1" x14ac:dyDescent="0.3">
      <c r="A538" s="37"/>
      <c r="B538" s="37"/>
      <c r="C538" s="37"/>
      <c r="D538" s="43"/>
      <c r="E538" s="44"/>
      <c r="F538" s="45"/>
      <c r="G538" s="45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2.75" customHeight="1" x14ac:dyDescent="0.3">
      <c r="A539" s="37"/>
      <c r="B539" s="37"/>
      <c r="C539" s="37"/>
      <c r="D539" s="43"/>
      <c r="E539" s="44"/>
      <c r="F539" s="45"/>
      <c r="G539" s="45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2.75" customHeight="1" x14ac:dyDescent="0.3">
      <c r="A540" s="37"/>
      <c r="B540" s="37"/>
      <c r="C540" s="37"/>
      <c r="D540" s="43"/>
      <c r="E540" s="44"/>
      <c r="F540" s="45"/>
      <c r="G540" s="45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2.75" customHeight="1" x14ac:dyDescent="0.3">
      <c r="A541" s="37"/>
      <c r="B541" s="37"/>
      <c r="C541" s="37"/>
      <c r="D541" s="43"/>
      <c r="E541" s="44"/>
      <c r="F541" s="45"/>
      <c r="G541" s="45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2.75" customHeight="1" x14ac:dyDescent="0.3">
      <c r="A542" s="37"/>
      <c r="B542" s="37"/>
      <c r="C542" s="37"/>
      <c r="D542" s="43"/>
      <c r="E542" s="44"/>
      <c r="F542" s="45"/>
      <c r="G542" s="45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2.75" customHeight="1" x14ac:dyDescent="0.3">
      <c r="A543" s="37"/>
      <c r="B543" s="37"/>
      <c r="C543" s="37"/>
      <c r="D543" s="43"/>
      <c r="E543" s="44"/>
      <c r="F543" s="45"/>
      <c r="G543" s="45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2.75" customHeight="1" x14ac:dyDescent="0.3">
      <c r="A544" s="37"/>
      <c r="B544" s="37"/>
      <c r="C544" s="37"/>
      <c r="D544" s="43"/>
      <c r="E544" s="44"/>
      <c r="F544" s="45"/>
      <c r="G544" s="45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2.75" customHeight="1" x14ac:dyDescent="0.3">
      <c r="A545" s="37"/>
      <c r="B545" s="37"/>
      <c r="C545" s="37"/>
      <c r="D545" s="43"/>
      <c r="E545" s="44"/>
      <c r="F545" s="45"/>
      <c r="G545" s="45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2.75" customHeight="1" x14ac:dyDescent="0.3">
      <c r="A546" s="37"/>
      <c r="B546" s="37"/>
      <c r="C546" s="37"/>
      <c r="D546" s="43"/>
      <c r="E546" s="44"/>
      <c r="F546" s="45"/>
      <c r="G546" s="45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2.75" customHeight="1" x14ac:dyDescent="0.3">
      <c r="A547" s="37"/>
      <c r="B547" s="37"/>
      <c r="C547" s="37"/>
      <c r="D547" s="43"/>
      <c r="E547" s="44"/>
      <c r="F547" s="45"/>
      <c r="G547" s="45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2.75" customHeight="1" x14ac:dyDescent="0.3">
      <c r="A548" s="37"/>
      <c r="B548" s="37"/>
      <c r="C548" s="37"/>
      <c r="D548" s="43"/>
      <c r="E548" s="44"/>
      <c r="F548" s="45"/>
      <c r="G548" s="45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2.75" customHeight="1" x14ac:dyDescent="0.3">
      <c r="A549" s="37"/>
      <c r="B549" s="37"/>
      <c r="C549" s="37"/>
      <c r="D549" s="43"/>
      <c r="E549" s="44"/>
      <c r="F549" s="45"/>
      <c r="G549" s="45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2.75" customHeight="1" x14ac:dyDescent="0.3">
      <c r="A550" s="37"/>
      <c r="B550" s="37"/>
      <c r="C550" s="37"/>
      <c r="D550" s="43"/>
      <c r="E550" s="44"/>
      <c r="F550" s="45"/>
      <c r="G550" s="45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2.75" customHeight="1" x14ac:dyDescent="0.3">
      <c r="A551" s="37"/>
      <c r="B551" s="37"/>
      <c r="C551" s="37"/>
      <c r="D551" s="43"/>
      <c r="E551" s="44"/>
      <c r="F551" s="45"/>
      <c r="G551" s="45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2.75" customHeight="1" x14ac:dyDescent="0.3">
      <c r="A552" s="37"/>
      <c r="B552" s="37"/>
      <c r="C552" s="37"/>
      <c r="D552" s="43"/>
      <c r="E552" s="44"/>
      <c r="F552" s="45"/>
      <c r="G552" s="45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2.75" customHeight="1" x14ac:dyDescent="0.3">
      <c r="A553" s="37"/>
      <c r="B553" s="37"/>
      <c r="C553" s="37"/>
      <c r="D553" s="43"/>
      <c r="E553" s="44"/>
      <c r="F553" s="45"/>
      <c r="G553" s="45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2.75" customHeight="1" x14ac:dyDescent="0.3">
      <c r="A554" s="37"/>
      <c r="B554" s="37"/>
      <c r="C554" s="37"/>
      <c r="D554" s="43"/>
      <c r="E554" s="44"/>
      <c r="F554" s="45"/>
      <c r="G554" s="45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2.75" customHeight="1" x14ac:dyDescent="0.3">
      <c r="A555" s="37"/>
      <c r="B555" s="37"/>
      <c r="C555" s="37"/>
      <c r="D555" s="43"/>
      <c r="E555" s="44"/>
      <c r="F555" s="45"/>
      <c r="G555" s="45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2.75" customHeight="1" x14ac:dyDescent="0.3">
      <c r="A556" s="37"/>
      <c r="B556" s="37"/>
      <c r="C556" s="37"/>
      <c r="D556" s="43"/>
      <c r="E556" s="44"/>
      <c r="F556" s="45"/>
      <c r="G556" s="45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2.75" customHeight="1" x14ac:dyDescent="0.3">
      <c r="A557" s="37"/>
      <c r="B557" s="37"/>
      <c r="C557" s="37"/>
      <c r="D557" s="43"/>
      <c r="E557" s="44"/>
      <c r="F557" s="45"/>
      <c r="G557" s="45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2.75" customHeight="1" x14ac:dyDescent="0.3">
      <c r="A558" s="37"/>
      <c r="B558" s="37"/>
      <c r="C558" s="37"/>
      <c r="D558" s="43"/>
      <c r="E558" s="44"/>
      <c r="F558" s="45"/>
      <c r="G558" s="45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2.75" customHeight="1" x14ac:dyDescent="0.3">
      <c r="A559" s="37"/>
      <c r="B559" s="37"/>
      <c r="C559" s="37"/>
      <c r="D559" s="43"/>
      <c r="E559" s="44"/>
      <c r="F559" s="45"/>
      <c r="G559" s="45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2.75" customHeight="1" x14ac:dyDescent="0.3">
      <c r="A560" s="37"/>
      <c r="B560" s="37"/>
      <c r="C560" s="37"/>
      <c r="D560" s="43"/>
      <c r="E560" s="44"/>
      <c r="F560" s="45"/>
      <c r="G560" s="45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2.75" customHeight="1" x14ac:dyDescent="0.3">
      <c r="A561" s="37"/>
      <c r="B561" s="37"/>
      <c r="C561" s="37"/>
      <c r="D561" s="43"/>
      <c r="E561" s="44"/>
      <c r="F561" s="45"/>
      <c r="G561" s="45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2.75" customHeight="1" x14ac:dyDescent="0.3">
      <c r="A562" s="37"/>
      <c r="B562" s="37"/>
      <c r="C562" s="37"/>
      <c r="D562" s="43"/>
      <c r="E562" s="44"/>
      <c r="F562" s="45"/>
      <c r="G562" s="45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2.75" customHeight="1" x14ac:dyDescent="0.3">
      <c r="A563" s="37"/>
      <c r="B563" s="37"/>
      <c r="C563" s="37"/>
      <c r="D563" s="43"/>
      <c r="E563" s="44"/>
      <c r="F563" s="45"/>
      <c r="G563" s="45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2.75" customHeight="1" x14ac:dyDescent="0.3">
      <c r="A564" s="37"/>
      <c r="B564" s="37"/>
      <c r="C564" s="37"/>
      <c r="D564" s="43"/>
      <c r="E564" s="44"/>
      <c r="F564" s="45"/>
      <c r="G564" s="45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2.75" customHeight="1" x14ac:dyDescent="0.3">
      <c r="A565" s="37"/>
      <c r="B565" s="37"/>
      <c r="C565" s="37"/>
      <c r="D565" s="43"/>
      <c r="E565" s="44"/>
      <c r="F565" s="45"/>
      <c r="G565" s="45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2.75" customHeight="1" x14ac:dyDescent="0.3">
      <c r="A566" s="37"/>
      <c r="B566" s="37"/>
      <c r="C566" s="37"/>
      <c r="D566" s="43"/>
      <c r="E566" s="44"/>
      <c r="F566" s="45"/>
      <c r="G566" s="45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2.75" customHeight="1" x14ac:dyDescent="0.3">
      <c r="A567" s="37"/>
      <c r="B567" s="37"/>
      <c r="C567" s="37"/>
      <c r="D567" s="43"/>
      <c r="E567" s="44"/>
      <c r="F567" s="45"/>
      <c r="G567" s="45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2.75" customHeight="1" x14ac:dyDescent="0.3">
      <c r="A568" s="37"/>
      <c r="B568" s="37"/>
      <c r="C568" s="37"/>
      <c r="D568" s="43"/>
      <c r="E568" s="44"/>
      <c r="F568" s="45"/>
      <c r="G568" s="45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2.75" customHeight="1" x14ac:dyDescent="0.3">
      <c r="A569" s="37"/>
      <c r="B569" s="37"/>
      <c r="C569" s="37"/>
      <c r="D569" s="43"/>
      <c r="E569" s="44"/>
      <c r="F569" s="45"/>
      <c r="G569" s="45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2.75" customHeight="1" x14ac:dyDescent="0.3">
      <c r="A570" s="37"/>
      <c r="B570" s="37"/>
      <c r="C570" s="37"/>
      <c r="D570" s="43"/>
      <c r="E570" s="44"/>
      <c r="F570" s="45"/>
      <c r="G570" s="45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2.75" customHeight="1" x14ac:dyDescent="0.3">
      <c r="A571" s="37"/>
      <c r="B571" s="37"/>
      <c r="C571" s="37"/>
      <c r="D571" s="43"/>
      <c r="E571" s="44"/>
      <c r="F571" s="45"/>
      <c r="G571" s="45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2.75" customHeight="1" x14ac:dyDescent="0.3">
      <c r="A572" s="37"/>
      <c r="B572" s="37"/>
      <c r="C572" s="37"/>
      <c r="D572" s="43"/>
      <c r="E572" s="44"/>
      <c r="F572" s="45"/>
      <c r="G572" s="45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2.75" customHeight="1" x14ac:dyDescent="0.3">
      <c r="A573" s="37"/>
      <c r="B573" s="37"/>
      <c r="C573" s="37"/>
      <c r="D573" s="43"/>
      <c r="E573" s="44"/>
      <c r="F573" s="45"/>
      <c r="G573" s="45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2.75" customHeight="1" x14ac:dyDescent="0.3">
      <c r="A574" s="37"/>
      <c r="B574" s="37"/>
      <c r="C574" s="37"/>
      <c r="D574" s="43"/>
      <c r="E574" s="44"/>
      <c r="F574" s="45"/>
      <c r="G574" s="45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2.75" customHeight="1" x14ac:dyDescent="0.3">
      <c r="A575" s="37"/>
      <c r="B575" s="37"/>
      <c r="C575" s="37"/>
      <c r="D575" s="43"/>
      <c r="E575" s="44"/>
      <c r="F575" s="45"/>
      <c r="G575" s="45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2.75" customHeight="1" x14ac:dyDescent="0.3">
      <c r="A576" s="37"/>
      <c r="B576" s="37"/>
      <c r="C576" s="37"/>
      <c r="D576" s="43"/>
      <c r="E576" s="44"/>
      <c r="F576" s="45"/>
      <c r="G576" s="45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2.75" customHeight="1" x14ac:dyDescent="0.3">
      <c r="A577" s="37"/>
      <c r="B577" s="37"/>
      <c r="C577" s="37"/>
      <c r="D577" s="43"/>
      <c r="E577" s="44"/>
      <c r="F577" s="45"/>
      <c r="G577" s="45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2.75" customHeight="1" x14ac:dyDescent="0.3">
      <c r="A578" s="37"/>
      <c r="B578" s="37"/>
      <c r="C578" s="37"/>
      <c r="D578" s="43"/>
      <c r="E578" s="44"/>
      <c r="F578" s="45"/>
      <c r="G578" s="45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2.75" customHeight="1" x14ac:dyDescent="0.3">
      <c r="A579" s="37"/>
      <c r="B579" s="37"/>
      <c r="C579" s="37"/>
      <c r="D579" s="43"/>
      <c r="E579" s="44"/>
      <c r="F579" s="45"/>
      <c r="G579" s="45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2.75" customHeight="1" x14ac:dyDescent="0.3">
      <c r="A580" s="37"/>
      <c r="B580" s="37"/>
      <c r="C580" s="37"/>
      <c r="D580" s="43"/>
      <c r="E580" s="44"/>
      <c r="F580" s="45"/>
      <c r="G580" s="45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2.75" customHeight="1" x14ac:dyDescent="0.3">
      <c r="A581" s="37"/>
      <c r="B581" s="37"/>
      <c r="C581" s="37"/>
      <c r="D581" s="43"/>
      <c r="E581" s="44"/>
      <c r="F581" s="45"/>
      <c r="G581" s="45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2.75" customHeight="1" x14ac:dyDescent="0.3">
      <c r="A582" s="37"/>
      <c r="B582" s="37"/>
      <c r="C582" s="37"/>
      <c r="D582" s="43"/>
      <c r="E582" s="44"/>
      <c r="F582" s="45"/>
      <c r="G582" s="45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2.75" customHeight="1" x14ac:dyDescent="0.3">
      <c r="A583" s="37"/>
      <c r="B583" s="37"/>
      <c r="C583" s="37"/>
      <c r="D583" s="43"/>
      <c r="E583" s="44"/>
      <c r="F583" s="45"/>
      <c r="G583" s="45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2.75" customHeight="1" x14ac:dyDescent="0.3">
      <c r="A584" s="37"/>
      <c r="B584" s="37"/>
      <c r="C584" s="37"/>
      <c r="D584" s="43"/>
      <c r="E584" s="44"/>
      <c r="F584" s="45"/>
      <c r="G584" s="45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2.75" customHeight="1" x14ac:dyDescent="0.3">
      <c r="A585" s="37"/>
      <c r="B585" s="37"/>
      <c r="C585" s="37"/>
      <c r="D585" s="43"/>
      <c r="E585" s="44"/>
      <c r="F585" s="45"/>
      <c r="G585" s="45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2.75" customHeight="1" x14ac:dyDescent="0.3">
      <c r="A586" s="37"/>
      <c r="B586" s="37"/>
      <c r="C586" s="37"/>
      <c r="D586" s="43"/>
      <c r="E586" s="44"/>
      <c r="F586" s="45"/>
      <c r="G586" s="45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2.75" customHeight="1" x14ac:dyDescent="0.3">
      <c r="A587" s="37"/>
      <c r="B587" s="37"/>
      <c r="C587" s="37"/>
      <c r="D587" s="43"/>
      <c r="E587" s="44"/>
      <c r="F587" s="45"/>
      <c r="G587" s="45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2.75" customHeight="1" x14ac:dyDescent="0.3">
      <c r="A588" s="37"/>
      <c r="B588" s="37"/>
      <c r="C588" s="37"/>
      <c r="D588" s="43"/>
      <c r="E588" s="44"/>
      <c r="F588" s="45"/>
      <c r="G588" s="45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2.75" customHeight="1" x14ac:dyDescent="0.3">
      <c r="A589" s="37"/>
      <c r="B589" s="37"/>
      <c r="C589" s="37"/>
      <c r="D589" s="43"/>
      <c r="E589" s="44"/>
      <c r="F589" s="45"/>
      <c r="G589" s="45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2.75" customHeight="1" x14ac:dyDescent="0.3">
      <c r="A590" s="37"/>
      <c r="B590" s="37"/>
      <c r="C590" s="37"/>
      <c r="D590" s="43"/>
      <c r="E590" s="44"/>
      <c r="F590" s="45"/>
      <c r="G590" s="45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2.75" customHeight="1" x14ac:dyDescent="0.3">
      <c r="A591" s="37"/>
      <c r="B591" s="37"/>
      <c r="C591" s="37"/>
      <c r="D591" s="43"/>
      <c r="E591" s="44"/>
      <c r="F591" s="45"/>
      <c r="G591" s="45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2.75" customHeight="1" x14ac:dyDescent="0.3">
      <c r="A592" s="37"/>
      <c r="B592" s="37"/>
      <c r="C592" s="37"/>
      <c r="D592" s="43"/>
      <c r="E592" s="44"/>
      <c r="F592" s="45"/>
      <c r="G592" s="45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2.75" customHeight="1" x14ac:dyDescent="0.3">
      <c r="A593" s="37"/>
      <c r="B593" s="37"/>
      <c r="C593" s="37"/>
      <c r="D593" s="43"/>
      <c r="E593" s="44"/>
      <c r="F593" s="45"/>
      <c r="G593" s="45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2.75" customHeight="1" x14ac:dyDescent="0.3">
      <c r="A594" s="37"/>
      <c r="B594" s="37"/>
      <c r="C594" s="37"/>
      <c r="D594" s="43"/>
      <c r="E594" s="44"/>
      <c r="F594" s="45"/>
      <c r="G594" s="45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2.75" customHeight="1" x14ac:dyDescent="0.3">
      <c r="A595" s="37"/>
      <c r="B595" s="37"/>
      <c r="C595" s="37"/>
      <c r="D595" s="43"/>
      <c r="E595" s="44"/>
      <c r="F595" s="45"/>
      <c r="G595" s="45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2.75" customHeight="1" x14ac:dyDescent="0.3">
      <c r="A596" s="37"/>
      <c r="B596" s="37"/>
      <c r="C596" s="37"/>
      <c r="D596" s="43"/>
      <c r="E596" s="44"/>
      <c r="F596" s="45"/>
      <c r="G596" s="45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2.75" customHeight="1" x14ac:dyDescent="0.3">
      <c r="A597" s="37"/>
      <c r="B597" s="37"/>
      <c r="C597" s="37"/>
      <c r="D597" s="43"/>
      <c r="E597" s="44"/>
      <c r="F597" s="45"/>
      <c r="G597" s="45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2.75" customHeight="1" x14ac:dyDescent="0.3">
      <c r="A598" s="37"/>
      <c r="B598" s="37"/>
      <c r="C598" s="37"/>
      <c r="D598" s="43"/>
      <c r="E598" s="44"/>
      <c r="F598" s="45"/>
      <c r="G598" s="45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2.75" customHeight="1" x14ac:dyDescent="0.3">
      <c r="A599" s="37"/>
      <c r="B599" s="37"/>
      <c r="C599" s="37"/>
      <c r="D599" s="43"/>
      <c r="E599" s="44"/>
      <c r="F599" s="45"/>
      <c r="G599" s="45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2.75" customHeight="1" x14ac:dyDescent="0.3">
      <c r="A600" s="37"/>
      <c r="B600" s="37"/>
      <c r="C600" s="37"/>
      <c r="D600" s="43"/>
      <c r="E600" s="44"/>
      <c r="F600" s="45"/>
      <c r="G600" s="45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2.75" customHeight="1" x14ac:dyDescent="0.3">
      <c r="A601" s="37"/>
      <c r="B601" s="37"/>
      <c r="C601" s="37"/>
      <c r="D601" s="43"/>
      <c r="E601" s="44"/>
      <c r="F601" s="45"/>
      <c r="G601" s="45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2.75" customHeight="1" x14ac:dyDescent="0.3">
      <c r="A602" s="37"/>
      <c r="B602" s="37"/>
      <c r="C602" s="37"/>
      <c r="D602" s="43"/>
      <c r="E602" s="44"/>
      <c r="F602" s="45"/>
      <c r="G602" s="45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2.75" customHeight="1" x14ac:dyDescent="0.3">
      <c r="A603" s="37"/>
      <c r="B603" s="37"/>
      <c r="C603" s="37"/>
      <c r="D603" s="43"/>
      <c r="E603" s="44"/>
      <c r="F603" s="45"/>
      <c r="G603" s="45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2.75" customHeight="1" x14ac:dyDescent="0.3">
      <c r="A604" s="37"/>
      <c r="B604" s="37"/>
      <c r="C604" s="37"/>
      <c r="D604" s="43"/>
      <c r="E604" s="44"/>
      <c r="F604" s="45"/>
      <c r="G604" s="45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2.75" customHeight="1" x14ac:dyDescent="0.3">
      <c r="A605" s="37"/>
      <c r="B605" s="37"/>
      <c r="C605" s="37"/>
      <c r="D605" s="43"/>
      <c r="E605" s="44"/>
      <c r="F605" s="45"/>
      <c r="G605" s="45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2.75" customHeight="1" x14ac:dyDescent="0.3">
      <c r="A606" s="37"/>
      <c r="B606" s="37"/>
      <c r="C606" s="37"/>
      <c r="D606" s="43"/>
      <c r="E606" s="44"/>
      <c r="F606" s="45"/>
      <c r="G606" s="45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2.75" customHeight="1" x14ac:dyDescent="0.3">
      <c r="A607" s="37"/>
      <c r="B607" s="37"/>
      <c r="C607" s="37"/>
      <c r="D607" s="43"/>
      <c r="E607" s="44"/>
      <c r="F607" s="45"/>
      <c r="G607" s="45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2.75" customHeight="1" x14ac:dyDescent="0.3">
      <c r="A608" s="37"/>
      <c r="B608" s="37"/>
      <c r="C608" s="37"/>
      <c r="D608" s="43"/>
      <c r="E608" s="44"/>
      <c r="F608" s="45"/>
      <c r="G608" s="45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2.75" customHeight="1" x14ac:dyDescent="0.3">
      <c r="A609" s="37"/>
      <c r="B609" s="37"/>
      <c r="C609" s="37"/>
      <c r="D609" s="43"/>
      <c r="E609" s="44"/>
      <c r="F609" s="45"/>
      <c r="G609" s="45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2.75" customHeight="1" x14ac:dyDescent="0.3">
      <c r="A610" s="37"/>
      <c r="B610" s="37"/>
      <c r="C610" s="37"/>
      <c r="D610" s="43"/>
      <c r="E610" s="44"/>
      <c r="F610" s="45"/>
      <c r="G610" s="45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2.75" customHeight="1" x14ac:dyDescent="0.3">
      <c r="A611" s="37"/>
      <c r="B611" s="37"/>
      <c r="C611" s="37"/>
      <c r="D611" s="43"/>
      <c r="E611" s="44"/>
      <c r="F611" s="45"/>
      <c r="G611" s="45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2.75" customHeight="1" x14ac:dyDescent="0.3">
      <c r="A612" s="37"/>
      <c r="B612" s="37"/>
      <c r="C612" s="37"/>
      <c r="D612" s="43"/>
      <c r="E612" s="44"/>
      <c r="F612" s="45"/>
      <c r="G612" s="45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2.75" customHeight="1" x14ac:dyDescent="0.3">
      <c r="A613" s="37"/>
      <c r="B613" s="37"/>
      <c r="C613" s="37"/>
      <c r="D613" s="43"/>
      <c r="E613" s="44"/>
      <c r="F613" s="45"/>
      <c r="G613" s="45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2.75" customHeight="1" x14ac:dyDescent="0.3">
      <c r="A614" s="37"/>
      <c r="B614" s="37"/>
      <c r="C614" s="37"/>
      <c r="D614" s="43"/>
      <c r="E614" s="44"/>
      <c r="F614" s="45"/>
      <c r="G614" s="45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2.75" customHeight="1" x14ac:dyDescent="0.3">
      <c r="A615" s="37"/>
      <c r="B615" s="37"/>
      <c r="C615" s="37"/>
      <c r="D615" s="43"/>
      <c r="E615" s="44"/>
      <c r="F615" s="45"/>
      <c r="G615" s="45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2.75" customHeight="1" x14ac:dyDescent="0.3">
      <c r="A616" s="37"/>
      <c r="B616" s="37"/>
      <c r="C616" s="37"/>
      <c r="D616" s="43"/>
      <c r="E616" s="44"/>
      <c r="F616" s="45"/>
      <c r="G616" s="45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2.75" customHeight="1" x14ac:dyDescent="0.3">
      <c r="A617" s="37"/>
      <c r="B617" s="37"/>
      <c r="C617" s="37"/>
      <c r="D617" s="43"/>
      <c r="E617" s="44"/>
      <c r="F617" s="45"/>
      <c r="G617" s="45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2.75" customHeight="1" x14ac:dyDescent="0.3">
      <c r="A618" s="37"/>
      <c r="B618" s="37"/>
      <c r="C618" s="37"/>
      <c r="D618" s="43"/>
      <c r="E618" s="44"/>
      <c r="F618" s="45"/>
      <c r="G618" s="45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2.75" customHeight="1" x14ac:dyDescent="0.3">
      <c r="A619" s="37"/>
      <c r="B619" s="37"/>
      <c r="C619" s="37"/>
      <c r="D619" s="43"/>
      <c r="E619" s="44"/>
      <c r="F619" s="45"/>
      <c r="G619" s="45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2.75" customHeight="1" x14ac:dyDescent="0.3">
      <c r="A620" s="37"/>
      <c r="B620" s="37"/>
      <c r="C620" s="37"/>
      <c r="D620" s="43"/>
      <c r="E620" s="44"/>
      <c r="F620" s="45"/>
      <c r="G620" s="45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2.75" customHeight="1" x14ac:dyDescent="0.3">
      <c r="A621" s="37"/>
      <c r="B621" s="37"/>
      <c r="C621" s="37"/>
      <c r="D621" s="43"/>
      <c r="E621" s="44"/>
      <c r="F621" s="45"/>
      <c r="G621" s="45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2.75" customHeight="1" x14ac:dyDescent="0.3">
      <c r="A622" s="37"/>
      <c r="B622" s="37"/>
      <c r="C622" s="37"/>
      <c r="D622" s="43"/>
      <c r="E622" s="44"/>
      <c r="F622" s="45"/>
      <c r="G622" s="45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2.75" customHeight="1" x14ac:dyDescent="0.3">
      <c r="A623" s="37"/>
      <c r="B623" s="37"/>
      <c r="C623" s="37"/>
      <c r="D623" s="43"/>
      <c r="E623" s="44"/>
      <c r="F623" s="45"/>
      <c r="G623" s="45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2.75" customHeight="1" x14ac:dyDescent="0.3">
      <c r="A624" s="37"/>
      <c r="B624" s="37"/>
      <c r="C624" s="37"/>
      <c r="D624" s="43"/>
      <c r="E624" s="44"/>
      <c r="F624" s="45"/>
      <c r="G624" s="45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2.75" customHeight="1" x14ac:dyDescent="0.3">
      <c r="A625" s="37"/>
      <c r="B625" s="37"/>
      <c r="C625" s="37"/>
      <c r="D625" s="43"/>
      <c r="E625" s="44"/>
      <c r="F625" s="45"/>
      <c r="G625" s="45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2.75" customHeight="1" x14ac:dyDescent="0.3">
      <c r="A626" s="37"/>
      <c r="B626" s="37"/>
      <c r="C626" s="37"/>
      <c r="D626" s="43"/>
      <c r="E626" s="44"/>
      <c r="F626" s="45"/>
      <c r="G626" s="45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2.75" customHeight="1" x14ac:dyDescent="0.3">
      <c r="A627" s="37"/>
      <c r="B627" s="37"/>
      <c r="C627" s="37"/>
      <c r="D627" s="43"/>
      <c r="E627" s="44"/>
      <c r="F627" s="45"/>
      <c r="G627" s="45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2.75" customHeight="1" x14ac:dyDescent="0.3">
      <c r="A628" s="37"/>
      <c r="B628" s="37"/>
      <c r="C628" s="37"/>
      <c r="D628" s="43"/>
      <c r="E628" s="44"/>
      <c r="F628" s="45"/>
      <c r="G628" s="45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2.75" customHeight="1" x14ac:dyDescent="0.3">
      <c r="A629" s="37"/>
      <c r="B629" s="37"/>
      <c r="C629" s="37"/>
      <c r="D629" s="43"/>
      <c r="E629" s="44"/>
      <c r="F629" s="45"/>
      <c r="G629" s="45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2.75" customHeight="1" x14ac:dyDescent="0.3">
      <c r="A630" s="37"/>
      <c r="B630" s="37"/>
      <c r="C630" s="37"/>
      <c r="D630" s="43"/>
      <c r="E630" s="44"/>
      <c r="F630" s="45"/>
      <c r="G630" s="45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2.75" customHeight="1" x14ac:dyDescent="0.3">
      <c r="A631" s="37"/>
      <c r="B631" s="37"/>
      <c r="C631" s="37"/>
      <c r="D631" s="43"/>
      <c r="E631" s="44"/>
      <c r="F631" s="45"/>
      <c r="G631" s="45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2.75" customHeight="1" x14ac:dyDescent="0.3">
      <c r="A632" s="37"/>
      <c r="B632" s="37"/>
      <c r="C632" s="37"/>
      <c r="D632" s="43"/>
      <c r="E632" s="44"/>
      <c r="F632" s="45"/>
      <c r="G632" s="45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2.75" customHeight="1" x14ac:dyDescent="0.3">
      <c r="A633" s="37"/>
      <c r="B633" s="37"/>
      <c r="C633" s="37"/>
      <c r="D633" s="43"/>
      <c r="E633" s="44"/>
      <c r="F633" s="45"/>
      <c r="G633" s="45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2.75" customHeight="1" x14ac:dyDescent="0.3">
      <c r="A634" s="37"/>
      <c r="B634" s="37"/>
      <c r="C634" s="37"/>
      <c r="D634" s="43"/>
      <c r="E634" s="44"/>
      <c r="F634" s="45"/>
      <c r="G634" s="45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2.75" customHeight="1" x14ac:dyDescent="0.3">
      <c r="A635" s="37"/>
      <c r="B635" s="37"/>
      <c r="C635" s="37"/>
      <c r="D635" s="43"/>
      <c r="E635" s="44"/>
      <c r="F635" s="45"/>
      <c r="G635" s="45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2.75" customHeight="1" x14ac:dyDescent="0.3">
      <c r="A636" s="37"/>
      <c r="B636" s="37"/>
      <c r="C636" s="37"/>
      <c r="D636" s="43"/>
      <c r="E636" s="44"/>
      <c r="F636" s="45"/>
      <c r="G636" s="45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2.75" customHeight="1" x14ac:dyDescent="0.3">
      <c r="A637" s="37"/>
      <c r="B637" s="37"/>
      <c r="C637" s="37"/>
      <c r="D637" s="43"/>
      <c r="E637" s="44"/>
      <c r="F637" s="45"/>
      <c r="G637" s="45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2.75" customHeight="1" x14ac:dyDescent="0.3">
      <c r="A638" s="37"/>
      <c r="B638" s="37"/>
      <c r="C638" s="37"/>
      <c r="D638" s="43"/>
      <c r="E638" s="44"/>
      <c r="F638" s="45"/>
      <c r="G638" s="45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2.75" customHeight="1" x14ac:dyDescent="0.3">
      <c r="A639" s="37"/>
      <c r="B639" s="37"/>
      <c r="C639" s="37"/>
      <c r="D639" s="43"/>
      <c r="E639" s="44"/>
      <c r="F639" s="45"/>
      <c r="G639" s="45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2.75" customHeight="1" x14ac:dyDescent="0.3">
      <c r="A640" s="37"/>
      <c r="B640" s="37"/>
      <c r="C640" s="37"/>
      <c r="D640" s="43"/>
      <c r="E640" s="44"/>
      <c r="F640" s="45"/>
      <c r="G640" s="45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2.75" customHeight="1" x14ac:dyDescent="0.3">
      <c r="A641" s="37"/>
      <c r="B641" s="37"/>
      <c r="C641" s="37"/>
      <c r="D641" s="43"/>
      <c r="E641" s="44"/>
      <c r="F641" s="45"/>
      <c r="G641" s="45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2.75" customHeight="1" x14ac:dyDescent="0.3">
      <c r="A642" s="37"/>
      <c r="B642" s="37"/>
      <c r="C642" s="37"/>
      <c r="D642" s="43"/>
      <c r="E642" s="44"/>
      <c r="F642" s="45"/>
      <c r="G642" s="45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2.75" customHeight="1" x14ac:dyDescent="0.3">
      <c r="A643" s="37"/>
      <c r="B643" s="37"/>
      <c r="C643" s="37"/>
      <c r="D643" s="43"/>
      <c r="E643" s="44"/>
      <c r="F643" s="45"/>
      <c r="G643" s="45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2.75" customHeight="1" x14ac:dyDescent="0.3">
      <c r="A644" s="37"/>
      <c r="B644" s="37"/>
      <c r="C644" s="37"/>
      <c r="D644" s="43"/>
      <c r="E644" s="44"/>
      <c r="F644" s="45"/>
      <c r="G644" s="45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2.75" customHeight="1" x14ac:dyDescent="0.3">
      <c r="A645" s="37"/>
      <c r="B645" s="37"/>
      <c r="C645" s="37"/>
      <c r="D645" s="43"/>
      <c r="E645" s="44"/>
      <c r="F645" s="45"/>
      <c r="G645" s="45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2.75" customHeight="1" x14ac:dyDescent="0.3">
      <c r="A646" s="37"/>
      <c r="B646" s="37"/>
      <c r="C646" s="37"/>
      <c r="D646" s="43"/>
      <c r="E646" s="44"/>
      <c r="F646" s="45"/>
      <c r="G646" s="45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2.75" customHeight="1" x14ac:dyDescent="0.3">
      <c r="A647" s="37"/>
      <c r="B647" s="37"/>
      <c r="C647" s="37"/>
      <c r="D647" s="43"/>
      <c r="E647" s="44"/>
      <c r="F647" s="45"/>
      <c r="G647" s="45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2.75" customHeight="1" x14ac:dyDescent="0.3">
      <c r="A648" s="37"/>
      <c r="B648" s="37"/>
      <c r="C648" s="37"/>
      <c r="D648" s="43"/>
      <c r="E648" s="44"/>
      <c r="F648" s="45"/>
      <c r="G648" s="45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2.75" customHeight="1" x14ac:dyDescent="0.3">
      <c r="A649" s="37"/>
      <c r="B649" s="37"/>
      <c r="C649" s="37"/>
      <c r="D649" s="43"/>
      <c r="E649" s="44"/>
      <c r="F649" s="45"/>
      <c r="G649" s="45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2.75" customHeight="1" x14ac:dyDescent="0.3">
      <c r="A650" s="37"/>
      <c r="B650" s="37"/>
      <c r="C650" s="37"/>
      <c r="D650" s="43"/>
      <c r="E650" s="44"/>
      <c r="F650" s="45"/>
      <c r="G650" s="45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2.75" customHeight="1" x14ac:dyDescent="0.3">
      <c r="A651" s="37"/>
      <c r="B651" s="37"/>
      <c r="C651" s="37"/>
      <c r="D651" s="43"/>
      <c r="E651" s="44"/>
      <c r="F651" s="45"/>
      <c r="G651" s="45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2.75" customHeight="1" x14ac:dyDescent="0.3">
      <c r="A652" s="37"/>
      <c r="B652" s="37"/>
      <c r="C652" s="37"/>
      <c r="D652" s="43"/>
      <c r="E652" s="44"/>
      <c r="F652" s="45"/>
      <c r="G652" s="45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2.75" customHeight="1" x14ac:dyDescent="0.3">
      <c r="A653" s="37"/>
      <c r="B653" s="37"/>
      <c r="C653" s="37"/>
      <c r="D653" s="43"/>
      <c r="E653" s="44"/>
      <c r="F653" s="45"/>
      <c r="G653" s="45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2.75" customHeight="1" x14ac:dyDescent="0.3">
      <c r="A654" s="37"/>
      <c r="B654" s="37"/>
      <c r="C654" s="37"/>
      <c r="D654" s="43"/>
      <c r="E654" s="44"/>
      <c r="F654" s="45"/>
      <c r="G654" s="45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2.75" customHeight="1" x14ac:dyDescent="0.3">
      <c r="A655" s="37"/>
      <c r="B655" s="37"/>
      <c r="C655" s="37"/>
      <c r="D655" s="43"/>
      <c r="E655" s="44"/>
      <c r="F655" s="45"/>
      <c r="G655" s="45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2.75" customHeight="1" x14ac:dyDescent="0.3">
      <c r="A656" s="37"/>
      <c r="B656" s="37"/>
      <c r="C656" s="37"/>
      <c r="D656" s="43"/>
      <c r="E656" s="44"/>
      <c r="F656" s="45"/>
      <c r="G656" s="45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2.75" customHeight="1" x14ac:dyDescent="0.3">
      <c r="A657" s="37"/>
      <c r="B657" s="37"/>
      <c r="C657" s="37"/>
      <c r="D657" s="43"/>
      <c r="E657" s="44"/>
      <c r="F657" s="45"/>
      <c r="G657" s="45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2.75" customHeight="1" x14ac:dyDescent="0.3">
      <c r="A658" s="37"/>
      <c r="B658" s="37"/>
      <c r="C658" s="37"/>
      <c r="D658" s="43"/>
      <c r="E658" s="44"/>
      <c r="F658" s="45"/>
      <c r="G658" s="45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2.75" customHeight="1" x14ac:dyDescent="0.3">
      <c r="A659" s="37"/>
      <c r="B659" s="37"/>
      <c r="C659" s="37"/>
      <c r="D659" s="43"/>
      <c r="E659" s="44"/>
      <c r="F659" s="45"/>
      <c r="G659" s="45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2.75" customHeight="1" x14ac:dyDescent="0.3">
      <c r="A660" s="37"/>
      <c r="B660" s="37"/>
      <c r="C660" s="37"/>
      <c r="D660" s="43"/>
      <c r="E660" s="44"/>
      <c r="F660" s="45"/>
      <c r="G660" s="45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2.75" customHeight="1" x14ac:dyDescent="0.3">
      <c r="A661" s="37"/>
      <c r="B661" s="37"/>
      <c r="C661" s="37"/>
      <c r="D661" s="43"/>
      <c r="E661" s="44"/>
      <c r="F661" s="45"/>
      <c r="G661" s="45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2.75" customHeight="1" x14ac:dyDescent="0.3">
      <c r="A662" s="37"/>
      <c r="B662" s="37"/>
      <c r="C662" s="37"/>
      <c r="D662" s="43"/>
      <c r="E662" s="44"/>
      <c r="F662" s="45"/>
      <c r="G662" s="45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2.75" customHeight="1" x14ac:dyDescent="0.3">
      <c r="A663" s="37"/>
      <c r="B663" s="37"/>
      <c r="C663" s="37"/>
      <c r="D663" s="43"/>
      <c r="E663" s="44"/>
      <c r="F663" s="45"/>
      <c r="G663" s="45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2.75" customHeight="1" x14ac:dyDescent="0.3">
      <c r="A664" s="37"/>
      <c r="B664" s="37"/>
      <c r="C664" s="37"/>
      <c r="D664" s="43"/>
      <c r="E664" s="44"/>
      <c r="F664" s="45"/>
      <c r="G664" s="45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2.75" customHeight="1" x14ac:dyDescent="0.3">
      <c r="A665" s="37"/>
      <c r="B665" s="37"/>
      <c r="C665" s="37"/>
      <c r="D665" s="43"/>
      <c r="E665" s="44"/>
      <c r="F665" s="45"/>
      <c r="G665" s="45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2.75" customHeight="1" x14ac:dyDescent="0.3">
      <c r="A666" s="37"/>
      <c r="B666" s="37"/>
      <c r="C666" s="37"/>
      <c r="D666" s="43"/>
      <c r="E666" s="44"/>
      <c r="F666" s="45"/>
      <c r="G666" s="45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2.75" customHeight="1" x14ac:dyDescent="0.3">
      <c r="A667" s="37"/>
      <c r="B667" s="37"/>
      <c r="C667" s="37"/>
      <c r="D667" s="43"/>
      <c r="E667" s="44"/>
      <c r="F667" s="45"/>
      <c r="G667" s="45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2.75" customHeight="1" x14ac:dyDescent="0.3">
      <c r="A668" s="37"/>
      <c r="B668" s="37"/>
      <c r="C668" s="37"/>
      <c r="D668" s="43"/>
      <c r="E668" s="44"/>
      <c r="F668" s="45"/>
      <c r="G668" s="45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2.75" customHeight="1" x14ac:dyDescent="0.3">
      <c r="A669" s="37"/>
      <c r="B669" s="37"/>
      <c r="C669" s="37"/>
      <c r="D669" s="43"/>
      <c r="E669" s="44"/>
      <c r="F669" s="45"/>
      <c r="G669" s="45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2.75" customHeight="1" x14ac:dyDescent="0.3">
      <c r="A670" s="37"/>
      <c r="B670" s="37"/>
      <c r="C670" s="37"/>
      <c r="D670" s="43"/>
      <c r="E670" s="44"/>
      <c r="F670" s="45"/>
      <c r="G670" s="45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2.75" customHeight="1" x14ac:dyDescent="0.3">
      <c r="A671" s="37"/>
      <c r="B671" s="37"/>
      <c r="C671" s="37"/>
      <c r="D671" s="43"/>
      <c r="E671" s="44"/>
      <c r="F671" s="45"/>
      <c r="G671" s="45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2.75" customHeight="1" x14ac:dyDescent="0.3">
      <c r="A672" s="37"/>
      <c r="B672" s="37"/>
      <c r="C672" s="37"/>
      <c r="D672" s="43"/>
      <c r="E672" s="44"/>
      <c r="F672" s="45"/>
      <c r="G672" s="45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2.75" customHeight="1" x14ac:dyDescent="0.3">
      <c r="A673" s="37"/>
      <c r="B673" s="37"/>
      <c r="C673" s="37"/>
      <c r="D673" s="43"/>
      <c r="E673" s="44"/>
      <c r="F673" s="45"/>
      <c r="G673" s="45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2.75" customHeight="1" x14ac:dyDescent="0.3">
      <c r="A674" s="37"/>
      <c r="B674" s="37"/>
      <c r="C674" s="37"/>
      <c r="D674" s="43"/>
      <c r="E674" s="44"/>
      <c r="F674" s="45"/>
      <c r="G674" s="45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2.75" customHeight="1" x14ac:dyDescent="0.3">
      <c r="A675" s="37"/>
      <c r="B675" s="37"/>
      <c r="C675" s="37"/>
      <c r="D675" s="43"/>
      <c r="E675" s="44"/>
      <c r="F675" s="45"/>
      <c r="G675" s="45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2.75" customHeight="1" x14ac:dyDescent="0.3">
      <c r="A676" s="37"/>
      <c r="B676" s="37"/>
      <c r="C676" s="37"/>
      <c r="D676" s="43"/>
      <c r="E676" s="44"/>
      <c r="F676" s="45"/>
      <c r="G676" s="45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2.75" customHeight="1" x14ac:dyDescent="0.3">
      <c r="A677" s="37"/>
      <c r="B677" s="37"/>
      <c r="C677" s="37"/>
      <c r="D677" s="43"/>
      <c r="E677" s="44"/>
      <c r="F677" s="45"/>
      <c r="G677" s="45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2.75" customHeight="1" x14ac:dyDescent="0.3">
      <c r="A678" s="37"/>
      <c r="B678" s="37"/>
      <c r="C678" s="37"/>
      <c r="D678" s="43"/>
      <c r="E678" s="44"/>
      <c r="F678" s="45"/>
      <c r="G678" s="45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2.75" customHeight="1" x14ac:dyDescent="0.3">
      <c r="A679" s="37"/>
      <c r="B679" s="37"/>
      <c r="C679" s="37"/>
      <c r="D679" s="43"/>
      <c r="E679" s="44"/>
      <c r="F679" s="45"/>
      <c r="G679" s="45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2.75" customHeight="1" x14ac:dyDescent="0.3">
      <c r="A680" s="37"/>
      <c r="B680" s="37"/>
      <c r="C680" s="37"/>
      <c r="D680" s="43"/>
      <c r="E680" s="44"/>
      <c r="F680" s="45"/>
      <c r="G680" s="45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2.75" customHeight="1" x14ac:dyDescent="0.3">
      <c r="A681" s="37"/>
      <c r="B681" s="37"/>
      <c r="C681" s="37"/>
      <c r="D681" s="43"/>
      <c r="E681" s="44"/>
      <c r="F681" s="45"/>
      <c r="G681" s="45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2.75" customHeight="1" x14ac:dyDescent="0.3">
      <c r="A682" s="37"/>
      <c r="B682" s="37"/>
      <c r="C682" s="37"/>
      <c r="D682" s="43"/>
      <c r="E682" s="44"/>
      <c r="F682" s="45"/>
      <c r="G682" s="45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2.75" customHeight="1" x14ac:dyDescent="0.3">
      <c r="A683" s="37"/>
      <c r="B683" s="37"/>
      <c r="C683" s="37"/>
      <c r="D683" s="43"/>
      <c r="E683" s="44"/>
      <c r="F683" s="45"/>
      <c r="G683" s="45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2.75" customHeight="1" x14ac:dyDescent="0.3">
      <c r="A684" s="37"/>
      <c r="B684" s="37"/>
      <c r="C684" s="37"/>
      <c r="D684" s="43"/>
      <c r="E684" s="44"/>
      <c r="F684" s="45"/>
      <c r="G684" s="45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2.75" customHeight="1" x14ac:dyDescent="0.3">
      <c r="A685" s="37"/>
      <c r="B685" s="37"/>
      <c r="C685" s="37"/>
      <c r="D685" s="43"/>
      <c r="E685" s="44"/>
      <c r="F685" s="45"/>
      <c r="G685" s="45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2.75" customHeight="1" x14ac:dyDescent="0.3">
      <c r="A686" s="37"/>
      <c r="B686" s="37"/>
      <c r="C686" s="37"/>
      <c r="D686" s="43"/>
      <c r="E686" s="44"/>
      <c r="F686" s="45"/>
      <c r="G686" s="45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2.75" customHeight="1" x14ac:dyDescent="0.3">
      <c r="A687" s="37"/>
      <c r="B687" s="37"/>
      <c r="C687" s="37"/>
      <c r="D687" s="43"/>
      <c r="E687" s="44"/>
      <c r="F687" s="45"/>
      <c r="G687" s="45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2.75" customHeight="1" x14ac:dyDescent="0.3">
      <c r="A688" s="37"/>
      <c r="B688" s="37"/>
      <c r="C688" s="37"/>
      <c r="D688" s="43"/>
      <c r="E688" s="44"/>
      <c r="F688" s="45"/>
      <c r="G688" s="45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2.75" customHeight="1" x14ac:dyDescent="0.3">
      <c r="A689" s="37"/>
      <c r="B689" s="37"/>
      <c r="C689" s="37"/>
      <c r="D689" s="43"/>
      <c r="E689" s="44"/>
      <c r="F689" s="45"/>
      <c r="G689" s="45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2.75" customHeight="1" x14ac:dyDescent="0.3">
      <c r="A690" s="37"/>
      <c r="B690" s="37"/>
      <c r="C690" s="37"/>
      <c r="D690" s="43"/>
      <c r="E690" s="44"/>
      <c r="F690" s="45"/>
      <c r="G690" s="45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2.75" customHeight="1" x14ac:dyDescent="0.3">
      <c r="A691" s="37"/>
      <c r="B691" s="37"/>
      <c r="C691" s="37"/>
      <c r="D691" s="43"/>
      <c r="E691" s="44"/>
      <c r="F691" s="45"/>
      <c r="G691" s="45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2.75" customHeight="1" x14ac:dyDescent="0.3">
      <c r="A692" s="37"/>
      <c r="B692" s="37"/>
      <c r="C692" s="37"/>
      <c r="D692" s="43"/>
      <c r="E692" s="44"/>
      <c r="F692" s="45"/>
      <c r="G692" s="45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2.75" customHeight="1" x14ac:dyDescent="0.3">
      <c r="A693" s="37"/>
      <c r="B693" s="37"/>
      <c r="C693" s="37"/>
      <c r="D693" s="43"/>
      <c r="E693" s="44"/>
      <c r="F693" s="45"/>
      <c r="G693" s="45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2.75" customHeight="1" x14ac:dyDescent="0.3">
      <c r="A694" s="37"/>
      <c r="B694" s="37"/>
      <c r="C694" s="37"/>
      <c r="D694" s="43"/>
      <c r="E694" s="44"/>
      <c r="F694" s="45"/>
      <c r="G694" s="45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2.75" customHeight="1" x14ac:dyDescent="0.3">
      <c r="A695" s="37"/>
      <c r="B695" s="37"/>
      <c r="C695" s="37"/>
      <c r="D695" s="43"/>
      <c r="E695" s="44"/>
      <c r="F695" s="45"/>
      <c r="G695" s="45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2.75" customHeight="1" x14ac:dyDescent="0.3">
      <c r="A696" s="37"/>
      <c r="B696" s="37"/>
      <c r="C696" s="37"/>
      <c r="D696" s="43"/>
      <c r="E696" s="44"/>
      <c r="F696" s="45"/>
      <c r="G696" s="45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2.75" customHeight="1" x14ac:dyDescent="0.3">
      <c r="A697" s="37"/>
      <c r="B697" s="37"/>
      <c r="C697" s="37"/>
      <c r="D697" s="43"/>
      <c r="E697" s="44"/>
      <c r="F697" s="45"/>
      <c r="G697" s="45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2.75" customHeight="1" x14ac:dyDescent="0.3">
      <c r="A698" s="37"/>
      <c r="B698" s="37"/>
      <c r="C698" s="37"/>
      <c r="D698" s="43"/>
      <c r="E698" s="44"/>
      <c r="F698" s="45"/>
      <c r="G698" s="45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2.75" customHeight="1" x14ac:dyDescent="0.3">
      <c r="A699" s="37"/>
      <c r="B699" s="37"/>
      <c r="C699" s="37"/>
      <c r="D699" s="43"/>
      <c r="E699" s="44"/>
      <c r="F699" s="45"/>
      <c r="G699" s="45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2.75" customHeight="1" x14ac:dyDescent="0.3">
      <c r="A700" s="37"/>
      <c r="B700" s="37"/>
      <c r="C700" s="37"/>
      <c r="D700" s="43"/>
      <c r="E700" s="44"/>
      <c r="F700" s="45"/>
      <c r="G700" s="45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2.75" customHeight="1" x14ac:dyDescent="0.3">
      <c r="A701" s="37"/>
      <c r="B701" s="37"/>
      <c r="C701" s="37"/>
      <c r="D701" s="43"/>
      <c r="E701" s="44"/>
      <c r="F701" s="45"/>
      <c r="G701" s="45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2.75" customHeight="1" x14ac:dyDescent="0.3">
      <c r="A702" s="37"/>
      <c r="B702" s="37"/>
      <c r="C702" s="37"/>
      <c r="D702" s="43"/>
      <c r="E702" s="44"/>
      <c r="F702" s="45"/>
      <c r="G702" s="45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2.75" customHeight="1" x14ac:dyDescent="0.3">
      <c r="A703" s="37"/>
      <c r="B703" s="37"/>
      <c r="C703" s="37"/>
      <c r="D703" s="43"/>
      <c r="E703" s="44"/>
      <c r="F703" s="45"/>
      <c r="G703" s="45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2.75" customHeight="1" x14ac:dyDescent="0.3">
      <c r="A704" s="37"/>
      <c r="B704" s="37"/>
      <c r="C704" s="37"/>
      <c r="D704" s="43"/>
      <c r="E704" s="44"/>
      <c r="F704" s="45"/>
      <c r="G704" s="45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2.75" customHeight="1" x14ac:dyDescent="0.3">
      <c r="A705" s="37"/>
      <c r="B705" s="37"/>
      <c r="C705" s="37"/>
      <c r="D705" s="43"/>
      <c r="E705" s="44"/>
      <c r="F705" s="45"/>
      <c r="G705" s="45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2.75" customHeight="1" x14ac:dyDescent="0.3">
      <c r="A706" s="37"/>
      <c r="B706" s="37"/>
      <c r="C706" s="37"/>
      <c r="D706" s="43"/>
      <c r="E706" s="44"/>
      <c r="F706" s="45"/>
      <c r="G706" s="45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2.75" customHeight="1" x14ac:dyDescent="0.3">
      <c r="A707" s="37"/>
      <c r="B707" s="37"/>
      <c r="C707" s="37"/>
      <c r="D707" s="43"/>
      <c r="E707" s="44"/>
      <c r="F707" s="45"/>
      <c r="G707" s="45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2.75" customHeight="1" x14ac:dyDescent="0.3">
      <c r="A708" s="37"/>
      <c r="B708" s="37"/>
      <c r="C708" s="37"/>
      <c r="D708" s="43"/>
      <c r="E708" s="44"/>
      <c r="F708" s="45"/>
      <c r="G708" s="45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2.75" customHeight="1" x14ac:dyDescent="0.3">
      <c r="A709" s="37"/>
      <c r="B709" s="37"/>
      <c r="C709" s="37"/>
      <c r="D709" s="43"/>
      <c r="E709" s="44"/>
      <c r="F709" s="45"/>
      <c r="G709" s="45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2.75" customHeight="1" x14ac:dyDescent="0.3">
      <c r="A710" s="37"/>
      <c r="B710" s="37"/>
      <c r="C710" s="37"/>
      <c r="D710" s="43"/>
      <c r="E710" s="44"/>
      <c r="F710" s="45"/>
      <c r="G710" s="45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2.75" customHeight="1" x14ac:dyDescent="0.3">
      <c r="A711" s="37"/>
      <c r="B711" s="37"/>
      <c r="C711" s="37"/>
      <c r="D711" s="43"/>
      <c r="E711" s="44"/>
      <c r="F711" s="45"/>
      <c r="G711" s="45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2.75" customHeight="1" x14ac:dyDescent="0.3">
      <c r="A712" s="37"/>
      <c r="B712" s="37"/>
      <c r="C712" s="37"/>
      <c r="D712" s="43"/>
      <c r="E712" s="44"/>
      <c r="F712" s="45"/>
      <c r="G712" s="45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2.75" customHeight="1" x14ac:dyDescent="0.3">
      <c r="A713" s="37"/>
      <c r="B713" s="37"/>
      <c r="C713" s="37"/>
      <c r="D713" s="43"/>
      <c r="E713" s="44"/>
      <c r="F713" s="45"/>
      <c r="G713" s="45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2.75" customHeight="1" x14ac:dyDescent="0.3">
      <c r="A714" s="37"/>
      <c r="B714" s="37"/>
      <c r="C714" s="37"/>
      <c r="D714" s="43"/>
      <c r="E714" s="44"/>
      <c r="F714" s="45"/>
      <c r="G714" s="45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2.75" customHeight="1" x14ac:dyDescent="0.3">
      <c r="A715" s="37"/>
      <c r="B715" s="37"/>
      <c r="C715" s="37"/>
      <c r="D715" s="43"/>
      <c r="E715" s="44"/>
      <c r="F715" s="45"/>
      <c r="G715" s="45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2.75" customHeight="1" x14ac:dyDescent="0.3">
      <c r="A716" s="37"/>
      <c r="B716" s="37"/>
      <c r="C716" s="37"/>
      <c r="D716" s="43"/>
      <c r="E716" s="44"/>
      <c r="F716" s="45"/>
      <c r="G716" s="45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2.75" customHeight="1" x14ac:dyDescent="0.3">
      <c r="A717" s="37"/>
      <c r="B717" s="37"/>
      <c r="C717" s="37"/>
      <c r="D717" s="43"/>
      <c r="E717" s="44"/>
      <c r="F717" s="45"/>
      <c r="G717" s="45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2.75" customHeight="1" x14ac:dyDescent="0.3">
      <c r="A718" s="37"/>
      <c r="B718" s="37"/>
      <c r="C718" s="37"/>
      <c r="D718" s="43"/>
      <c r="E718" s="44"/>
      <c r="F718" s="45"/>
      <c r="G718" s="45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2.75" customHeight="1" x14ac:dyDescent="0.3">
      <c r="A719" s="37"/>
      <c r="B719" s="37"/>
      <c r="C719" s="37"/>
      <c r="D719" s="43"/>
      <c r="E719" s="44"/>
      <c r="F719" s="45"/>
      <c r="G719" s="45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2.75" customHeight="1" x14ac:dyDescent="0.3">
      <c r="A720" s="37"/>
      <c r="B720" s="37"/>
      <c r="C720" s="37"/>
      <c r="D720" s="43"/>
      <c r="E720" s="44"/>
      <c r="F720" s="45"/>
      <c r="G720" s="45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2.75" customHeight="1" x14ac:dyDescent="0.3">
      <c r="A721" s="37"/>
      <c r="B721" s="37"/>
      <c r="C721" s="37"/>
      <c r="D721" s="43"/>
      <c r="E721" s="44"/>
      <c r="F721" s="45"/>
      <c r="G721" s="45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2.75" customHeight="1" x14ac:dyDescent="0.3">
      <c r="A722" s="37"/>
      <c r="B722" s="37"/>
      <c r="C722" s="37"/>
      <c r="D722" s="43"/>
      <c r="E722" s="44"/>
      <c r="F722" s="45"/>
      <c r="G722" s="45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2.75" customHeight="1" x14ac:dyDescent="0.3">
      <c r="A723" s="37"/>
      <c r="B723" s="37"/>
      <c r="C723" s="37"/>
      <c r="D723" s="43"/>
      <c r="E723" s="44"/>
      <c r="F723" s="45"/>
      <c r="G723" s="45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2.75" customHeight="1" x14ac:dyDescent="0.3">
      <c r="A724" s="37"/>
      <c r="B724" s="37"/>
      <c r="C724" s="37"/>
      <c r="D724" s="43"/>
      <c r="E724" s="44"/>
      <c r="F724" s="45"/>
      <c r="G724" s="45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2.75" customHeight="1" x14ac:dyDescent="0.3">
      <c r="A725" s="37"/>
      <c r="B725" s="37"/>
      <c r="C725" s="37"/>
      <c r="D725" s="43"/>
      <c r="E725" s="44"/>
      <c r="F725" s="45"/>
      <c r="G725" s="45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2.75" customHeight="1" x14ac:dyDescent="0.3">
      <c r="A726" s="37"/>
      <c r="B726" s="37"/>
      <c r="C726" s="37"/>
      <c r="D726" s="43"/>
      <c r="E726" s="44"/>
      <c r="F726" s="45"/>
      <c r="G726" s="45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2.75" customHeight="1" x14ac:dyDescent="0.3">
      <c r="A727" s="37"/>
      <c r="B727" s="37"/>
      <c r="C727" s="37"/>
      <c r="D727" s="43"/>
      <c r="E727" s="44"/>
      <c r="F727" s="45"/>
      <c r="G727" s="45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2.75" customHeight="1" x14ac:dyDescent="0.3">
      <c r="A728" s="37"/>
      <c r="B728" s="37"/>
      <c r="C728" s="37"/>
      <c r="D728" s="43"/>
      <c r="E728" s="44"/>
      <c r="F728" s="45"/>
      <c r="G728" s="45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2.75" customHeight="1" x14ac:dyDescent="0.3">
      <c r="A729" s="37"/>
      <c r="B729" s="37"/>
      <c r="C729" s="37"/>
      <c r="D729" s="43"/>
      <c r="E729" s="44"/>
      <c r="F729" s="45"/>
      <c r="G729" s="45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2.75" customHeight="1" x14ac:dyDescent="0.3">
      <c r="A730" s="37"/>
      <c r="B730" s="37"/>
      <c r="C730" s="37"/>
      <c r="D730" s="43"/>
      <c r="E730" s="44"/>
      <c r="F730" s="45"/>
      <c r="G730" s="45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2.75" customHeight="1" x14ac:dyDescent="0.3">
      <c r="A731" s="37"/>
      <c r="B731" s="37"/>
      <c r="C731" s="37"/>
      <c r="D731" s="43"/>
      <c r="E731" s="44"/>
      <c r="F731" s="45"/>
      <c r="G731" s="45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2.75" customHeight="1" x14ac:dyDescent="0.3">
      <c r="A732" s="37"/>
      <c r="B732" s="37"/>
      <c r="C732" s="37"/>
      <c r="D732" s="43"/>
      <c r="E732" s="44"/>
      <c r="F732" s="45"/>
      <c r="G732" s="45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2.75" customHeight="1" x14ac:dyDescent="0.3">
      <c r="A733" s="37"/>
      <c r="B733" s="37"/>
      <c r="C733" s="37"/>
      <c r="D733" s="43"/>
      <c r="E733" s="44"/>
      <c r="F733" s="45"/>
      <c r="G733" s="45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2.75" customHeight="1" x14ac:dyDescent="0.3">
      <c r="A734" s="37"/>
      <c r="B734" s="37"/>
      <c r="C734" s="37"/>
      <c r="D734" s="43"/>
      <c r="E734" s="44"/>
      <c r="F734" s="45"/>
      <c r="G734" s="45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2.75" customHeight="1" x14ac:dyDescent="0.3">
      <c r="A735" s="37"/>
      <c r="B735" s="37"/>
      <c r="C735" s="37"/>
      <c r="D735" s="43"/>
      <c r="E735" s="44"/>
      <c r="F735" s="45"/>
      <c r="G735" s="45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2.75" customHeight="1" x14ac:dyDescent="0.3">
      <c r="A736" s="37"/>
      <c r="B736" s="37"/>
      <c r="C736" s="37"/>
      <c r="D736" s="43"/>
      <c r="E736" s="44"/>
      <c r="F736" s="45"/>
      <c r="G736" s="45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2.75" customHeight="1" x14ac:dyDescent="0.3">
      <c r="A737" s="37"/>
      <c r="B737" s="37"/>
      <c r="C737" s="37"/>
      <c r="D737" s="43"/>
      <c r="E737" s="44"/>
      <c r="F737" s="45"/>
      <c r="G737" s="45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2.75" customHeight="1" x14ac:dyDescent="0.3">
      <c r="A738" s="37"/>
      <c r="B738" s="37"/>
      <c r="C738" s="37"/>
      <c r="D738" s="43"/>
      <c r="E738" s="44"/>
      <c r="F738" s="45"/>
      <c r="G738" s="45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2.75" customHeight="1" x14ac:dyDescent="0.3">
      <c r="A739" s="37"/>
      <c r="B739" s="37"/>
      <c r="C739" s="37"/>
      <c r="D739" s="43"/>
      <c r="E739" s="44"/>
      <c r="F739" s="45"/>
      <c r="G739" s="45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2.75" customHeight="1" x14ac:dyDescent="0.3">
      <c r="A740" s="37"/>
      <c r="B740" s="37"/>
      <c r="C740" s="37"/>
      <c r="D740" s="43"/>
      <c r="E740" s="44"/>
      <c r="F740" s="45"/>
      <c r="G740" s="45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2.75" customHeight="1" x14ac:dyDescent="0.3">
      <c r="A741" s="37"/>
      <c r="B741" s="37"/>
      <c r="C741" s="37"/>
      <c r="D741" s="43"/>
      <c r="E741" s="44"/>
      <c r="F741" s="45"/>
      <c r="G741" s="45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2.75" customHeight="1" x14ac:dyDescent="0.3">
      <c r="A742" s="37"/>
      <c r="B742" s="37"/>
      <c r="C742" s="37"/>
      <c r="D742" s="43"/>
      <c r="E742" s="44"/>
      <c r="F742" s="45"/>
      <c r="G742" s="45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2.75" customHeight="1" x14ac:dyDescent="0.3">
      <c r="A743" s="37"/>
      <c r="B743" s="37"/>
      <c r="C743" s="37"/>
      <c r="D743" s="43"/>
      <c r="E743" s="44"/>
      <c r="F743" s="45"/>
      <c r="G743" s="45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2.75" customHeight="1" x14ac:dyDescent="0.3">
      <c r="A744" s="37"/>
      <c r="B744" s="37"/>
      <c r="C744" s="37"/>
      <c r="D744" s="43"/>
      <c r="E744" s="44"/>
      <c r="F744" s="45"/>
      <c r="G744" s="45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2.75" customHeight="1" x14ac:dyDescent="0.3">
      <c r="A745" s="37"/>
      <c r="B745" s="37"/>
      <c r="C745" s="37"/>
      <c r="D745" s="43"/>
      <c r="E745" s="44"/>
      <c r="F745" s="45"/>
      <c r="G745" s="45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2.75" customHeight="1" x14ac:dyDescent="0.3">
      <c r="A746" s="37"/>
      <c r="B746" s="37"/>
      <c r="C746" s="37"/>
      <c r="D746" s="43"/>
      <c r="E746" s="44"/>
      <c r="F746" s="45"/>
      <c r="G746" s="45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2.75" customHeight="1" x14ac:dyDescent="0.3">
      <c r="A747" s="37"/>
      <c r="B747" s="37"/>
      <c r="C747" s="37"/>
      <c r="D747" s="43"/>
      <c r="E747" s="44"/>
      <c r="F747" s="45"/>
      <c r="G747" s="45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2.75" customHeight="1" x14ac:dyDescent="0.3">
      <c r="A748" s="37"/>
      <c r="B748" s="37"/>
      <c r="C748" s="37"/>
      <c r="D748" s="43"/>
      <c r="E748" s="44"/>
      <c r="F748" s="45"/>
      <c r="G748" s="45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2.75" customHeight="1" x14ac:dyDescent="0.3">
      <c r="A749" s="37"/>
      <c r="B749" s="37"/>
      <c r="C749" s="37"/>
      <c r="D749" s="43"/>
      <c r="E749" s="44"/>
      <c r="F749" s="45"/>
      <c r="G749" s="45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2.75" customHeight="1" x14ac:dyDescent="0.3">
      <c r="A750" s="37"/>
      <c r="B750" s="37"/>
      <c r="C750" s="37"/>
      <c r="D750" s="43"/>
      <c r="E750" s="44"/>
      <c r="F750" s="45"/>
      <c r="G750" s="45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2.75" customHeight="1" x14ac:dyDescent="0.3">
      <c r="A751" s="37"/>
      <c r="B751" s="37"/>
      <c r="C751" s="37"/>
      <c r="D751" s="43"/>
      <c r="E751" s="44"/>
      <c r="F751" s="45"/>
      <c r="G751" s="45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2.75" customHeight="1" x14ac:dyDescent="0.3">
      <c r="A752" s="37"/>
      <c r="B752" s="37"/>
      <c r="C752" s="37"/>
      <c r="D752" s="43"/>
      <c r="E752" s="44"/>
      <c r="F752" s="45"/>
      <c r="G752" s="45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2.75" customHeight="1" x14ac:dyDescent="0.3">
      <c r="A753" s="37"/>
      <c r="B753" s="37"/>
      <c r="C753" s="37"/>
      <c r="D753" s="43"/>
      <c r="E753" s="44"/>
      <c r="F753" s="45"/>
      <c r="G753" s="45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2.75" customHeight="1" x14ac:dyDescent="0.3">
      <c r="A754" s="37"/>
      <c r="B754" s="37"/>
      <c r="C754" s="37"/>
      <c r="D754" s="43"/>
      <c r="E754" s="44"/>
      <c r="F754" s="45"/>
      <c r="G754" s="45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2.75" customHeight="1" x14ac:dyDescent="0.3">
      <c r="A755" s="37"/>
      <c r="B755" s="37"/>
      <c r="C755" s="37"/>
      <c r="D755" s="43"/>
      <c r="E755" s="44"/>
      <c r="F755" s="45"/>
      <c r="G755" s="45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2.75" customHeight="1" x14ac:dyDescent="0.3">
      <c r="A756" s="37"/>
      <c r="B756" s="37"/>
      <c r="C756" s="37"/>
      <c r="D756" s="43"/>
      <c r="E756" s="44"/>
      <c r="F756" s="45"/>
      <c r="G756" s="45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2.75" customHeight="1" x14ac:dyDescent="0.3">
      <c r="A757" s="37"/>
      <c r="B757" s="37"/>
      <c r="C757" s="37"/>
      <c r="D757" s="43"/>
      <c r="E757" s="44"/>
      <c r="F757" s="45"/>
      <c r="G757" s="45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2.75" customHeight="1" x14ac:dyDescent="0.3">
      <c r="A758" s="37"/>
      <c r="B758" s="37"/>
      <c r="C758" s="37"/>
      <c r="D758" s="43"/>
      <c r="E758" s="44"/>
      <c r="F758" s="45"/>
      <c r="G758" s="45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2.75" customHeight="1" x14ac:dyDescent="0.3">
      <c r="A759" s="37"/>
      <c r="B759" s="37"/>
      <c r="C759" s="37"/>
      <c r="D759" s="43"/>
      <c r="E759" s="44"/>
      <c r="F759" s="45"/>
      <c r="G759" s="45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2.75" customHeight="1" x14ac:dyDescent="0.3">
      <c r="A760" s="37"/>
      <c r="B760" s="37"/>
      <c r="C760" s="37"/>
      <c r="D760" s="43"/>
      <c r="E760" s="44"/>
      <c r="F760" s="45"/>
      <c r="G760" s="45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2.75" customHeight="1" x14ac:dyDescent="0.3">
      <c r="A761" s="37"/>
      <c r="B761" s="37"/>
      <c r="C761" s="37"/>
      <c r="D761" s="43"/>
      <c r="E761" s="44"/>
      <c r="F761" s="45"/>
      <c r="G761" s="45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2.75" customHeight="1" x14ac:dyDescent="0.3">
      <c r="A762" s="37"/>
      <c r="B762" s="37"/>
      <c r="C762" s="37"/>
      <c r="D762" s="43"/>
      <c r="E762" s="44"/>
      <c r="F762" s="45"/>
      <c r="G762" s="45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2.75" customHeight="1" x14ac:dyDescent="0.3">
      <c r="A763" s="37"/>
      <c r="B763" s="37"/>
      <c r="C763" s="37"/>
      <c r="D763" s="43"/>
      <c r="E763" s="44"/>
      <c r="F763" s="45"/>
      <c r="G763" s="45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2.75" customHeight="1" x14ac:dyDescent="0.3">
      <c r="A764" s="37"/>
      <c r="B764" s="37"/>
      <c r="C764" s="37"/>
      <c r="D764" s="43"/>
      <c r="E764" s="44"/>
      <c r="F764" s="45"/>
      <c r="G764" s="45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2.75" customHeight="1" x14ac:dyDescent="0.3">
      <c r="A765" s="37"/>
      <c r="B765" s="37"/>
      <c r="C765" s="37"/>
      <c r="D765" s="43"/>
      <c r="E765" s="44"/>
      <c r="F765" s="45"/>
      <c r="G765" s="45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2.75" customHeight="1" x14ac:dyDescent="0.3">
      <c r="A766" s="37"/>
      <c r="B766" s="37"/>
      <c r="C766" s="37"/>
      <c r="D766" s="43"/>
      <c r="E766" s="44"/>
      <c r="F766" s="45"/>
      <c r="G766" s="45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2.75" customHeight="1" x14ac:dyDescent="0.3">
      <c r="A767" s="37"/>
      <c r="B767" s="37"/>
      <c r="C767" s="37"/>
      <c r="D767" s="43"/>
      <c r="E767" s="44"/>
      <c r="F767" s="45"/>
      <c r="G767" s="45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2.75" customHeight="1" x14ac:dyDescent="0.3">
      <c r="A768" s="37"/>
      <c r="B768" s="37"/>
      <c r="C768" s="37"/>
      <c r="D768" s="43"/>
      <c r="E768" s="44"/>
      <c r="F768" s="45"/>
      <c r="G768" s="45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2.75" customHeight="1" x14ac:dyDescent="0.3">
      <c r="A769" s="37"/>
      <c r="B769" s="37"/>
      <c r="C769" s="37"/>
      <c r="D769" s="43"/>
      <c r="E769" s="44"/>
      <c r="F769" s="45"/>
      <c r="G769" s="45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2.75" customHeight="1" x14ac:dyDescent="0.3">
      <c r="A770" s="37"/>
      <c r="B770" s="37"/>
      <c r="C770" s="37"/>
      <c r="D770" s="43"/>
      <c r="E770" s="44"/>
      <c r="F770" s="45"/>
      <c r="G770" s="45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2.75" customHeight="1" x14ac:dyDescent="0.3">
      <c r="A771" s="37"/>
      <c r="B771" s="37"/>
      <c r="C771" s="37"/>
      <c r="D771" s="43"/>
      <c r="E771" s="44"/>
      <c r="F771" s="45"/>
      <c r="G771" s="45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2.75" customHeight="1" x14ac:dyDescent="0.3">
      <c r="A772" s="37"/>
      <c r="B772" s="37"/>
      <c r="C772" s="37"/>
      <c r="D772" s="43"/>
      <c r="E772" s="44"/>
      <c r="F772" s="45"/>
      <c r="G772" s="45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2.75" customHeight="1" x14ac:dyDescent="0.3">
      <c r="A773" s="37"/>
      <c r="B773" s="37"/>
      <c r="C773" s="37"/>
      <c r="D773" s="43"/>
      <c r="E773" s="44"/>
      <c r="F773" s="45"/>
      <c r="G773" s="45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2.75" customHeight="1" x14ac:dyDescent="0.3">
      <c r="A774" s="37"/>
      <c r="B774" s="37"/>
      <c r="C774" s="37"/>
      <c r="D774" s="43"/>
      <c r="E774" s="44"/>
      <c r="F774" s="45"/>
      <c r="G774" s="45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2.75" customHeight="1" x14ac:dyDescent="0.3">
      <c r="A775" s="37"/>
      <c r="B775" s="37"/>
      <c r="C775" s="37"/>
      <c r="D775" s="43"/>
      <c r="E775" s="44"/>
      <c r="F775" s="45"/>
      <c r="G775" s="45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2.75" customHeight="1" x14ac:dyDescent="0.3">
      <c r="A776" s="37"/>
      <c r="B776" s="37"/>
      <c r="C776" s="37"/>
      <c r="D776" s="43"/>
      <c r="E776" s="44"/>
      <c r="F776" s="45"/>
      <c r="G776" s="45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2.75" customHeight="1" x14ac:dyDescent="0.3">
      <c r="A777" s="37"/>
      <c r="B777" s="37"/>
      <c r="C777" s="37"/>
      <c r="D777" s="43"/>
      <c r="E777" s="44"/>
      <c r="F777" s="45"/>
      <c r="G777" s="45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2.75" customHeight="1" x14ac:dyDescent="0.3">
      <c r="A778" s="37"/>
      <c r="B778" s="37"/>
      <c r="C778" s="37"/>
      <c r="D778" s="43"/>
      <c r="E778" s="44"/>
      <c r="F778" s="45"/>
      <c r="G778" s="45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2.75" customHeight="1" x14ac:dyDescent="0.3">
      <c r="A779" s="37"/>
      <c r="B779" s="37"/>
      <c r="C779" s="37"/>
      <c r="D779" s="43"/>
      <c r="E779" s="44"/>
      <c r="F779" s="45"/>
      <c r="G779" s="45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2.75" customHeight="1" x14ac:dyDescent="0.3">
      <c r="A780" s="37"/>
      <c r="B780" s="37"/>
      <c r="C780" s="37"/>
      <c r="D780" s="43"/>
      <c r="E780" s="44"/>
      <c r="F780" s="45"/>
      <c r="G780" s="45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2.75" customHeight="1" x14ac:dyDescent="0.3">
      <c r="A781" s="37"/>
      <c r="B781" s="37"/>
      <c r="C781" s="37"/>
      <c r="D781" s="43"/>
      <c r="E781" s="44"/>
      <c r="F781" s="45"/>
      <c r="G781" s="45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2.75" customHeight="1" x14ac:dyDescent="0.3">
      <c r="A782" s="37"/>
      <c r="B782" s="37"/>
      <c r="C782" s="37"/>
      <c r="D782" s="43"/>
      <c r="E782" s="44"/>
      <c r="F782" s="45"/>
      <c r="G782" s="45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2.75" customHeight="1" x14ac:dyDescent="0.3">
      <c r="A783" s="37"/>
      <c r="B783" s="37"/>
      <c r="C783" s="37"/>
      <c r="D783" s="43"/>
      <c r="E783" s="44"/>
      <c r="F783" s="45"/>
      <c r="G783" s="45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2.75" customHeight="1" x14ac:dyDescent="0.3">
      <c r="A784" s="37"/>
      <c r="B784" s="37"/>
      <c r="C784" s="37"/>
      <c r="D784" s="43"/>
      <c r="E784" s="44"/>
      <c r="F784" s="45"/>
      <c r="G784" s="45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2.75" customHeight="1" x14ac:dyDescent="0.3">
      <c r="A785" s="37"/>
      <c r="B785" s="37"/>
      <c r="C785" s="37"/>
      <c r="D785" s="43"/>
      <c r="E785" s="44"/>
      <c r="F785" s="45"/>
      <c r="G785" s="45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2.75" customHeight="1" x14ac:dyDescent="0.3">
      <c r="A786" s="37"/>
      <c r="B786" s="37"/>
      <c r="C786" s="37"/>
      <c r="D786" s="43"/>
      <c r="E786" s="44"/>
      <c r="F786" s="45"/>
      <c r="G786" s="45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2.75" customHeight="1" x14ac:dyDescent="0.3">
      <c r="A787" s="37"/>
      <c r="B787" s="37"/>
      <c r="C787" s="37"/>
      <c r="D787" s="43"/>
      <c r="E787" s="44"/>
      <c r="F787" s="45"/>
      <c r="G787" s="45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2.75" customHeight="1" x14ac:dyDescent="0.3">
      <c r="A788" s="37"/>
      <c r="B788" s="37"/>
      <c r="C788" s="37"/>
      <c r="D788" s="43"/>
      <c r="E788" s="44"/>
      <c r="F788" s="45"/>
      <c r="G788" s="45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2.75" customHeight="1" x14ac:dyDescent="0.3">
      <c r="A789" s="37"/>
      <c r="B789" s="37"/>
      <c r="C789" s="37"/>
      <c r="D789" s="43"/>
      <c r="E789" s="44"/>
      <c r="F789" s="45"/>
      <c r="G789" s="45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2.75" customHeight="1" x14ac:dyDescent="0.3">
      <c r="A790" s="37"/>
      <c r="B790" s="37"/>
      <c r="C790" s="37"/>
      <c r="D790" s="43"/>
      <c r="E790" s="44"/>
      <c r="F790" s="45"/>
      <c r="G790" s="45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2.75" customHeight="1" x14ac:dyDescent="0.3">
      <c r="A791" s="37"/>
      <c r="B791" s="37"/>
      <c r="C791" s="37"/>
      <c r="D791" s="43"/>
      <c r="E791" s="44"/>
      <c r="F791" s="45"/>
      <c r="G791" s="45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2.75" customHeight="1" x14ac:dyDescent="0.3">
      <c r="A792" s="37"/>
      <c r="B792" s="37"/>
      <c r="C792" s="37"/>
      <c r="D792" s="43"/>
      <c r="E792" s="44"/>
      <c r="F792" s="45"/>
      <c r="G792" s="45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2.75" customHeight="1" x14ac:dyDescent="0.3">
      <c r="A793" s="37"/>
      <c r="B793" s="37"/>
      <c r="C793" s="37"/>
      <c r="D793" s="43"/>
      <c r="E793" s="44"/>
      <c r="F793" s="45"/>
      <c r="G793" s="45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2.75" customHeight="1" x14ac:dyDescent="0.3">
      <c r="A794" s="37"/>
      <c r="B794" s="37"/>
      <c r="C794" s="37"/>
      <c r="D794" s="43"/>
      <c r="E794" s="44"/>
      <c r="F794" s="45"/>
      <c r="G794" s="45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2.75" customHeight="1" x14ac:dyDescent="0.3">
      <c r="A795" s="37"/>
      <c r="B795" s="37"/>
      <c r="C795" s="37"/>
      <c r="D795" s="43"/>
      <c r="E795" s="44"/>
      <c r="F795" s="45"/>
      <c r="G795" s="45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2.75" customHeight="1" x14ac:dyDescent="0.3">
      <c r="A796" s="37"/>
      <c r="B796" s="37"/>
      <c r="C796" s="37"/>
      <c r="D796" s="43"/>
      <c r="E796" s="44"/>
      <c r="F796" s="45"/>
      <c r="G796" s="45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2.75" customHeight="1" x14ac:dyDescent="0.3">
      <c r="A797" s="37"/>
      <c r="B797" s="37"/>
      <c r="C797" s="37"/>
      <c r="D797" s="43"/>
      <c r="E797" s="44"/>
      <c r="F797" s="45"/>
      <c r="G797" s="45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2.75" customHeight="1" x14ac:dyDescent="0.3">
      <c r="A798" s="37"/>
      <c r="B798" s="37"/>
      <c r="C798" s="37"/>
      <c r="D798" s="43"/>
      <c r="E798" s="44"/>
      <c r="F798" s="45"/>
      <c r="G798" s="45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2.75" customHeight="1" x14ac:dyDescent="0.3">
      <c r="A799" s="37"/>
      <c r="B799" s="37"/>
      <c r="C799" s="37"/>
      <c r="D799" s="43"/>
      <c r="E799" s="44"/>
      <c r="F799" s="45"/>
      <c r="G799" s="45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2.75" customHeight="1" x14ac:dyDescent="0.3">
      <c r="A800" s="37"/>
      <c r="B800" s="37"/>
      <c r="C800" s="37"/>
      <c r="D800" s="43"/>
      <c r="E800" s="44"/>
      <c r="F800" s="45"/>
      <c r="G800" s="45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2.75" customHeight="1" x14ac:dyDescent="0.3">
      <c r="A801" s="37"/>
      <c r="B801" s="37"/>
      <c r="C801" s="37"/>
      <c r="D801" s="43"/>
      <c r="E801" s="44"/>
      <c r="F801" s="45"/>
      <c r="G801" s="45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2.75" customHeight="1" x14ac:dyDescent="0.3">
      <c r="A802" s="37"/>
      <c r="B802" s="37"/>
      <c r="C802" s="37"/>
      <c r="D802" s="43"/>
      <c r="E802" s="44"/>
      <c r="F802" s="45"/>
      <c r="G802" s="45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2.75" customHeight="1" x14ac:dyDescent="0.3">
      <c r="A803" s="37"/>
      <c r="B803" s="37"/>
      <c r="C803" s="37"/>
      <c r="D803" s="43"/>
      <c r="E803" s="44"/>
      <c r="F803" s="45"/>
      <c r="G803" s="45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2.75" customHeight="1" x14ac:dyDescent="0.3">
      <c r="A804" s="37"/>
      <c r="B804" s="37"/>
      <c r="C804" s="37"/>
      <c r="D804" s="43"/>
      <c r="E804" s="44"/>
      <c r="F804" s="45"/>
      <c r="G804" s="45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2.75" customHeight="1" x14ac:dyDescent="0.3">
      <c r="A805" s="37"/>
      <c r="B805" s="37"/>
      <c r="C805" s="37"/>
      <c r="D805" s="43"/>
      <c r="E805" s="44"/>
      <c r="F805" s="45"/>
      <c r="G805" s="45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2.75" customHeight="1" x14ac:dyDescent="0.3">
      <c r="A806" s="37"/>
      <c r="B806" s="37"/>
      <c r="C806" s="37"/>
      <c r="D806" s="43"/>
      <c r="E806" s="44"/>
      <c r="F806" s="45"/>
      <c r="G806" s="45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2.75" customHeight="1" x14ac:dyDescent="0.3">
      <c r="A807" s="37"/>
      <c r="B807" s="37"/>
      <c r="C807" s="37"/>
      <c r="D807" s="43"/>
      <c r="E807" s="44"/>
      <c r="F807" s="45"/>
      <c r="G807" s="45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2.75" customHeight="1" x14ac:dyDescent="0.3">
      <c r="A808" s="37"/>
      <c r="B808" s="37"/>
      <c r="C808" s="37"/>
      <c r="D808" s="43"/>
      <c r="E808" s="44"/>
      <c r="F808" s="45"/>
      <c r="G808" s="45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2.75" customHeight="1" x14ac:dyDescent="0.3">
      <c r="A809" s="37"/>
      <c r="B809" s="37"/>
      <c r="C809" s="37"/>
      <c r="D809" s="43"/>
      <c r="E809" s="44"/>
      <c r="F809" s="45"/>
      <c r="G809" s="45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2.75" customHeight="1" x14ac:dyDescent="0.3">
      <c r="A810" s="37"/>
      <c r="B810" s="37"/>
      <c r="C810" s="37"/>
      <c r="D810" s="43"/>
      <c r="E810" s="44"/>
      <c r="F810" s="45"/>
      <c r="G810" s="45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2.75" customHeight="1" x14ac:dyDescent="0.3">
      <c r="A811" s="37"/>
      <c r="B811" s="37"/>
      <c r="C811" s="37"/>
      <c r="D811" s="43"/>
      <c r="E811" s="44"/>
      <c r="F811" s="45"/>
      <c r="G811" s="45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2.75" customHeight="1" x14ac:dyDescent="0.3">
      <c r="A812" s="37"/>
      <c r="B812" s="37"/>
      <c r="C812" s="37"/>
      <c r="D812" s="43"/>
      <c r="E812" s="44"/>
      <c r="F812" s="45"/>
      <c r="G812" s="45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2.75" customHeight="1" x14ac:dyDescent="0.3">
      <c r="A813" s="37"/>
      <c r="B813" s="37"/>
      <c r="C813" s="37"/>
      <c r="D813" s="43"/>
      <c r="E813" s="44"/>
      <c r="F813" s="45"/>
      <c r="G813" s="45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2.75" customHeight="1" x14ac:dyDescent="0.3">
      <c r="A814" s="37"/>
      <c r="B814" s="37"/>
      <c r="C814" s="37"/>
      <c r="D814" s="43"/>
      <c r="E814" s="44"/>
      <c r="F814" s="45"/>
      <c r="G814" s="45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2.75" customHeight="1" x14ac:dyDescent="0.3">
      <c r="A815" s="37"/>
      <c r="B815" s="37"/>
      <c r="C815" s="37"/>
      <c r="D815" s="43"/>
      <c r="E815" s="44"/>
      <c r="F815" s="45"/>
      <c r="G815" s="45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2.75" customHeight="1" x14ac:dyDescent="0.3">
      <c r="A816" s="37"/>
      <c r="B816" s="37"/>
      <c r="C816" s="37"/>
      <c r="D816" s="43"/>
      <c r="E816" s="44"/>
      <c r="F816" s="45"/>
      <c r="G816" s="45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2.75" customHeight="1" x14ac:dyDescent="0.3">
      <c r="A817" s="37"/>
      <c r="B817" s="37"/>
      <c r="C817" s="37"/>
      <c r="D817" s="43"/>
      <c r="E817" s="44"/>
      <c r="F817" s="45"/>
      <c r="G817" s="45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2.75" customHeight="1" x14ac:dyDescent="0.3">
      <c r="A818" s="37"/>
      <c r="B818" s="37"/>
      <c r="C818" s="37"/>
      <c r="D818" s="43"/>
      <c r="E818" s="44"/>
      <c r="F818" s="45"/>
      <c r="G818" s="45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2.75" customHeight="1" x14ac:dyDescent="0.3">
      <c r="A819" s="37"/>
      <c r="B819" s="37"/>
      <c r="C819" s="37"/>
      <c r="D819" s="43"/>
      <c r="E819" s="44"/>
      <c r="F819" s="45"/>
      <c r="G819" s="45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2.75" customHeight="1" x14ac:dyDescent="0.3">
      <c r="A820" s="37"/>
      <c r="B820" s="37"/>
      <c r="C820" s="37"/>
      <c r="D820" s="43"/>
      <c r="E820" s="44"/>
      <c r="F820" s="45"/>
      <c r="G820" s="45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2.75" customHeight="1" x14ac:dyDescent="0.3">
      <c r="A821" s="37"/>
      <c r="B821" s="37"/>
      <c r="C821" s="37"/>
      <c r="D821" s="43"/>
      <c r="E821" s="44"/>
      <c r="F821" s="45"/>
      <c r="G821" s="45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2.75" customHeight="1" x14ac:dyDescent="0.3">
      <c r="A822" s="37"/>
      <c r="B822" s="37"/>
      <c r="C822" s="37"/>
      <c r="D822" s="43"/>
      <c r="E822" s="44"/>
      <c r="F822" s="45"/>
      <c r="G822" s="45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2.75" customHeight="1" x14ac:dyDescent="0.3">
      <c r="A823" s="37"/>
      <c r="B823" s="37"/>
      <c r="C823" s="37"/>
      <c r="D823" s="43"/>
      <c r="E823" s="44"/>
      <c r="F823" s="45"/>
      <c r="G823" s="45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2.75" customHeight="1" x14ac:dyDescent="0.3">
      <c r="A824" s="37"/>
      <c r="B824" s="37"/>
      <c r="C824" s="37"/>
      <c r="D824" s="43"/>
      <c r="E824" s="44"/>
      <c r="F824" s="45"/>
      <c r="G824" s="45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2.75" customHeight="1" x14ac:dyDescent="0.3">
      <c r="A825" s="37"/>
      <c r="B825" s="37"/>
      <c r="C825" s="37"/>
      <c r="D825" s="43"/>
      <c r="E825" s="44"/>
      <c r="F825" s="45"/>
      <c r="G825" s="45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2.75" customHeight="1" x14ac:dyDescent="0.3">
      <c r="A826" s="37"/>
      <c r="B826" s="37"/>
      <c r="C826" s="37"/>
      <c r="D826" s="43"/>
      <c r="E826" s="44"/>
      <c r="F826" s="45"/>
      <c r="G826" s="45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2.75" customHeight="1" x14ac:dyDescent="0.3">
      <c r="A827" s="37"/>
      <c r="B827" s="37"/>
      <c r="C827" s="37"/>
      <c r="D827" s="43"/>
      <c r="E827" s="44"/>
      <c r="F827" s="45"/>
      <c r="G827" s="45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2.75" customHeight="1" x14ac:dyDescent="0.3">
      <c r="A828" s="37"/>
      <c r="B828" s="37"/>
      <c r="C828" s="37"/>
      <c r="D828" s="43"/>
      <c r="E828" s="44"/>
      <c r="F828" s="45"/>
      <c r="G828" s="45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2.75" customHeight="1" x14ac:dyDescent="0.3">
      <c r="A829" s="37"/>
      <c r="B829" s="37"/>
      <c r="C829" s="37"/>
      <c r="D829" s="43"/>
      <c r="E829" s="44"/>
      <c r="F829" s="45"/>
      <c r="G829" s="45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2.75" customHeight="1" x14ac:dyDescent="0.3">
      <c r="A830" s="37"/>
      <c r="B830" s="37"/>
      <c r="C830" s="37"/>
      <c r="D830" s="43"/>
      <c r="E830" s="44"/>
      <c r="F830" s="45"/>
      <c r="G830" s="45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2.75" customHeight="1" x14ac:dyDescent="0.3">
      <c r="A831" s="37"/>
      <c r="B831" s="37"/>
      <c r="C831" s="37"/>
      <c r="D831" s="43"/>
      <c r="E831" s="44"/>
      <c r="F831" s="45"/>
      <c r="G831" s="45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2.75" customHeight="1" x14ac:dyDescent="0.3">
      <c r="A832" s="37"/>
      <c r="B832" s="37"/>
      <c r="C832" s="37"/>
      <c r="D832" s="43"/>
      <c r="E832" s="44"/>
      <c r="F832" s="45"/>
      <c r="G832" s="45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2.75" customHeight="1" x14ac:dyDescent="0.3">
      <c r="A833" s="37"/>
      <c r="B833" s="37"/>
      <c r="C833" s="37"/>
      <c r="D833" s="43"/>
      <c r="E833" s="44"/>
      <c r="F833" s="45"/>
      <c r="G833" s="45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2.75" customHeight="1" x14ac:dyDescent="0.3">
      <c r="A834" s="37"/>
      <c r="B834" s="37"/>
      <c r="C834" s="37"/>
      <c r="D834" s="43"/>
      <c r="E834" s="44"/>
      <c r="F834" s="45"/>
      <c r="G834" s="45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2.75" customHeight="1" x14ac:dyDescent="0.3">
      <c r="A835" s="37"/>
      <c r="B835" s="37"/>
      <c r="C835" s="37"/>
      <c r="D835" s="43"/>
      <c r="E835" s="44"/>
      <c r="F835" s="45"/>
      <c r="G835" s="45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2.75" customHeight="1" x14ac:dyDescent="0.3">
      <c r="A836" s="37"/>
      <c r="B836" s="37"/>
      <c r="C836" s="37"/>
      <c r="D836" s="43"/>
      <c r="E836" s="44"/>
      <c r="F836" s="45"/>
      <c r="G836" s="45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2.75" customHeight="1" x14ac:dyDescent="0.3">
      <c r="A837" s="37"/>
      <c r="B837" s="37"/>
      <c r="C837" s="37"/>
      <c r="D837" s="43"/>
      <c r="E837" s="44"/>
      <c r="F837" s="45"/>
      <c r="G837" s="45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2.75" customHeight="1" x14ac:dyDescent="0.3">
      <c r="A838" s="37"/>
      <c r="B838" s="37"/>
      <c r="C838" s="37"/>
      <c r="D838" s="43"/>
      <c r="E838" s="44"/>
      <c r="F838" s="45"/>
      <c r="G838" s="45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2.75" customHeight="1" x14ac:dyDescent="0.3">
      <c r="A839" s="37"/>
      <c r="B839" s="37"/>
      <c r="C839" s="37"/>
      <c r="D839" s="43"/>
      <c r="E839" s="44"/>
      <c r="F839" s="45"/>
      <c r="G839" s="45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2.75" customHeight="1" x14ac:dyDescent="0.3">
      <c r="A840" s="37"/>
      <c r="B840" s="37"/>
      <c r="C840" s="37"/>
      <c r="D840" s="43"/>
      <c r="E840" s="44"/>
      <c r="F840" s="45"/>
      <c r="G840" s="45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2.75" customHeight="1" x14ac:dyDescent="0.3">
      <c r="A841" s="37"/>
      <c r="B841" s="37"/>
      <c r="C841" s="37"/>
      <c r="D841" s="43"/>
      <c r="E841" s="44"/>
      <c r="F841" s="45"/>
      <c r="G841" s="45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2.75" customHeight="1" x14ac:dyDescent="0.3">
      <c r="A842" s="37"/>
      <c r="B842" s="37"/>
      <c r="C842" s="37"/>
      <c r="D842" s="43"/>
      <c r="E842" s="44"/>
      <c r="F842" s="45"/>
      <c r="G842" s="45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2.75" customHeight="1" x14ac:dyDescent="0.3">
      <c r="A843" s="37"/>
      <c r="B843" s="37"/>
      <c r="C843" s="37"/>
      <c r="D843" s="43"/>
      <c r="E843" s="44"/>
      <c r="F843" s="45"/>
      <c r="G843" s="45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2.75" customHeight="1" x14ac:dyDescent="0.3">
      <c r="A844" s="37"/>
      <c r="B844" s="37"/>
      <c r="C844" s="37"/>
      <c r="D844" s="43"/>
      <c r="E844" s="44"/>
      <c r="F844" s="45"/>
      <c r="G844" s="45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2.75" customHeight="1" x14ac:dyDescent="0.3">
      <c r="A845" s="37"/>
      <c r="B845" s="37"/>
      <c r="C845" s="37"/>
      <c r="D845" s="43"/>
      <c r="E845" s="44"/>
      <c r="F845" s="45"/>
      <c r="G845" s="45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2.75" customHeight="1" x14ac:dyDescent="0.3">
      <c r="A846" s="37"/>
      <c r="B846" s="37"/>
      <c r="C846" s="37"/>
      <c r="D846" s="43"/>
      <c r="E846" s="44"/>
      <c r="F846" s="45"/>
      <c r="G846" s="45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2.75" customHeight="1" x14ac:dyDescent="0.3">
      <c r="A847" s="37"/>
      <c r="B847" s="37"/>
      <c r="C847" s="37"/>
      <c r="D847" s="43"/>
      <c r="E847" s="44"/>
      <c r="F847" s="45"/>
      <c r="G847" s="45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2.75" customHeight="1" x14ac:dyDescent="0.3">
      <c r="A848" s="37"/>
      <c r="B848" s="37"/>
      <c r="C848" s="37"/>
      <c r="D848" s="43"/>
      <c r="E848" s="44"/>
      <c r="F848" s="45"/>
      <c r="G848" s="45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2.75" customHeight="1" x14ac:dyDescent="0.3">
      <c r="A849" s="37"/>
      <c r="B849" s="37"/>
      <c r="C849" s="37"/>
      <c r="D849" s="43"/>
      <c r="E849" s="44"/>
      <c r="F849" s="45"/>
      <c r="G849" s="45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2.75" customHeight="1" x14ac:dyDescent="0.3">
      <c r="A850" s="37"/>
      <c r="B850" s="37"/>
      <c r="C850" s="37"/>
      <c r="D850" s="43"/>
      <c r="E850" s="44"/>
      <c r="F850" s="45"/>
      <c r="G850" s="45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2.75" customHeight="1" x14ac:dyDescent="0.3">
      <c r="A851" s="37"/>
      <c r="B851" s="37"/>
      <c r="C851" s="37"/>
      <c r="D851" s="43"/>
      <c r="E851" s="44"/>
      <c r="F851" s="45"/>
      <c r="G851" s="45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2.75" customHeight="1" x14ac:dyDescent="0.3">
      <c r="A852" s="37"/>
      <c r="B852" s="37"/>
      <c r="C852" s="37"/>
      <c r="D852" s="43"/>
      <c r="E852" s="44"/>
      <c r="F852" s="45"/>
      <c r="G852" s="45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2.75" customHeight="1" x14ac:dyDescent="0.3">
      <c r="A853" s="37"/>
      <c r="B853" s="37"/>
      <c r="C853" s="37"/>
      <c r="D853" s="43"/>
      <c r="E853" s="44"/>
      <c r="F853" s="45"/>
      <c r="G853" s="45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2.75" customHeight="1" x14ac:dyDescent="0.3">
      <c r="A854" s="37"/>
      <c r="B854" s="37"/>
      <c r="C854" s="37"/>
      <c r="D854" s="43"/>
      <c r="E854" s="44"/>
      <c r="F854" s="45"/>
      <c r="G854" s="45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2.75" customHeight="1" x14ac:dyDescent="0.3">
      <c r="A855" s="37"/>
      <c r="B855" s="37"/>
      <c r="C855" s="37"/>
      <c r="D855" s="43"/>
      <c r="E855" s="44"/>
      <c r="F855" s="45"/>
      <c r="G855" s="45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2.75" customHeight="1" x14ac:dyDescent="0.3">
      <c r="A856" s="37"/>
      <c r="B856" s="37"/>
      <c r="C856" s="37"/>
      <c r="D856" s="43"/>
      <c r="E856" s="44"/>
      <c r="F856" s="45"/>
      <c r="G856" s="45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2.75" customHeight="1" x14ac:dyDescent="0.3">
      <c r="A857" s="37"/>
      <c r="B857" s="37"/>
      <c r="C857" s="37"/>
      <c r="D857" s="43"/>
      <c r="E857" s="44"/>
      <c r="F857" s="45"/>
      <c r="G857" s="45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2.75" customHeight="1" x14ac:dyDescent="0.3">
      <c r="A858" s="37"/>
      <c r="B858" s="37"/>
      <c r="C858" s="37"/>
      <c r="D858" s="43"/>
      <c r="E858" s="44"/>
      <c r="F858" s="45"/>
      <c r="G858" s="45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2.75" customHeight="1" x14ac:dyDescent="0.3">
      <c r="A859" s="37"/>
      <c r="B859" s="37"/>
      <c r="C859" s="37"/>
      <c r="D859" s="43"/>
      <c r="E859" s="44"/>
      <c r="F859" s="45"/>
      <c r="G859" s="45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2.75" customHeight="1" x14ac:dyDescent="0.3">
      <c r="A860" s="37"/>
      <c r="B860" s="37"/>
      <c r="C860" s="37"/>
      <c r="D860" s="43"/>
      <c r="E860" s="44"/>
      <c r="F860" s="45"/>
      <c r="G860" s="45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2.75" customHeight="1" x14ac:dyDescent="0.3">
      <c r="A861" s="37"/>
      <c r="B861" s="37"/>
      <c r="C861" s="37"/>
      <c r="D861" s="43"/>
      <c r="E861" s="44"/>
      <c r="F861" s="45"/>
      <c r="G861" s="45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2.75" customHeight="1" x14ac:dyDescent="0.3">
      <c r="A862" s="37"/>
      <c r="B862" s="37"/>
      <c r="C862" s="37"/>
      <c r="D862" s="43"/>
      <c r="E862" s="44"/>
      <c r="F862" s="45"/>
      <c r="G862" s="45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2.75" customHeight="1" x14ac:dyDescent="0.3">
      <c r="A863" s="37"/>
      <c r="B863" s="37"/>
      <c r="C863" s="37"/>
      <c r="D863" s="43"/>
      <c r="E863" s="44"/>
      <c r="F863" s="45"/>
      <c r="G863" s="45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2.75" customHeight="1" x14ac:dyDescent="0.3">
      <c r="A864" s="37"/>
      <c r="B864" s="37"/>
      <c r="C864" s="37"/>
      <c r="D864" s="43"/>
      <c r="E864" s="44"/>
      <c r="F864" s="45"/>
      <c r="G864" s="45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2.75" customHeight="1" x14ac:dyDescent="0.3">
      <c r="A865" s="37"/>
      <c r="B865" s="37"/>
      <c r="C865" s="37"/>
      <c r="D865" s="43"/>
      <c r="E865" s="44"/>
      <c r="F865" s="45"/>
      <c r="G865" s="45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2.75" customHeight="1" x14ac:dyDescent="0.3">
      <c r="A866" s="37"/>
      <c r="B866" s="37"/>
      <c r="C866" s="37"/>
      <c r="D866" s="43"/>
      <c r="E866" s="44"/>
      <c r="F866" s="45"/>
      <c r="G866" s="45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2.75" customHeight="1" x14ac:dyDescent="0.3">
      <c r="A867" s="37"/>
      <c r="B867" s="37"/>
      <c r="C867" s="37"/>
      <c r="D867" s="43"/>
      <c r="E867" s="44"/>
      <c r="F867" s="45"/>
      <c r="G867" s="45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2.75" customHeight="1" x14ac:dyDescent="0.3">
      <c r="A868" s="37"/>
      <c r="B868" s="37"/>
      <c r="C868" s="37"/>
      <c r="D868" s="43"/>
      <c r="E868" s="44"/>
      <c r="F868" s="45"/>
      <c r="G868" s="45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2.75" customHeight="1" x14ac:dyDescent="0.3">
      <c r="A869" s="37"/>
      <c r="B869" s="37"/>
      <c r="C869" s="37"/>
      <c r="D869" s="43"/>
      <c r="E869" s="44"/>
      <c r="F869" s="45"/>
      <c r="G869" s="45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2.75" customHeight="1" x14ac:dyDescent="0.3">
      <c r="A870" s="37"/>
      <c r="B870" s="37"/>
      <c r="C870" s="37"/>
      <c r="D870" s="43"/>
      <c r="E870" s="44"/>
      <c r="F870" s="45"/>
      <c r="G870" s="45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2.75" customHeight="1" x14ac:dyDescent="0.3">
      <c r="A871" s="37"/>
      <c r="B871" s="37"/>
      <c r="C871" s="37"/>
      <c r="D871" s="43"/>
      <c r="E871" s="44"/>
      <c r="F871" s="45"/>
      <c r="G871" s="45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2.75" customHeight="1" x14ac:dyDescent="0.3">
      <c r="A872" s="37"/>
      <c r="B872" s="37"/>
      <c r="C872" s="37"/>
      <c r="D872" s="43"/>
      <c r="E872" s="44"/>
      <c r="F872" s="45"/>
      <c r="G872" s="45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2.75" customHeight="1" x14ac:dyDescent="0.3">
      <c r="A873" s="37"/>
      <c r="B873" s="37"/>
      <c r="C873" s="37"/>
      <c r="D873" s="43"/>
      <c r="E873" s="44"/>
      <c r="F873" s="45"/>
      <c r="G873" s="45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2.75" customHeight="1" x14ac:dyDescent="0.3">
      <c r="A874" s="37"/>
      <c r="B874" s="37"/>
      <c r="C874" s="37"/>
      <c r="D874" s="43"/>
      <c r="E874" s="44"/>
      <c r="F874" s="45"/>
      <c r="G874" s="45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2.75" customHeight="1" x14ac:dyDescent="0.3">
      <c r="A875" s="37"/>
      <c r="B875" s="37"/>
      <c r="C875" s="37"/>
      <c r="D875" s="43"/>
      <c r="E875" s="44"/>
      <c r="F875" s="45"/>
      <c r="G875" s="45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2.75" customHeight="1" x14ac:dyDescent="0.3">
      <c r="A876" s="37"/>
      <c r="B876" s="37"/>
      <c r="C876" s="37"/>
      <c r="D876" s="43"/>
      <c r="E876" s="44"/>
      <c r="F876" s="45"/>
      <c r="G876" s="45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2.75" customHeight="1" x14ac:dyDescent="0.3">
      <c r="A877" s="37"/>
      <c r="B877" s="37"/>
      <c r="C877" s="37"/>
      <c r="D877" s="43"/>
      <c r="E877" s="44"/>
      <c r="F877" s="45"/>
      <c r="G877" s="45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2.75" customHeight="1" x14ac:dyDescent="0.3">
      <c r="A878" s="37"/>
      <c r="B878" s="37"/>
      <c r="C878" s="37"/>
      <c r="D878" s="43"/>
      <c r="E878" s="44"/>
      <c r="F878" s="45"/>
      <c r="G878" s="45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2.75" customHeight="1" x14ac:dyDescent="0.3">
      <c r="A879" s="37"/>
      <c r="B879" s="37"/>
      <c r="C879" s="37"/>
      <c r="D879" s="43"/>
      <c r="E879" s="44"/>
      <c r="F879" s="45"/>
      <c r="G879" s="45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2.75" customHeight="1" x14ac:dyDescent="0.3">
      <c r="A880" s="37"/>
      <c r="B880" s="37"/>
      <c r="C880" s="37"/>
      <c r="D880" s="43"/>
      <c r="E880" s="44"/>
      <c r="F880" s="45"/>
      <c r="G880" s="45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2.75" customHeight="1" x14ac:dyDescent="0.3">
      <c r="A881" s="37"/>
      <c r="B881" s="37"/>
      <c r="C881" s="37"/>
      <c r="D881" s="43"/>
      <c r="E881" s="44"/>
      <c r="F881" s="45"/>
      <c r="G881" s="45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2.75" customHeight="1" x14ac:dyDescent="0.3">
      <c r="A882" s="37"/>
      <c r="B882" s="37"/>
      <c r="C882" s="37"/>
      <c r="D882" s="43"/>
      <c r="E882" s="44"/>
      <c r="F882" s="45"/>
      <c r="G882" s="45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2.75" customHeight="1" x14ac:dyDescent="0.3">
      <c r="A883" s="37"/>
      <c r="B883" s="37"/>
      <c r="C883" s="37"/>
      <c r="D883" s="43"/>
      <c r="E883" s="44"/>
      <c r="F883" s="45"/>
      <c r="G883" s="45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2.75" customHeight="1" x14ac:dyDescent="0.3">
      <c r="A884" s="37"/>
      <c r="B884" s="37"/>
      <c r="C884" s="37"/>
      <c r="D884" s="43"/>
      <c r="E884" s="44"/>
      <c r="F884" s="45"/>
      <c r="G884" s="45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2.75" customHeight="1" x14ac:dyDescent="0.3">
      <c r="A885" s="37"/>
      <c r="B885" s="37"/>
      <c r="C885" s="37"/>
      <c r="D885" s="43"/>
      <c r="E885" s="44"/>
      <c r="F885" s="45"/>
      <c r="G885" s="45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2.75" customHeight="1" x14ac:dyDescent="0.3">
      <c r="A886" s="37"/>
      <c r="B886" s="37"/>
      <c r="C886" s="37"/>
      <c r="D886" s="43"/>
      <c r="E886" s="44"/>
      <c r="F886" s="45"/>
      <c r="G886" s="45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2.75" customHeight="1" x14ac:dyDescent="0.3">
      <c r="A887" s="37"/>
      <c r="B887" s="37"/>
      <c r="C887" s="37"/>
      <c r="D887" s="43"/>
      <c r="E887" s="44"/>
      <c r="F887" s="45"/>
      <c r="G887" s="45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2.75" customHeight="1" x14ac:dyDescent="0.3">
      <c r="A888" s="37"/>
      <c r="B888" s="37"/>
      <c r="C888" s="37"/>
      <c r="D888" s="43"/>
      <c r="E888" s="44"/>
      <c r="F888" s="45"/>
      <c r="G888" s="45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2.75" customHeight="1" x14ac:dyDescent="0.3">
      <c r="A889" s="37"/>
      <c r="B889" s="37"/>
      <c r="C889" s="37"/>
      <c r="D889" s="43"/>
      <c r="E889" s="44"/>
      <c r="F889" s="45"/>
      <c r="G889" s="45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2.75" customHeight="1" x14ac:dyDescent="0.3">
      <c r="A890" s="37"/>
      <c r="B890" s="37"/>
      <c r="C890" s="37"/>
      <c r="D890" s="43"/>
      <c r="E890" s="44"/>
      <c r="F890" s="45"/>
      <c r="G890" s="45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2.75" customHeight="1" x14ac:dyDescent="0.3">
      <c r="A891" s="37"/>
      <c r="B891" s="37"/>
      <c r="C891" s="37"/>
      <c r="D891" s="43"/>
      <c r="E891" s="44"/>
      <c r="F891" s="45"/>
      <c r="G891" s="45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2.75" customHeight="1" x14ac:dyDescent="0.3">
      <c r="A892" s="37"/>
      <c r="B892" s="37"/>
      <c r="C892" s="37"/>
      <c r="D892" s="43"/>
      <c r="E892" s="44"/>
      <c r="F892" s="45"/>
      <c r="G892" s="45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2.75" customHeight="1" x14ac:dyDescent="0.3">
      <c r="A893" s="37"/>
      <c r="B893" s="37"/>
      <c r="C893" s="37"/>
      <c r="D893" s="43"/>
      <c r="E893" s="44"/>
      <c r="F893" s="45"/>
      <c r="G893" s="45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2.75" customHeight="1" x14ac:dyDescent="0.3">
      <c r="A894" s="37"/>
      <c r="B894" s="37"/>
      <c r="C894" s="37"/>
      <c r="D894" s="43"/>
      <c r="E894" s="44"/>
      <c r="F894" s="45"/>
      <c r="G894" s="45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2.75" customHeight="1" x14ac:dyDescent="0.3">
      <c r="A895" s="37"/>
      <c r="B895" s="37"/>
      <c r="C895" s="37"/>
      <c r="D895" s="43"/>
      <c r="E895" s="44"/>
      <c r="F895" s="45"/>
      <c r="G895" s="45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2.75" customHeight="1" x14ac:dyDescent="0.3">
      <c r="A896" s="37"/>
      <c r="B896" s="37"/>
      <c r="C896" s="37"/>
      <c r="D896" s="43"/>
      <c r="E896" s="44"/>
      <c r="F896" s="45"/>
      <c r="G896" s="45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2.75" customHeight="1" x14ac:dyDescent="0.3">
      <c r="A897" s="37"/>
      <c r="B897" s="37"/>
      <c r="C897" s="37"/>
      <c r="D897" s="43"/>
      <c r="E897" s="44"/>
      <c r="F897" s="45"/>
      <c r="G897" s="45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2.75" customHeight="1" x14ac:dyDescent="0.3">
      <c r="A898" s="37"/>
      <c r="B898" s="37"/>
      <c r="C898" s="37"/>
      <c r="D898" s="43"/>
      <c r="E898" s="44"/>
      <c r="F898" s="45"/>
      <c r="G898" s="45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2.75" customHeight="1" x14ac:dyDescent="0.3">
      <c r="A899" s="37"/>
      <c r="B899" s="37"/>
      <c r="C899" s="37"/>
      <c r="D899" s="43"/>
      <c r="E899" s="44"/>
      <c r="F899" s="45"/>
      <c r="G899" s="45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2.75" customHeight="1" x14ac:dyDescent="0.3">
      <c r="A900" s="37"/>
      <c r="B900" s="37"/>
      <c r="C900" s="37"/>
      <c r="D900" s="43"/>
      <c r="E900" s="44"/>
      <c r="F900" s="45"/>
      <c r="G900" s="45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2.75" customHeight="1" x14ac:dyDescent="0.3">
      <c r="A901" s="37"/>
      <c r="B901" s="37"/>
      <c r="C901" s="37"/>
      <c r="D901" s="43"/>
      <c r="E901" s="44"/>
      <c r="F901" s="45"/>
      <c r="G901" s="45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2.75" customHeight="1" x14ac:dyDescent="0.3">
      <c r="A902" s="37"/>
      <c r="B902" s="37"/>
      <c r="C902" s="37"/>
      <c r="D902" s="43"/>
      <c r="E902" s="44"/>
      <c r="F902" s="45"/>
      <c r="G902" s="45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2.75" customHeight="1" x14ac:dyDescent="0.3">
      <c r="A903" s="37"/>
      <c r="B903" s="37"/>
      <c r="C903" s="37"/>
      <c r="D903" s="43"/>
      <c r="E903" s="44"/>
      <c r="F903" s="45"/>
      <c r="G903" s="45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2.75" customHeight="1" x14ac:dyDescent="0.3">
      <c r="A904" s="37"/>
      <c r="B904" s="37"/>
      <c r="C904" s="37"/>
      <c r="D904" s="43"/>
      <c r="E904" s="44"/>
      <c r="F904" s="45"/>
      <c r="G904" s="45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2.75" customHeight="1" x14ac:dyDescent="0.3">
      <c r="A905" s="37"/>
      <c r="B905" s="37"/>
      <c r="C905" s="37"/>
      <c r="D905" s="43"/>
      <c r="E905" s="44"/>
      <c r="F905" s="45"/>
      <c r="G905" s="45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2.75" customHeight="1" x14ac:dyDescent="0.3">
      <c r="A906" s="37"/>
      <c r="B906" s="37"/>
      <c r="C906" s="37"/>
      <c r="D906" s="43"/>
      <c r="E906" s="44"/>
      <c r="F906" s="45"/>
      <c r="G906" s="45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2.75" customHeight="1" x14ac:dyDescent="0.3">
      <c r="A907" s="37"/>
      <c r="B907" s="37"/>
      <c r="C907" s="37"/>
      <c r="D907" s="43"/>
      <c r="E907" s="44"/>
      <c r="F907" s="45"/>
      <c r="G907" s="45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2.75" customHeight="1" x14ac:dyDescent="0.3">
      <c r="A908" s="37"/>
      <c r="B908" s="37"/>
      <c r="C908" s="37"/>
      <c r="D908" s="43"/>
      <c r="E908" s="44"/>
      <c r="F908" s="45"/>
      <c r="G908" s="45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2.75" customHeight="1" x14ac:dyDescent="0.3">
      <c r="A909" s="37"/>
      <c r="B909" s="37"/>
      <c r="C909" s="37"/>
      <c r="D909" s="43"/>
      <c r="E909" s="44"/>
      <c r="F909" s="45"/>
      <c r="G909" s="45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2.75" customHeight="1" x14ac:dyDescent="0.3">
      <c r="A910" s="37"/>
      <c r="B910" s="37"/>
      <c r="C910" s="37"/>
      <c r="D910" s="43"/>
      <c r="E910" s="44"/>
      <c r="F910" s="45"/>
      <c r="G910" s="45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2.75" customHeight="1" x14ac:dyDescent="0.3">
      <c r="A911" s="37"/>
      <c r="B911" s="37"/>
      <c r="C911" s="37"/>
      <c r="D911" s="43"/>
      <c r="E911" s="44"/>
      <c r="F911" s="45"/>
      <c r="G911" s="45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2.75" customHeight="1" x14ac:dyDescent="0.3">
      <c r="A912" s="37"/>
      <c r="B912" s="37"/>
      <c r="C912" s="37"/>
      <c r="D912" s="43"/>
      <c r="E912" s="44"/>
      <c r="F912" s="45"/>
      <c r="G912" s="45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2.75" customHeight="1" x14ac:dyDescent="0.3">
      <c r="A913" s="37"/>
      <c r="B913" s="37"/>
      <c r="C913" s="37"/>
      <c r="D913" s="43"/>
      <c r="E913" s="44"/>
      <c r="F913" s="45"/>
      <c r="G913" s="45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2.75" customHeight="1" x14ac:dyDescent="0.3">
      <c r="A914" s="37"/>
      <c r="B914" s="37"/>
      <c r="C914" s="37"/>
      <c r="D914" s="43"/>
      <c r="E914" s="44"/>
      <c r="F914" s="45"/>
      <c r="G914" s="45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2.75" customHeight="1" x14ac:dyDescent="0.3">
      <c r="A915" s="37"/>
      <c r="B915" s="37"/>
      <c r="C915" s="37"/>
      <c r="D915" s="43"/>
      <c r="E915" s="44"/>
      <c r="F915" s="45"/>
      <c r="G915" s="45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2.75" customHeight="1" x14ac:dyDescent="0.3">
      <c r="A916" s="37"/>
      <c r="B916" s="37"/>
      <c r="C916" s="37"/>
      <c r="D916" s="43"/>
      <c r="E916" s="44"/>
      <c r="F916" s="45"/>
      <c r="G916" s="45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2.75" customHeight="1" x14ac:dyDescent="0.3">
      <c r="A917" s="37"/>
      <c r="B917" s="37"/>
      <c r="C917" s="37"/>
      <c r="D917" s="43"/>
      <c r="E917" s="44"/>
      <c r="F917" s="45"/>
      <c r="G917" s="45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2.75" customHeight="1" x14ac:dyDescent="0.3">
      <c r="A918" s="37"/>
      <c r="B918" s="37"/>
      <c r="C918" s="37"/>
      <c r="D918" s="43"/>
      <c r="E918" s="44"/>
      <c r="F918" s="45"/>
      <c r="G918" s="45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2.75" customHeight="1" x14ac:dyDescent="0.3">
      <c r="A919" s="37"/>
      <c r="B919" s="37"/>
      <c r="C919" s="37"/>
      <c r="D919" s="43"/>
      <c r="E919" s="44"/>
      <c r="F919" s="45"/>
      <c r="G919" s="45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2.75" customHeight="1" x14ac:dyDescent="0.3">
      <c r="A920" s="37"/>
      <c r="B920" s="37"/>
      <c r="C920" s="37"/>
      <c r="D920" s="43"/>
      <c r="E920" s="44"/>
      <c r="F920" s="45"/>
      <c r="G920" s="45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2.75" customHeight="1" x14ac:dyDescent="0.3">
      <c r="A921" s="37"/>
      <c r="B921" s="37"/>
      <c r="C921" s="37"/>
      <c r="D921" s="43"/>
      <c r="E921" s="44"/>
      <c r="F921" s="45"/>
      <c r="G921" s="45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2.75" customHeight="1" x14ac:dyDescent="0.3">
      <c r="A922" s="37"/>
      <c r="B922" s="37"/>
      <c r="C922" s="37"/>
      <c r="D922" s="43"/>
      <c r="E922" s="44"/>
      <c r="F922" s="45"/>
      <c r="G922" s="45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2.75" customHeight="1" x14ac:dyDescent="0.3">
      <c r="A923" s="37"/>
      <c r="B923" s="37"/>
      <c r="C923" s="37"/>
      <c r="D923" s="43"/>
      <c r="E923" s="44"/>
      <c r="F923" s="45"/>
      <c r="G923" s="45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2.75" customHeight="1" x14ac:dyDescent="0.3">
      <c r="A924" s="37"/>
      <c r="B924" s="37"/>
      <c r="C924" s="37"/>
      <c r="D924" s="43"/>
      <c r="E924" s="44"/>
      <c r="F924" s="45"/>
      <c r="G924" s="45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2.75" customHeight="1" x14ac:dyDescent="0.3">
      <c r="A925" s="37"/>
      <c r="B925" s="37"/>
      <c r="C925" s="37"/>
      <c r="D925" s="43"/>
      <c r="E925" s="44"/>
      <c r="F925" s="45"/>
      <c r="G925" s="45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2.75" customHeight="1" x14ac:dyDescent="0.3">
      <c r="A926" s="37"/>
      <c r="B926" s="37"/>
      <c r="C926" s="37"/>
      <c r="D926" s="43"/>
      <c r="E926" s="44"/>
      <c r="F926" s="45"/>
      <c r="G926" s="45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2.75" customHeight="1" x14ac:dyDescent="0.3">
      <c r="A927" s="37"/>
      <c r="B927" s="37"/>
      <c r="C927" s="37"/>
      <c r="D927" s="43"/>
      <c r="E927" s="44"/>
      <c r="F927" s="45"/>
      <c r="G927" s="45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2.75" customHeight="1" x14ac:dyDescent="0.3">
      <c r="A928" s="37"/>
      <c r="B928" s="37"/>
      <c r="C928" s="37"/>
      <c r="D928" s="43"/>
      <c r="E928" s="44"/>
      <c r="F928" s="45"/>
      <c r="G928" s="45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2.75" customHeight="1" x14ac:dyDescent="0.3">
      <c r="A929" s="37"/>
      <c r="B929" s="37"/>
      <c r="C929" s="37"/>
      <c r="D929" s="43"/>
      <c r="E929" s="44"/>
      <c r="F929" s="45"/>
      <c r="G929" s="45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2.75" customHeight="1" x14ac:dyDescent="0.3">
      <c r="A930" s="37"/>
      <c r="B930" s="37"/>
      <c r="C930" s="37"/>
      <c r="D930" s="43"/>
      <c r="E930" s="44"/>
      <c r="F930" s="45"/>
      <c r="G930" s="45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2.75" customHeight="1" x14ac:dyDescent="0.3">
      <c r="A931" s="37"/>
      <c r="B931" s="37"/>
      <c r="C931" s="37"/>
      <c r="D931" s="43"/>
      <c r="E931" s="44"/>
      <c r="F931" s="45"/>
      <c r="G931" s="45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2.75" customHeight="1" x14ac:dyDescent="0.3">
      <c r="A932" s="37"/>
      <c r="B932" s="37"/>
      <c r="C932" s="37"/>
      <c r="D932" s="43"/>
      <c r="E932" s="44"/>
      <c r="F932" s="45"/>
      <c r="G932" s="45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2.75" customHeight="1" x14ac:dyDescent="0.3">
      <c r="A933" s="37"/>
      <c r="B933" s="37"/>
      <c r="C933" s="37"/>
      <c r="D933" s="43"/>
      <c r="E933" s="44"/>
      <c r="F933" s="45"/>
      <c r="G933" s="45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2.75" customHeight="1" x14ac:dyDescent="0.3">
      <c r="A934" s="37"/>
      <c r="B934" s="37"/>
      <c r="C934" s="37"/>
      <c r="D934" s="43"/>
      <c r="E934" s="44"/>
      <c r="F934" s="45"/>
      <c r="G934" s="45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2.75" customHeight="1" x14ac:dyDescent="0.3">
      <c r="A935" s="37"/>
      <c r="B935" s="37"/>
      <c r="C935" s="37"/>
      <c r="D935" s="43"/>
      <c r="E935" s="44"/>
      <c r="F935" s="45"/>
      <c r="G935" s="45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2.75" customHeight="1" x14ac:dyDescent="0.3">
      <c r="A936" s="37"/>
      <c r="B936" s="37"/>
      <c r="C936" s="37"/>
      <c r="D936" s="43"/>
      <c r="E936" s="44"/>
      <c r="F936" s="45"/>
      <c r="G936" s="45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2.75" customHeight="1" x14ac:dyDescent="0.3">
      <c r="A937" s="37"/>
      <c r="B937" s="37"/>
      <c r="C937" s="37"/>
      <c r="D937" s="43"/>
      <c r="E937" s="44"/>
      <c r="F937" s="45"/>
      <c r="G937" s="45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2.75" customHeight="1" x14ac:dyDescent="0.3">
      <c r="A938" s="37"/>
      <c r="B938" s="37"/>
      <c r="C938" s="37"/>
      <c r="D938" s="43"/>
      <c r="E938" s="44"/>
      <c r="F938" s="45"/>
      <c r="G938" s="45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2.75" customHeight="1" x14ac:dyDescent="0.3">
      <c r="A939" s="37"/>
      <c r="B939" s="37"/>
      <c r="C939" s="37"/>
      <c r="D939" s="43"/>
      <c r="E939" s="44"/>
      <c r="F939" s="45"/>
      <c r="G939" s="45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2.75" customHeight="1" x14ac:dyDescent="0.3">
      <c r="A940" s="37"/>
      <c r="B940" s="37"/>
      <c r="C940" s="37"/>
      <c r="D940" s="43"/>
      <c r="E940" s="44"/>
      <c r="F940" s="45"/>
      <c r="G940" s="45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2.75" customHeight="1" x14ac:dyDescent="0.3">
      <c r="A941" s="37"/>
      <c r="B941" s="37"/>
      <c r="C941" s="37"/>
      <c r="D941" s="43"/>
      <c r="E941" s="44"/>
      <c r="F941" s="45"/>
      <c r="G941" s="45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2.75" customHeight="1" x14ac:dyDescent="0.3">
      <c r="A942" s="37"/>
      <c r="B942" s="37"/>
      <c r="C942" s="37"/>
      <c r="D942" s="43"/>
      <c r="E942" s="44"/>
      <c r="F942" s="45"/>
      <c r="G942" s="45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2.75" customHeight="1" x14ac:dyDescent="0.3">
      <c r="A943" s="37"/>
      <c r="B943" s="37"/>
      <c r="C943" s="37"/>
      <c r="D943" s="43"/>
      <c r="E943" s="44"/>
      <c r="F943" s="45"/>
      <c r="G943" s="45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2.75" customHeight="1" x14ac:dyDescent="0.3">
      <c r="A944" s="37"/>
      <c r="B944" s="37"/>
      <c r="C944" s="37"/>
      <c r="D944" s="43"/>
      <c r="E944" s="44"/>
      <c r="F944" s="45"/>
      <c r="G944" s="45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2.75" customHeight="1" x14ac:dyDescent="0.3">
      <c r="A945" s="37"/>
      <c r="B945" s="37"/>
      <c r="C945" s="37"/>
      <c r="D945" s="43"/>
      <c r="E945" s="44"/>
      <c r="F945" s="45"/>
      <c r="G945" s="45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2.75" customHeight="1" x14ac:dyDescent="0.3">
      <c r="A946" s="37"/>
      <c r="B946" s="37"/>
      <c r="C946" s="37"/>
      <c r="D946" s="43"/>
      <c r="E946" s="44"/>
      <c r="F946" s="45"/>
      <c r="G946" s="45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2.75" customHeight="1" x14ac:dyDescent="0.3">
      <c r="A947" s="37"/>
      <c r="B947" s="37"/>
      <c r="C947" s="37"/>
      <c r="D947" s="43"/>
      <c r="E947" s="44"/>
      <c r="F947" s="45"/>
      <c r="G947" s="45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2.75" customHeight="1" x14ac:dyDescent="0.3">
      <c r="A948" s="37"/>
      <c r="B948" s="37"/>
      <c r="C948" s="37"/>
      <c r="D948" s="43"/>
      <c r="E948" s="44"/>
      <c r="F948" s="45"/>
      <c r="G948" s="45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2.75" customHeight="1" x14ac:dyDescent="0.3">
      <c r="A949" s="37"/>
      <c r="B949" s="37"/>
      <c r="C949" s="37"/>
      <c r="D949" s="43"/>
      <c r="E949" s="44"/>
      <c r="F949" s="45"/>
      <c r="G949" s="45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2.75" customHeight="1" x14ac:dyDescent="0.3">
      <c r="A950" s="37"/>
      <c r="B950" s="37"/>
      <c r="C950" s="37"/>
      <c r="D950" s="43"/>
      <c r="E950" s="44"/>
      <c r="F950" s="45"/>
      <c r="G950" s="45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2.75" customHeight="1" x14ac:dyDescent="0.3">
      <c r="A951" s="37"/>
      <c r="B951" s="37"/>
      <c r="C951" s="37"/>
      <c r="D951" s="43"/>
      <c r="E951" s="44"/>
      <c r="F951" s="45"/>
      <c r="G951" s="45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2.75" customHeight="1" x14ac:dyDescent="0.3">
      <c r="A952" s="37"/>
      <c r="B952" s="37"/>
      <c r="C952" s="37"/>
      <c r="D952" s="43"/>
      <c r="E952" s="44"/>
      <c r="F952" s="45"/>
      <c r="G952" s="45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2.75" customHeight="1" x14ac:dyDescent="0.3">
      <c r="A953" s="37"/>
      <c r="B953" s="37"/>
      <c r="C953" s="37"/>
      <c r="D953" s="43"/>
      <c r="E953" s="44"/>
      <c r="F953" s="45"/>
      <c r="G953" s="45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2.75" customHeight="1" x14ac:dyDescent="0.3">
      <c r="A954" s="37"/>
      <c r="B954" s="37"/>
      <c r="C954" s="37"/>
      <c r="D954" s="43"/>
      <c r="E954" s="44"/>
      <c r="F954" s="45"/>
      <c r="G954" s="45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2.75" customHeight="1" x14ac:dyDescent="0.3">
      <c r="A955" s="37"/>
      <c r="B955" s="37"/>
      <c r="C955" s="37"/>
      <c r="D955" s="43"/>
      <c r="E955" s="44"/>
      <c r="F955" s="45"/>
      <c r="G955" s="45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2.75" customHeight="1" x14ac:dyDescent="0.3">
      <c r="A956" s="37"/>
      <c r="B956" s="37"/>
      <c r="C956" s="37"/>
      <c r="D956" s="43"/>
      <c r="E956" s="44"/>
      <c r="F956" s="45"/>
      <c r="G956" s="45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2.75" customHeight="1" x14ac:dyDescent="0.3">
      <c r="A957" s="37"/>
      <c r="B957" s="37"/>
      <c r="C957" s="37"/>
      <c r="D957" s="43"/>
      <c r="E957" s="44"/>
      <c r="F957" s="45"/>
      <c r="G957" s="45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2.75" customHeight="1" x14ac:dyDescent="0.3">
      <c r="A958" s="37"/>
      <c r="B958" s="37"/>
      <c r="C958" s="37"/>
      <c r="D958" s="43"/>
      <c r="E958" s="44"/>
      <c r="F958" s="45"/>
      <c r="G958" s="45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2.75" customHeight="1" x14ac:dyDescent="0.3">
      <c r="A959" s="37"/>
      <c r="B959" s="37"/>
      <c r="C959" s="37"/>
      <c r="D959" s="43"/>
      <c r="E959" s="44"/>
      <c r="F959" s="45"/>
      <c r="G959" s="45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2.75" customHeight="1" x14ac:dyDescent="0.3">
      <c r="A960" s="37"/>
      <c r="B960" s="37"/>
      <c r="C960" s="37"/>
      <c r="D960" s="43"/>
      <c r="E960" s="44"/>
      <c r="F960" s="45"/>
      <c r="G960" s="45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2.75" customHeight="1" x14ac:dyDescent="0.3">
      <c r="A961" s="37"/>
      <c r="B961" s="37"/>
      <c r="C961" s="37"/>
      <c r="D961" s="43"/>
      <c r="E961" s="44"/>
      <c r="F961" s="45"/>
      <c r="G961" s="45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2.75" customHeight="1" x14ac:dyDescent="0.3">
      <c r="A962" s="37"/>
      <c r="B962" s="37"/>
      <c r="C962" s="37"/>
      <c r="D962" s="43"/>
      <c r="E962" s="44"/>
      <c r="F962" s="45"/>
      <c r="G962" s="45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2.75" customHeight="1" x14ac:dyDescent="0.3">
      <c r="A963" s="37"/>
      <c r="B963" s="37"/>
      <c r="C963" s="37"/>
      <c r="D963" s="43"/>
      <c r="E963" s="44"/>
      <c r="F963" s="45"/>
      <c r="G963" s="45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2.75" customHeight="1" x14ac:dyDescent="0.3">
      <c r="A964" s="37"/>
      <c r="B964" s="37"/>
      <c r="C964" s="37"/>
      <c r="D964" s="43"/>
      <c r="E964" s="44"/>
      <c r="F964" s="45"/>
      <c r="G964" s="45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2.75" customHeight="1" x14ac:dyDescent="0.3">
      <c r="A965" s="37"/>
      <c r="B965" s="37"/>
      <c r="C965" s="37"/>
      <c r="D965" s="43"/>
      <c r="E965" s="44"/>
      <c r="F965" s="45"/>
      <c r="G965" s="45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2.75" customHeight="1" x14ac:dyDescent="0.3">
      <c r="A966" s="37"/>
      <c r="B966" s="37"/>
      <c r="C966" s="37"/>
      <c r="D966" s="43"/>
      <c r="E966" s="44"/>
      <c r="F966" s="45"/>
      <c r="G966" s="45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2.75" customHeight="1" x14ac:dyDescent="0.3">
      <c r="A967" s="37"/>
      <c r="B967" s="37"/>
      <c r="C967" s="37"/>
      <c r="D967" s="43"/>
      <c r="E967" s="44"/>
      <c r="F967" s="45"/>
      <c r="G967" s="45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2.75" customHeight="1" x14ac:dyDescent="0.3">
      <c r="A968" s="37"/>
      <c r="B968" s="37"/>
      <c r="C968" s="37"/>
      <c r="D968" s="43"/>
      <c r="E968" s="44"/>
      <c r="F968" s="45"/>
      <c r="G968" s="45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2.75" customHeight="1" x14ac:dyDescent="0.3">
      <c r="A969" s="37"/>
      <c r="B969" s="37"/>
      <c r="C969" s="37"/>
      <c r="D969" s="43"/>
      <c r="E969" s="44"/>
      <c r="F969" s="45"/>
      <c r="G969" s="45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2.75" customHeight="1" x14ac:dyDescent="0.3">
      <c r="A970" s="37"/>
      <c r="B970" s="37"/>
      <c r="C970" s="37"/>
      <c r="D970" s="43"/>
      <c r="E970" s="44"/>
      <c r="F970" s="45"/>
      <c r="G970" s="45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2.75" customHeight="1" x14ac:dyDescent="0.3">
      <c r="A971" s="37"/>
      <c r="B971" s="37"/>
      <c r="C971" s="37"/>
      <c r="D971" s="43"/>
      <c r="E971" s="44"/>
      <c r="F971" s="45"/>
      <c r="G971" s="45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2.75" customHeight="1" x14ac:dyDescent="0.3">
      <c r="A972" s="37"/>
      <c r="B972" s="37"/>
      <c r="C972" s="37"/>
      <c r="D972" s="43"/>
      <c r="E972" s="44"/>
      <c r="F972" s="45"/>
      <c r="G972" s="45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2.75" customHeight="1" x14ac:dyDescent="0.3">
      <c r="A973" s="37"/>
      <c r="B973" s="37"/>
      <c r="C973" s="37"/>
      <c r="D973" s="43"/>
      <c r="E973" s="44"/>
      <c r="F973" s="45"/>
      <c r="G973" s="45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2.75" customHeight="1" x14ac:dyDescent="0.3">
      <c r="A974" s="37"/>
      <c r="B974" s="37"/>
      <c r="C974" s="37"/>
      <c r="D974" s="43"/>
      <c r="E974" s="44"/>
      <c r="F974" s="45"/>
      <c r="G974" s="45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2.75" customHeight="1" x14ac:dyDescent="0.3">
      <c r="A975" s="37"/>
      <c r="B975" s="37"/>
      <c r="C975" s="37"/>
      <c r="D975" s="43"/>
      <c r="E975" s="44"/>
      <c r="F975" s="45"/>
      <c r="G975" s="45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2.75" customHeight="1" x14ac:dyDescent="0.3">
      <c r="A976" s="37"/>
      <c r="B976" s="37"/>
      <c r="C976" s="37"/>
      <c r="D976" s="43"/>
      <c r="E976" s="44"/>
      <c r="F976" s="45"/>
      <c r="G976" s="45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2.75" customHeight="1" x14ac:dyDescent="0.3">
      <c r="A977" s="37"/>
      <c r="B977" s="37"/>
      <c r="C977" s="37"/>
      <c r="D977" s="43"/>
      <c r="E977" s="44"/>
      <c r="F977" s="45"/>
      <c r="G977" s="45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2.75" customHeight="1" x14ac:dyDescent="0.3">
      <c r="A978" s="37"/>
      <c r="B978" s="37"/>
      <c r="C978" s="37"/>
      <c r="D978" s="43"/>
      <c r="E978" s="44"/>
      <c r="F978" s="45"/>
      <c r="G978" s="45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2.75" customHeight="1" x14ac:dyDescent="0.3">
      <c r="A979" s="37"/>
      <c r="B979" s="37"/>
      <c r="C979" s="37"/>
      <c r="D979" s="43"/>
      <c r="E979" s="44"/>
      <c r="F979" s="45"/>
      <c r="G979" s="45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2.75" customHeight="1" x14ac:dyDescent="0.3">
      <c r="A980" s="37"/>
      <c r="B980" s="37"/>
      <c r="C980" s="37"/>
      <c r="D980" s="43"/>
      <c r="E980" s="44"/>
      <c r="F980" s="45"/>
      <c r="G980" s="45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2.75" customHeight="1" x14ac:dyDescent="0.3">
      <c r="A981" s="37"/>
      <c r="B981" s="37"/>
      <c r="C981" s="37"/>
      <c r="D981" s="43"/>
      <c r="E981" s="44"/>
      <c r="F981" s="45"/>
      <c r="G981" s="45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2.75" customHeight="1" x14ac:dyDescent="0.3">
      <c r="A982" s="37"/>
      <c r="B982" s="37"/>
      <c r="C982" s="37"/>
      <c r="D982" s="43"/>
      <c r="E982" s="44"/>
      <c r="F982" s="45"/>
      <c r="G982" s="45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2.75" customHeight="1" x14ac:dyDescent="0.3">
      <c r="A983" s="37"/>
      <c r="B983" s="37"/>
      <c r="C983" s="37"/>
      <c r="D983" s="43"/>
      <c r="E983" s="44"/>
      <c r="F983" s="45"/>
      <c r="G983" s="45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2.75" customHeight="1" x14ac:dyDescent="0.3">
      <c r="A984" s="37"/>
      <c r="B984" s="37"/>
      <c r="C984" s="37"/>
      <c r="D984" s="43"/>
      <c r="E984" s="44"/>
      <c r="F984" s="45"/>
      <c r="G984" s="45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2.75" customHeight="1" x14ac:dyDescent="0.3">
      <c r="A985" s="37"/>
      <c r="B985" s="37"/>
      <c r="C985" s="37"/>
      <c r="D985" s="43"/>
      <c r="E985" s="44"/>
      <c r="F985" s="45"/>
      <c r="G985" s="45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</sheetData>
  <pageMargins left="0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workbookViewId="0">
      <selection activeCell="J2" sqref="J2:J15"/>
    </sheetView>
  </sheetViews>
  <sheetFormatPr defaultColWidth="14.44140625" defaultRowHeight="15" customHeight="1" x14ac:dyDescent="0.3"/>
  <cols>
    <col min="1" max="1" width="13.33203125" customWidth="1"/>
    <col min="2" max="2" width="14.44140625" customWidth="1"/>
    <col min="3" max="3" width="91.88671875" customWidth="1"/>
    <col min="4" max="4" width="5.44140625" customWidth="1"/>
    <col min="5" max="5" width="10.44140625" customWidth="1"/>
    <col min="6" max="6" width="12.109375" customWidth="1"/>
    <col min="7" max="8" width="8" customWidth="1"/>
    <col min="9" max="9" width="9.109375" customWidth="1"/>
    <col min="10" max="10" width="8.6640625" customWidth="1"/>
    <col min="11" max="11" width="9.33203125" customWidth="1"/>
    <col min="12" max="12" width="8" customWidth="1"/>
    <col min="13" max="26" width="8.6640625" customWidth="1"/>
  </cols>
  <sheetData>
    <row r="1" spans="1:26" ht="14.4" x14ac:dyDescent="0.3">
      <c r="A1" s="55" t="s">
        <v>0</v>
      </c>
      <c r="B1" s="1" t="s">
        <v>803</v>
      </c>
      <c r="C1" s="1" t="s">
        <v>2</v>
      </c>
      <c r="D1" s="1" t="s">
        <v>3</v>
      </c>
      <c r="E1" s="14" t="s">
        <v>4</v>
      </c>
      <c r="F1" s="56" t="s">
        <v>162</v>
      </c>
      <c r="G1" s="57" t="s">
        <v>1816</v>
      </c>
      <c r="H1" s="3" t="s">
        <v>7</v>
      </c>
      <c r="I1" s="3"/>
      <c r="J1" s="3" t="s">
        <v>8</v>
      </c>
      <c r="K1" s="2" t="s">
        <v>9</v>
      </c>
      <c r="L1" s="3" t="s">
        <v>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4" x14ac:dyDescent="0.3">
      <c r="A2" s="4"/>
      <c r="B2" s="4" t="s">
        <v>1817</v>
      </c>
      <c r="C2" s="4" t="s">
        <v>1818</v>
      </c>
      <c r="D2" s="4"/>
      <c r="E2" s="16">
        <v>110</v>
      </c>
      <c r="F2" s="16">
        <v>81.91</v>
      </c>
      <c r="G2" s="4"/>
      <c r="H2" s="7">
        <f t="shared" ref="H2:H4" si="0">1-(F2/E2)</f>
        <v>0.25536363636363635</v>
      </c>
      <c r="I2" s="7"/>
      <c r="J2" s="58">
        <v>0.22</v>
      </c>
      <c r="K2" s="6">
        <f t="shared" ref="K2:K4" si="1">E2*(1-J2)</f>
        <v>85.8</v>
      </c>
      <c r="L2" s="7">
        <f t="shared" ref="L2:L4" si="2">1-(F2/K2)</f>
        <v>4.5337995337995318E-2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 x14ac:dyDescent="0.3">
      <c r="A3" s="4"/>
      <c r="B3" s="4" t="s">
        <v>1819</v>
      </c>
      <c r="C3" s="59" t="s">
        <v>1820</v>
      </c>
      <c r="D3" s="4"/>
      <c r="E3" s="16">
        <v>77</v>
      </c>
      <c r="F3" s="16">
        <v>57.34</v>
      </c>
      <c r="G3" s="4"/>
      <c r="H3" s="7">
        <f t="shared" si="0"/>
        <v>0.25532467532467529</v>
      </c>
      <c r="I3" s="4"/>
      <c r="J3" s="58">
        <v>0.22</v>
      </c>
      <c r="K3" s="6">
        <f t="shared" si="1"/>
        <v>60.06</v>
      </c>
      <c r="L3" s="7">
        <f t="shared" si="2"/>
        <v>4.5288045288045309E-2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4" x14ac:dyDescent="0.3">
      <c r="A4" s="4"/>
      <c r="B4" s="4" t="s">
        <v>1821</v>
      </c>
      <c r="C4" s="4" t="s">
        <v>1822</v>
      </c>
      <c r="D4" s="4"/>
      <c r="E4" s="16">
        <v>62</v>
      </c>
      <c r="F4" s="16">
        <v>46.17</v>
      </c>
      <c r="G4" s="4"/>
      <c r="H4" s="7">
        <f t="shared" si="0"/>
        <v>0.25532258064516122</v>
      </c>
      <c r="I4" s="4"/>
      <c r="J4" s="58">
        <v>0.22</v>
      </c>
      <c r="K4" s="6">
        <f t="shared" si="1"/>
        <v>48.36</v>
      </c>
      <c r="L4" s="7">
        <f t="shared" si="2"/>
        <v>4.5285359801488734E-2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4" x14ac:dyDescent="0.3">
      <c r="A5" s="4"/>
      <c r="B5" s="4" t="s">
        <v>1823</v>
      </c>
      <c r="C5" s="4" t="s">
        <v>1824</v>
      </c>
      <c r="D5" s="4"/>
      <c r="E5" s="16">
        <v>1053</v>
      </c>
      <c r="F5" s="16">
        <v>582.51</v>
      </c>
      <c r="G5" s="4"/>
      <c r="H5" s="7">
        <f t="shared" ref="H5:H12" si="3">1-(F5/E5)</f>
        <v>0.44680911680911684</v>
      </c>
      <c r="I5" s="4"/>
      <c r="J5" s="58">
        <v>0.4</v>
      </c>
      <c r="K5" s="6">
        <f t="shared" ref="K5:K12" si="4">E5*(1-J5)</f>
        <v>631.79999999999995</v>
      </c>
      <c r="L5" s="7">
        <f t="shared" ref="L5:L12" si="5">1-(F5/K5)</f>
        <v>7.8015194681861244E-2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4"/>
      <c r="B6" s="4" t="s">
        <v>1825</v>
      </c>
      <c r="C6" s="4" t="s">
        <v>1826</v>
      </c>
      <c r="D6" s="4"/>
      <c r="E6" s="16">
        <v>1323</v>
      </c>
      <c r="F6" s="16">
        <v>731.87</v>
      </c>
      <c r="G6" s="4"/>
      <c r="H6" s="7">
        <f t="shared" si="3"/>
        <v>0.44681027966742248</v>
      </c>
      <c r="I6" s="4"/>
      <c r="J6" s="58">
        <v>0.4</v>
      </c>
      <c r="K6" s="6">
        <f t="shared" si="4"/>
        <v>793.8</v>
      </c>
      <c r="L6" s="7">
        <f t="shared" si="5"/>
        <v>7.8017132779037435E-2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4" x14ac:dyDescent="0.3">
      <c r="A7" s="4"/>
      <c r="B7" s="4" t="s">
        <v>1827</v>
      </c>
      <c r="C7" s="4" t="s">
        <v>1828</v>
      </c>
      <c r="D7" s="4"/>
      <c r="E7" s="16">
        <v>1323</v>
      </c>
      <c r="F7" s="16">
        <v>731.87</v>
      </c>
      <c r="G7" s="4"/>
      <c r="H7" s="7">
        <f t="shared" si="3"/>
        <v>0.44681027966742248</v>
      </c>
      <c r="I7" s="4"/>
      <c r="J7" s="58">
        <v>0.4</v>
      </c>
      <c r="K7" s="6">
        <f t="shared" si="4"/>
        <v>793.8</v>
      </c>
      <c r="L7" s="7">
        <f t="shared" si="5"/>
        <v>7.8017132779037435E-2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4" x14ac:dyDescent="0.3">
      <c r="A8" s="4"/>
      <c r="B8" s="4" t="s">
        <v>1829</v>
      </c>
      <c r="C8" s="4" t="s">
        <v>1830</v>
      </c>
      <c r="D8" s="4"/>
      <c r="E8" s="16">
        <v>1839</v>
      </c>
      <c r="F8" s="16">
        <v>1017.32</v>
      </c>
      <c r="G8" s="4"/>
      <c r="H8" s="7">
        <f t="shared" si="3"/>
        <v>0.44680804785209349</v>
      </c>
      <c r="I8" s="4"/>
      <c r="J8" s="58">
        <v>0.4</v>
      </c>
      <c r="K8" s="6">
        <f t="shared" si="4"/>
        <v>1103.3999999999999</v>
      </c>
      <c r="L8" s="7">
        <f t="shared" si="5"/>
        <v>7.8013413086822414E-2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 x14ac:dyDescent="0.3">
      <c r="A9" s="4"/>
      <c r="B9" s="4" t="s">
        <v>1831</v>
      </c>
      <c r="C9" s="4" t="s">
        <v>1832</v>
      </c>
      <c r="D9" s="4"/>
      <c r="E9" s="16">
        <v>1839</v>
      </c>
      <c r="F9" s="16">
        <v>1017.32</v>
      </c>
      <c r="G9" s="4"/>
      <c r="H9" s="7">
        <f t="shared" si="3"/>
        <v>0.44680804785209349</v>
      </c>
      <c r="I9" s="4"/>
      <c r="J9" s="58">
        <v>0.4</v>
      </c>
      <c r="K9" s="6">
        <f t="shared" si="4"/>
        <v>1103.3999999999999</v>
      </c>
      <c r="L9" s="7">
        <f t="shared" si="5"/>
        <v>7.8013413086822414E-2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3">
      <c r="A10" s="4"/>
      <c r="B10" s="4" t="s">
        <v>1833</v>
      </c>
      <c r="C10" s="4" t="s">
        <v>1834</v>
      </c>
      <c r="D10" s="4"/>
      <c r="E10" s="16">
        <v>2365</v>
      </c>
      <c r="F10" s="16">
        <v>1308.3</v>
      </c>
      <c r="G10" s="4"/>
      <c r="H10" s="7">
        <f t="shared" si="3"/>
        <v>0.44680761099365751</v>
      </c>
      <c r="I10" s="4"/>
      <c r="J10" s="58">
        <v>0.4</v>
      </c>
      <c r="K10" s="6">
        <f t="shared" si="4"/>
        <v>1419</v>
      </c>
      <c r="L10" s="7">
        <f t="shared" si="5"/>
        <v>7.801268498942926E-2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 x14ac:dyDescent="0.3">
      <c r="A11" s="4"/>
      <c r="B11" s="4" t="s">
        <v>1835</v>
      </c>
      <c r="C11" s="59" t="s">
        <v>1836</v>
      </c>
      <c r="D11" s="4"/>
      <c r="E11" s="16">
        <v>3861</v>
      </c>
      <c r="F11" s="16">
        <v>2135.87</v>
      </c>
      <c r="G11" s="4"/>
      <c r="H11" s="7">
        <f t="shared" si="3"/>
        <v>0.44680911680911684</v>
      </c>
      <c r="I11" s="4"/>
      <c r="J11" s="58">
        <v>0.4</v>
      </c>
      <c r="K11" s="6">
        <f t="shared" si="4"/>
        <v>2316.6</v>
      </c>
      <c r="L11" s="7">
        <f t="shared" si="5"/>
        <v>7.8015194681861355E-2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4"/>
      <c r="B12" s="4" t="s">
        <v>1837</v>
      </c>
      <c r="C12" s="4" t="s">
        <v>1838</v>
      </c>
      <c r="D12" s="4"/>
      <c r="E12" s="16">
        <v>3861</v>
      </c>
      <c r="F12" s="16">
        <v>2135.87</v>
      </c>
      <c r="G12" s="4"/>
      <c r="H12" s="7">
        <f t="shared" si="3"/>
        <v>0.44680911680911684</v>
      </c>
      <c r="I12" s="4"/>
      <c r="J12" s="58">
        <v>0.4</v>
      </c>
      <c r="K12" s="6">
        <f t="shared" si="4"/>
        <v>2316.6</v>
      </c>
      <c r="L12" s="7">
        <f t="shared" si="5"/>
        <v>7.8015194681861355E-2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3">
      <c r="A13" s="4"/>
      <c r="B13" s="4" t="s">
        <v>1839</v>
      </c>
      <c r="C13" s="60" t="s">
        <v>1840</v>
      </c>
      <c r="D13" s="4"/>
      <c r="E13" s="16">
        <v>596</v>
      </c>
      <c r="F13" s="16">
        <v>317.02</v>
      </c>
      <c r="G13" s="4"/>
      <c r="H13" s="7">
        <f t="shared" ref="H13:H15" si="6">1-(F13/E13)</f>
        <v>0.46808724832214765</v>
      </c>
      <c r="I13" s="4"/>
      <c r="J13" s="58">
        <v>0.42</v>
      </c>
      <c r="K13" s="6">
        <f t="shared" ref="K13:K15" si="7">E13*(1-J13)</f>
        <v>345.68000000000006</v>
      </c>
      <c r="L13" s="7">
        <f t="shared" ref="L13:L15" si="8">1-(F13/K13)</f>
        <v>8.2909048831289245E-2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3">
      <c r="A14" s="4"/>
      <c r="B14" s="4" t="s">
        <v>1841</v>
      </c>
      <c r="C14" s="60" t="s">
        <v>1842</v>
      </c>
      <c r="D14" s="4"/>
      <c r="E14" s="16">
        <v>529</v>
      </c>
      <c r="F14" s="16">
        <v>281.38</v>
      </c>
      <c r="G14" s="4"/>
      <c r="H14" s="7">
        <f t="shared" si="6"/>
        <v>0.46809073724007566</v>
      </c>
      <c r="I14" s="4"/>
      <c r="J14" s="58">
        <v>0.42</v>
      </c>
      <c r="K14" s="6">
        <f t="shared" si="7"/>
        <v>306.82000000000005</v>
      </c>
      <c r="L14" s="7">
        <f t="shared" si="8"/>
        <v>8.29150642070271E-2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4"/>
      <c r="B15" s="4" t="s">
        <v>1843</v>
      </c>
      <c r="C15" s="60" t="s">
        <v>1842</v>
      </c>
      <c r="D15" s="4"/>
      <c r="E15" s="16">
        <v>694</v>
      </c>
      <c r="F15" s="16">
        <v>369</v>
      </c>
      <c r="G15" s="4"/>
      <c r="H15" s="7">
        <f t="shared" si="6"/>
        <v>0.46829971181556196</v>
      </c>
      <c r="I15" s="4"/>
      <c r="J15" s="58">
        <v>0.22</v>
      </c>
      <c r="K15" s="6">
        <f t="shared" si="7"/>
        <v>541.32000000000005</v>
      </c>
      <c r="L15" s="7">
        <f t="shared" si="8"/>
        <v>0.3183329638661051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3">
      <c r="A16" s="61"/>
      <c r="B16" s="61"/>
      <c r="C16" s="61"/>
      <c r="D16" s="61"/>
      <c r="E16" s="62"/>
      <c r="F16" s="62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4.4" x14ac:dyDescent="0.3">
      <c r="A17" s="61"/>
      <c r="B17" s="61"/>
      <c r="C17" s="61"/>
      <c r="D17" s="61"/>
      <c r="E17" s="62"/>
      <c r="F17" s="62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4.4" x14ac:dyDescent="0.3">
      <c r="A18" s="61"/>
      <c r="B18" s="61"/>
      <c r="C18" s="61"/>
      <c r="D18" s="61"/>
      <c r="E18" s="62"/>
      <c r="F18" s="62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5.75" customHeight="1" x14ac:dyDescent="0.3">
      <c r="A19" s="61"/>
      <c r="B19" s="61"/>
      <c r="C19" s="61"/>
      <c r="D19" s="61"/>
      <c r="E19" s="62"/>
      <c r="F19" s="62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5.75" customHeight="1" x14ac:dyDescent="0.3">
      <c r="A20" s="61"/>
      <c r="B20" s="61"/>
      <c r="C20" s="61"/>
      <c r="D20" s="61"/>
      <c r="E20" s="62"/>
      <c r="F20" s="62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5.75" customHeight="1" x14ac:dyDescent="0.3">
      <c r="A21" s="61"/>
      <c r="B21" s="61"/>
      <c r="C21" s="61"/>
      <c r="D21" s="61"/>
      <c r="E21" s="62"/>
      <c r="F21" s="62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5.75" customHeight="1" x14ac:dyDescent="0.3">
      <c r="A22" s="61"/>
      <c r="B22" s="61"/>
      <c r="C22" s="61"/>
      <c r="D22" s="61"/>
      <c r="E22" s="62"/>
      <c r="F22" s="62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5.75" customHeight="1" x14ac:dyDescent="0.3">
      <c r="A23" s="61"/>
      <c r="B23" s="61"/>
      <c r="C23" s="61"/>
      <c r="D23" s="61"/>
      <c r="E23" s="62"/>
      <c r="F23" s="62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5.75" customHeight="1" x14ac:dyDescent="0.3">
      <c r="A24" s="61"/>
      <c r="B24" s="61"/>
      <c r="C24" s="61"/>
      <c r="D24" s="61"/>
      <c r="E24" s="62"/>
      <c r="F24" s="62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5.75" customHeight="1" x14ac:dyDescent="0.3">
      <c r="A25" s="61"/>
      <c r="B25" s="61"/>
      <c r="C25" s="61"/>
      <c r="D25" s="61"/>
      <c r="E25" s="62"/>
      <c r="F25" s="62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5.75" customHeight="1" x14ac:dyDescent="0.3">
      <c r="A26" s="61"/>
      <c r="B26" s="61"/>
      <c r="C26" s="61"/>
      <c r="D26" s="61"/>
      <c r="E26" s="62"/>
      <c r="F26" s="62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5.75" customHeight="1" x14ac:dyDescent="0.3">
      <c r="A27" s="61"/>
      <c r="B27" s="61"/>
      <c r="C27" s="61"/>
      <c r="D27" s="61"/>
      <c r="E27" s="62"/>
      <c r="F27" s="62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5.75" customHeight="1" x14ac:dyDescent="0.3">
      <c r="A28" s="61"/>
      <c r="B28" s="61"/>
      <c r="C28" s="61"/>
      <c r="D28" s="61"/>
      <c r="E28" s="62"/>
      <c r="F28" s="62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5.75" customHeight="1" x14ac:dyDescent="0.3">
      <c r="A29" s="61"/>
      <c r="B29" s="61"/>
      <c r="C29" s="61"/>
      <c r="D29" s="61"/>
      <c r="E29" s="62"/>
      <c r="F29" s="62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5.75" customHeight="1" x14ac:dyDescent="0.3">
      <c r="A30" s="61"/>
      <c r="B30" s="61"/>
      <c r="C30" s="61"/>
      <c r="D30" s="61"/>
      <c r="E30" s="62"/>
      <c r="F30" s="6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5.75" customHeight="1" x14ac:dyDescent="0.3">
      <c r="A31" s="61"/>
      <c r="B31" s="61"/>
      <c r="C31" s="61"/>
      <c r="D31" s="61"/>
      <c r="E31" s="62"/>
      <c r="F31" s="6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5.75" customHeight="1" x14ac:dyDescent="0.3">
      <c r="A32" s="61"/>
      <c r="B32" s="61"/>
      <c r="C32" s="61"/>
      <c r="D32" s="61"/>
      <c r="E32" s="62"/>
      <c r="F32" s="62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ht="15.75" customHeight="1" x14ac:dyDescent="0.3">
      <c r="A33" s="61"/>
      <c r="B33" s="61"/>
      <c r="C33" s="61"/>
      <c r="D33" s="61"/>
      <c r="E33" s="62"/>
      <c r="F33" s="62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 ht="15.75" customHeight="1" x14ac:dyDescent="0.3">
      <c r="A34" s="61"/>
      <c r="B34" s="61"/>
      <c r="C34" s="61"/>
      <c r="D34" s="61"/>
      <c r="E34" s="62"/>
      <c r="F34" s="62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 ht="15.75" customHeight="1" x14ac:dyDescent="0.3">
      <c r="A35" s="61"/>
      <c r="B35" s="61"/>
      <c r="C35" s="61"/>
      <c r="D35" s="61"/>
      <c r="E35" s="62"/>
      <c r="F35" s="62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 ht="15.75" customHeight="1" x14ac:dyDescent="0.3">
      <c r="A36" s="61"/>
      <c r="B36" s="61"/>
      <c r="C36" s="61"/>
      <c r="D36" s="61"/>
      <c r="E36" s="62"/>
      <c r="F36" s="62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 ht="15.75" customHeight="1" x14ac:dyDescent="0.3">
      <c r="A37" s="61"/>
      <c r="B37" s="61"/>
      <c r="C37" s="61"/>
      <c r="D37" s="61"/>
      <c r="E37" s="62"/>
      <c r="F37" s="62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 ht="15.75" customHeight="1" x14ac:dyDescent="0.3">
      <c r="A38" s="61"/>
      <c r="B38" s="61"/>
      <c r="C38" s="61"/>
      <c r="D38" s="61"/>
      <c r="E38" s="62"/>
      <c r="F38" s="62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 ht="15.75" customHeight="1" x14ac:dyDescent="0.3">
      <c r="A39" s="61"/>
      <c r="B39" s="61"/>
      <c r="C39" s="61"/>
      <c r="D39" s="61"/>
      <c r="E39" s="62"/>
      <c r="F39" s="62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 ht="15.75" customHeight="1" x14ac:dyDescent="0.3">
      <c r="A40" s="61"/>
      <c r="B40" s="61"/>
      <c r="C40" s="61"/>
      <c r="D40" s="61"/>
      <c r="E40" s="62"/>
      <c r="F40" s="62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 ht="15.75" customHeight="1" x14ac:dyDescent="0.3">
      <c r="A41" s="61"/>
      <c r="B41" s="61"/>
      <c r="C41" s="61"/>
      <c r="D41" s="61"/>
      <c r="E41" s="62"/>
      <c r="F41" s="62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 ht="15.75" customHeight="1" x14ac:dyDescent="0.3">
      <c r="A42" s="61"/>
      <c r="B42" s="61"/>
      <c r="C42" s="61"/>
      <c r="D42" s="61"/>
      <c r="E42" s="62"/>
      <c r="F42" s="62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 ht="15.75" customHeight="1" x14ac:dyDescent="0.3">
      <c r="A43" s="61"/>
      <c r="B43" s="61"/>
      <c r="C43" s="61"/>
      <c r="D43" s="61"/>
      <c r="E43" s="62"/>
      <c r="F43" s="62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ht="15.75" customHeight="1" x14ac:dyDescent="0.3">
      <c r="A44" s="61"/>
      <c r="B44" s="61"/>
      <c r="C44" s="61"/>
      <c r="D44" s="61"/>
      <c r="E44" s="62"/>
      <c r="F44" s="62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5.75" customHeight="1" x14ac:dyDescent="0.3">
      <c r="A45" s="61"/>
      <c r="B45" s="61"/>
      <c r="C45" s="61"/>
      <c r="D45" s="61"/>
      <c r="E45" s="62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 ht="15.75" customHeight="1" x14ac:dyDescent="0.3">
      <c r="A46" s="61"/>
      <c r="B46" s="61"/>
      <c r="C46" s="61"/>
      <c r="D46" s="61"/>
      <c r="E46" s="62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 ht="15.75" customHeight="1" x14ac:dyDescent="0.3">
      <c r="A47" s="61"/>
      <c r="B47" s="61"/>
      <c r="C47" s="61"/>
      <c r="D47" s="61"/>
      <c r="E47" s="62"/>
      <c r="F47" s="62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 ht="15.75" customHeight="1" x14ac:dyDescent="0.3">
      <c r="A48" s="61"/>
      <c r="B48" s="61"/>
      <c r="C48" s="61"/>
      <c r="D48" s="61"/>
      <c r="E48" s="62"/>
      <c r="F48" s="62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 ht="15.75" customHeight="1" x14ac:dyDescent="0.3">
      <c r="A49" s="61"/>
      <c r="B49" s="61"/>
      <c r="C49" s="61"/>
      <c r="D49" s="61"/>
      <c r="E49" s="62"/>
      <c r="F49" s="62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 ht="15.75" customHeight="1" x14ac:dyDescent="0.3">
      <c r="A50" s="61"/>
      <c r="B50" s="61"/>
      <c r="C50" s="61"/>
      <c r="D50" s="61"/>
      <c r="E50" s="62"/>
      <c r="F50" s="62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 ht="15.75" customHeight="1" x14ac:dyDescent="0.3">
      <c r="A51" s="61"/>
      <c r="B51" s="61"/>
      <c r="C51" s="61"/>
      <c r="D51" s="61"/>
      <c r="E51" s="62"/>
      <c r="F51" s="62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 ht="15.75" customHeight="1" x14ac:dyDescent="0.3">
      <c r="A52" s="61"/>
      <c r="B52" s="61"/>
      <c r="C52" s="61"/>
      <c r="D52" s="61"/>
      <c r="E52" s="62"/>
      <c r="F52" s="62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 ht="15.75" customHeight="1" x14ac:dyDescent="0.3">
      <c r="A53" s="61"/>
      <c r="B53" s="61"/>
      <c r="C53" s="61"/>
      <c r="D53" s="61"/>
      <c r="E53" s="62"/>
      <c r="F53" s="62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 ht="15.75" customHeight="1" x14ac:dyDescent="0.3">
      <c r="A54" s="61"/>
      <c r="B54" s="61"/>
      <c r="C54" s="61"/>
      <c r="D54" s="61"/>
      <c r="E54" s="62"/>
      <c r="F54" s="62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 ht="15.75" customHeight="1" x14ac:dyDescent="0.3">
      <c r="A55" s="61"/>
      <c r="B55" s="61"/>
      <c r="C55" s="61"/>
      <c r="D55" s="61"/>
      <c r="E55" s="62"/>
      <c r="F55" s="62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 ht="15.75" customHeight="1" x14ac:dyDescent="0.3">
      <c r="A56" s="61"/>
      <c r="B56" s="61"/>
      <c r="C56" s="61"/>
      <c r="D56" s="61"/>
      <c r="E56" s="62"/>
      <c r="F56" s="62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 ht="15.75" customHeight="1" x14ac:dyDescent="0.3">
      <c r="A57" s="61"/>
      <c r="B57" s="61"/>
      <c r="C57" s="61"/>
      <c r="D57" s="61"/>
      <c r="E57" s="62"/>
      <c r="F57" s="62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 ht="15.75" customHeight="1" x14ac:dyDescent="0.3">
      <c r="A58" s="61"/>
      <c r="B58" s="61"/>
      <c r="C58" s="61"/>
      <c r="D58" s="61"/>
      <c r="E58" s="62"/>
      <c r="F58" s="62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 ht="15.75" customHeight="1" x14ac:dyDescent="0.3">
      <c r="A59" s="61"/>
      <c r="B59" s="61"/>
      <c r="C59" s="61"/>
      <c r="D59" s="61"/>
      <c r="E59" s="62"/>
      <c r="F59" s="62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5.75" customHeight="1" x14ac:dyDescent="0.3">
      <c r="A60" s="61"/>
      <c r="B60" s="61"/>
      <c r="C60" s="61"/>
      <c r="D60" s="61"/>
      <c r="E60" s="62"/>
      <c r="F60" s="62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 ht="15.75" customHeight="1" x14ac:dyDescent="0.3">
      <c r="A61" s="61"/>
      <c r="B61" s="61"/>
      <c r="C61" s="61"/>
      <c r="D61" s="61"/>
      <c r="E61" s="62"/>
      <c r="F61" s="62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 ht="15.75" customHeight="1" x14ac:dyDescent="0.3">
      <c r="A62" s="61"/>
      <c r="B62" s="61"/>
      <c r="C62" s="61"/>
      <c r="D62" s="61"/>
      <c r="E62" s="62"/>
      <c r="F62" s="62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 ht="15.75" customHeight="1" x14ac:dyDescent="0.3">
      <c r="A63" s="61"/>
      <c r="B63" s="61"/>
      <c r="C63" s="61"/>
      <c r="D63" s="61"/>
      <c r="E63" s="62"/>
      <c r="F63" s="62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 ht="15.75" customHeight="1" x14ac:dyDescent="0.3">
      <c r="A64" s="61"/>
      <c r="B64" s="61"/>
      <c r="C64" s="61"/>
      <c r="D64" s="61"/>
      <c r="E64" s="62"/>
      <c r="F64" s="62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 ht="15.75" customHeight="1" x14ac:dyDescent="0.3">
      <c r="A65" s="61"/>
      <c r="B65" s="61"/>
      <c r="C65" s="61"/>
      <c r="D65" s="61"/>
      <c r="E65" s="62"/>
      <c r="F65" s="62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 ht="15.75" customHeight="1" x14ac:dyDescent="0.3">
      <c r="A66" s="61"/>
      <c r="B66" s="61"/>
      <c r="C66" s="61"/>
      <c r="D66" s="61"/>
      <c r="E66" s="62"/>
      <c r="F66" s="62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 ht="15.75" customHeight="1" x14ac:dyDescent="0.3">
      <c r="A67" s="61"/>
      <c r="B67" s="61"/>
      <c r="C67" s="61"/>
      <c r="D67" s="61"/>
      <c r="E67" s="62"/>
      <c r="F67" s="62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 ht="15.75" customHeight="1" x14ac:dyDescent="0.3">
      <c r="A68" s="61"/>
      <c r="B68" s="61"/>
      <c r="C68" s="61"/>
      <c r="D68" s="61"/>
      <c r="E68" s="62"/>
      <c r="F68" s="62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 ht="15.75" customHeight="1" x14ac:dyDescent="0.3">
      <c r="A69" s="61"/>
      <c r="B69" s="61"/>
      <c r="C69" s="61"/>
      <c r="D69" s="61"/>
      <c r="E69" s="62"/>
      <c r="F69" s="62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 ht="15.75" customHeight="1" x14ac:dyDescent="0.3">
      <c r="A70" s="61"/>
      <c r="B70" s="61"/>
      <c r="C70" s="61"/>
      <c r="D70" s="61"/>
      <c r="E70" s="62"/>
      <c r="F70" s="62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 ht="15.75" customHeight="1" x14ac:dyDescent="0.3">
      <c r="A71" s="61"/>
      <c r="B71" s="61"/>
      <c r="C71" s="61"/>
      <c r="D71" s="61"/>
      <c r="E71" s="62"/>
      <c r="F71" s="62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 ht="15.75" customHeight="1" x14ac:dyDescent="0.3">
      <c r="A72" s="61"/>
      <c r="B72" s="61"/>
      <c r="C72" s="61"/>
      <c r="D72" s="61"/>
      <c r="E72" s="62"/>
      <c r="F72" s="62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 ht="15.75" customHeight="1" x14ac:dyDescent="0.3">
      <c r="A73" s="61"/>
      <c r="B73" s="61"/>
      <c r="C73" s="61"/>
      <c r="D73" s="61"/>
      <c r="E73" s="62"/>
      <c r="F73" s="62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 ht="15.75" customHeight="1" x14ac:dyDescent="0.3">
      <c r="A74" s="61"/>
      <c r="B74" s="61"/>
      <c r="C74" s="61"/>
      <c r="D74" s="61"/>
      <c r="E74" s="62"/>
      <c r="F74" s="62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 ht="15.75" customHeight="1" x14ac:dyDescent="0.3">
      <c r="A75" s="61"/>
      <c r="B75" s="61"/>
      <c r="C75" s="61"/>
      <c r="D75" s="61"/>
      <c r="E75" s="62"/>
      <c r="F75" s="62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 ht="15.75" customHeight="1" x14ac:dyDescent="0.3">
      <c r="A76" s="61"/>
      <c r="B76" s="61"/>
      <c r="C76" s="61"/>
      <c r="D76" s="61"/>
      <c r="E76" s="62"/>
      <c r="F76" s="62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 ht="15.75" customHeight="1" x14ac:dyDescent="0.3">
      <c r="A77" s="61"/>
      <c r="B77" s="61"/>
      <c r="C77" s="61"/>
      <c r="D77" s="61"/>
      <c r="E77" s="62"/>
      <c r="F77" s="62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 ht="15.75" customHeight="1" x14ac:dyDescent="0.3">
      <c r="A78" s="61"/>
      <c r="B78" s="61"/>
      <c r="C78" s="61"/>
      <c r="D78" s="61"/>
      <c r="E78" s="62"/>
      <c r="F78" s="62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 ht="15.75" customHeight="1" x14ac:dyDescent="0.3">
      <c r="A79" s="61"/>
      <c r="B79" s="61"/>
      <c r="C79" s="61"/>
      <c r="D79" s="61"/>
      <c r="E79" s="62"/>
      <c r="F79" s="62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 ht="15.75" customHeight="1" x14ac:dyDescent="0.3">
      <c r="A80" s="61"/>
      <c r="B80" s="61"/>
      <c r="C80" s="61"/>
      <c r="D80" s="61"/>
      <c r="E80" s="62"/>
      <c r="F80" s="62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 ht="15.75" customHeight="1" x14ac:dyDescent="0.3">
      <c r="A81" s="61"/>
      <c r="B81" s="61"/>
      <c r="C81" s="61"/>
      <c r="D81" s="61"/>
      <c r="E81" s="62"/>
      <c r="F81" s="62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 ht="15.75" customHeight="1" x14ac:dyDescent="0.3">
      <c r="A82" s="61"/>
      <c r="B82" s="61"/>
      <c r="C82" s="61"/>
      <c r="D82" s="61"/>
      <c r="E82" s="62"/>
      <c r="F82" s="62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 ht="15.75" customHeight="1" x14ac:dyDescent="0.3">
      <c r="A83" s="61"/>
      <c r="B83" s="61"/>
      <c r="C83" s="61"/>
      <c r="D83" s="61"/>
      <c r="E83" s="62"/>
      <c r="F83" s="62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 ht="15.75" customHeight="1" x14ac:dyDescent="0.3">
      <c r="A84" s="61"/>
      <c r="B84" s="61"/>
      <c r="C84" s="61"/>
      <c r="D84" s="61"/>
      <c r="E84" s="62"/>
      <c r="F84" s="62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 ht="15.75" customHeight="1" x14ac:dyDescent="0.3">
      <c r="A85" s="61"/>
      <c r="B85" s="61"/>
      <c r="C85" s="61"/>
      <c r="D85" s="61"/>
      <c r="E85" s="62"/>
      <c r="F85" s="62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 ht="15.75" customHeight="1" x14ac:dyDescent="0.3">
      <c r="A86" s="61"/>
      <c r="B86" s="61"/>
      <c r="C86" s="61"/>
      <c r="D86" s="61"/>
      <c r="E86" s="62"/>
      <c r="F86" s="62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 ht="15.75" customHeight="1" x14ac:dyDescent="0.3">
      <c r="A87" s="61"/>
      <c r="B87" s="61"/>
      <c r="C87" s="61"/>
      <c r="D87" s="61"/>
      <c r="E87" s="62"/>
      <c r="F87" s="62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 ht="15.75" customHeight="1" x14ac:dyDescent="0.3">
      <c r="A88" s="61"/>
      <c r="B88" s="61"/>
      <c r="C88" s="61"/>
      <c r="D88" s="61"/>
      <c r="E88" s="62"/>
      <c r="F88" s="62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 ht="15.75" customHeight="1" x14ac:dyDescent="0.3">
      <c r="A89" s="61"/>
      <c r="B89" s="61"/>
      <c r="C89" s="61"/>
      <c r="D89" s="61"/>
      <c r="E89" s="62"/>
      <c r="F89" s="62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 ht="15.75" customHeight="1" x14ac:dyDescent="0.3">
      <c r="A90" s="61"/>
      <c r="B90" s="61"/>
      <c r="C90" s="61"/>
      <c r="D90" s="61"/>
      <c r="E90" s="62"/>
      <c r="F90" s="62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 ht="15.75" customHeight="1" x14ac:dyDescent="0.3">
      <c r="A91" s="61"/>
      <c r="B91" s="61"/>
      <c r="C91" s="61"/>
      <c r="D91" s="61"/>
      <c r="E91" s="62"/>
      <c r="F91" s="62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 ht="15.75" customHeight="1" x14ac:dyDescent="0.3">
      <c r="A92" s="61"/>
      <c r="B92" s="61"/>
      <c r="C92" s="61"/>
      <c r="D92" s="61"/>
      <c r="E92" s="62"/>
      <c r="F92" s="62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 ht="15.75" customHeight="1" x14ac:dyDescent="0.3">
      <c r="A93" s="61"/>
      <c r="B93" s="61"/>
      <c r="C93" s="61"/>
      <c r="D93" s="61"/>
      <c r="E93" s="62"/>
      <c r="F93" s="62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 ht="15.75" customHeight="1" x14ac:dyDescent="0.3">
      <c r="A94" s="61"/>
      <c r="B94" s="61"/>
      <c r="C94" s="61"/>
      <c r="D94" s="61"/>
      <c r="E94" s="62"/>
      <c r="F94" s="62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 ht="15.75" customHeight="1" x14ac:dyDescent="0.3">
      <c r="A95" s="61"/>
      <c r="B95" s="61"/>
      <c r="C95" s="61"/>
      <c r="D95" s="61"/>
      <c r="E95" s="62"/>
      <c r="F95" s="62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 ht="15.75" customHeight="1" x14ac:dyDescent="0.3">
      <c r="A96" s="61"/>
      <c r="B96" s="61"/>
      <c r="C96" s="61"/>
      <c r="D96" s="61"/>
      <c r="E96" s="62"/>
      <c r="F96" s="62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5.75" customHeight="1" x14ac:dyDescent="0.3">
      <c r="A97" s="61"/>
      <c r="B97" s="61"/>
      <c r="C97" s="61"/>
      <c r="D97" s="61"/>
      <c r="E97" s="62"/>
      <c r="F97" s="62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 ht="15.75" customHeight="1" x14ac:dyDescent="0.3">
      <c r="A98" s="61"/>
      <c r="B98" s="61"/>
      <c r="C98" s="61"/>
      <c r="D98" s="61"/>
      <c r="E98" s="62"/>
      <c r="F98" s="62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 ht="15.75" customHeight="1" x14ac:dyDescent="0.3">
      <c r="A99" s="61"/>
      <c r="B99" s="61"/>
      <c r="C99" s="61"/>
      <c r="D99" s="61"/>
      <c r="E99" s="62"/>
      <c r="F99" s="62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spans="1:26" ht="15.75" customHeight="1" x14ac:dyDescent="0.3">
      <c r="A100" s="61"/>
      <c r="B100" s="61"/>
      <c r="C100" s="61"/>
      <c r="D100" s="61"/>
      <c r="E100" s="62"/>
      <c r="F100" s="62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 ht="15.75" customHeight="1" x14ac:dyDescent="0.3">
      <c r="A101" s="61"/>
      <c r="B101" s="61"/>
      <c r="C101" s="61"/>
      <c r="D101" s="61"/>
      <c r="E101" s="62"/>
      <c r="F101" s="62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spans="1:26" ht="15.75" customHeight="1" x14ac:dyDescent="0.3">
      <c r="A102" s="61"/>
      <c r="B102" s="61"/>
      <c r="C102" s="61"/>
      <c r="D102" s="61"/>
      <c r="E102" s="62"/>
      <c r="F102" s="62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spans="1:26" ht="15.75" customHeight="1" x14ac:dyDescent="0.3">
      <c r="A103" s="61"/>
      <c r="B103" s="61"/>
      <c r="C103" s="61"/>
      <c r="D103" s="61"/>
      <c r="E103" s="62"/>
      <c r="F103" s="62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spans="1:26" ht="15.75" customHeight="1" x14ac:dyDescent="0.3">
      <c r="A104" s="61"/>
      <c r="B104" s="61"/>
      <c r="C104" s="61"/>
      <c r="D104" s="61"/>
      <c r="E104" s="62"/>
      <c r="F104" s="62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spans="1:26" ht="15.75" customHeight="1" x14ac:dyDescent="0.3">
      <c r="A105" s="61"/>
      <c r="B105" s="61"/>
      <c r="C105" s="61"/>
      <c r="D105" s="61"/>
      <c r="E105" s="62"/>
      <c r="F105" s="62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spans="1:26" ht="15.75" customHeight="1" x14ac:dyDescent="0.3">
      <c r="A106" s="61"/>
      <c r="B106" s="61"/>
      <c r="C106" s="61"/>
      <c r="D106" s="61"/>
      <c r="E106" s="62"/>
      <c r="F106" s="62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spans="1:26" ht="15.75" customHeight="1" x14ac:dyDescent="0.3">
      <c r="A107" s="61"/>
      <c r="B107" s="61"/>
      <c r="C107" s="61"/>
      <c r="D107" s="61"/>
      <c r="E107" s="62"/>
      <c r="F107" s="62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spans="1:26" ht="15.75" customHeight="1" x14ac:dyDescent="0.3">
      <c r="A108" s="61"/>
      <c r="B108" s="61"/>
      <c r="C108" s="61"/>
      <c r="D108" s="61"/>
      <c r="E108" s="62"/>
      <c r="F108" s="62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5.75" customHeight="1" x14ac:dyDescent="0.3">
      <c r="A109" s="61"/>
      <c r="B109" s="61"/>
      <c r="C109" s="61"/>
      <c r="D109" s="61"/>
      <c r="E109" s="62"/>
      <c r="F109" s="62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spans="1:26" ht="15.75" customHeight="1" x14ac:dyDescent="0.3">
      <c r="A110" s="61"/>
      <c r="B110" s="61"/>
      <c r="C110" s="61"/>
      <c r="D110" s="61"/>
      <c r="E110" s="62"/>
      <c r="F110" s="62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spans="1:26" ht="15.75" customHeight="1" x14ac:dyDescent="0.3">
      <c r="A111" s="61"/>
      <c r="B111" s="61"/>
      <c r="C111" s="61"/>
      <c r="D111" s="61"/>
      <c r="E111" s="62"/>
      <c r="F111" s="62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spans="1:26" ht="15.75" customHeight="1" x14ac:dyDescent="0.3">
      <c r="A112" s="61"/>
      <c r="B112" s="61"/>
      <c r="C112" s="61"/>
      <c r="D112" s="61"/>
      <c r="E112" s="62"/>
      <c r="F112" s="62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spans="1:26" ht="15.75" customHeight="1" x14ac:dyDescent="0.3">
      <c r="A113" s="61"/>
      <c r="B113" s="61"/>
      <c r="C113" s="61"/>
      <c r="D113" s="61"/>
      <c r="E113" s="62"/>
      <c r="F113" s="62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spans="1:26" ht="15.75" customHeight="1" x14ac:dyDescent="0.3">
      <c r="A114" s="61"/>
      <c r="B114" s="61"/>
      <c r="C114" s="61"/>
      <c r="D114" s="61"/>
      <c r="E114" s="62"/>
      <c r="F114" s="62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spans="1:26" ht="15.75" customHeight="1" x14ac:dyDescent="0.3">
      <c r="A115" s="61"/>
      <c r="B115" s="61"/>
      <c r="C115" s="61"/>
      <c r="D115" s="61"/>
      <c r="E115" s="62"/>
      <c r="F115" s="62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spans="1:26" ht="15.75" customHeight="1" x14ac:dyDescent="0.3">
      <c r="A116" s="61"/>
      <c r="B116" s="61"/>
      <c r="C116" s="61"/>
      <c r="D116" s="61"/>
      <c r="E116" s="62"/>
      <c r="F116" s="62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spans="1:26" ht="15.75" customHeight="1" x14ac:dyDescent="0.3">
      <c r="A117" s="61"/>
      <c r="B117" s="61"/>
      <c r="C117" s="61"/>
      <c r="D117" s="61"/>
      <c r="E117" s="62"/>
      <c r="F117" s="62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spans="1:26" ht="15.75" customHeight="1" x14ac:dyDescent="0.3">
      <c r="A118" s="61"/>
      <c r="B118" s="61"/>
      <c r="C118" s="61"/>
      <c r="D118" s="61"/>
      <c r="E118" s="62"/>
      <c r="F118" s="62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spans="1:26" ht="15.75" customHeight="1" x14ac:dyDescent="0.3">
      <c r="A119" s="61"/>
      <c r="B119" s="61"/>
      <c r="C119" s="61"/>
      <c r="D119" s="61"/>
      <c r="E119" s="62"/>
      <c r="F119" s="62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spans="1:26" ht="15.75" customHeight="1" x14ac:dyDescent="0.3">
      <c r="A120" s="61"/>
      <c r="B120" s="61"/>
      <c r="C120" s="61"/>
      <c r="D120" s="61"/>
      <c r="E120" s="62"/>
      <c r="F120" s="62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spans="1:26" ht="15.75" customHeight="1" x14ac:dyDescent="0.3">
      <c r="A121" s="61"/>
      <c r="B121" s="61"/>
      <c r="C121" s="61"/>
      <c r="D121" s="61"/>
      <c r="E121" s="62"/>
      <c r="F121" s="62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spans="1:26" ht="15.75" customHeight="1" x14ac:dyDescent="0.3">
      <c r="A122" s="61"/>
      <c r="B122" s="61"/>
      <c r="C122" s="61"/>
      <c r="D122" s="61"/>
      <c r="E122" s="62"/>
      <c r="F122" s="62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spans="1:26" ht="15.75" customHeight="1" x14ac:dyDescent="0.3">
      <c r="A123" s="61"/>
      <c r="B123" s="61"/>
      <c r="C123" s="61"/>
      <c r="D123" s="61"/>
      <c r="E123" s="62"/>
      <c r="F123" s="62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spans="1:26" ht="15.75" customHeight="1" x14ac:dyDescent="0.3">
      <c r="A124" s="61"/>
      <c r="B124" s="61"/>
      <c r="C124" s="61"/>
      <c r="D124" s="61"/>
      <c r="E124" s="62"/>
      <c r="F124" s="62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spans="1:26" ht="15.75" customHeight="1" x14ac:dyDescent="0.3">
      <c r="A125" s="61"/>
      <c r="B125" s="61"/>
      <c r="C125" s="61"/>
      <c r="D125" s="61"/>
      <c r="E125" s="62"/>
      <c r="F125" s="62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spans="1:26" ht="15.75" customHeight="1" x14ac:dyDescent="0.3">
      <c r="A126" s="61"/>
      <c r="B126" s="61"/>
      <c r="C126" s="61"/>
      <c r="D126" s="61"/>
      <c r="E126" s="62"/>
      <c r="F126" s="62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spans="1:26" ht="15.75" customHeight="1" x14ac:dyDescent="0.3">
      <c r="A127" s="61"/>
      <c r="B127" s="61"/>
      <c r="C127" s="61"/>
      <c r="D127" s="61"/>
      <c r="E127" s="62"/>
      <c r="F127" s="62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spans="1:26" ht="15.75" customHeight="1" x14ac:dyDescent="0.3">
      <c r="A128" s="61"/>
      <c r="B128" s="61"/>
      <c r="C128" s="61"/>
      <c r="D128" s="61"/>
      <c r="E128" s="62"/>
      <c r="F128" s="62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spans="1:26" ht="15.75" customHeight="1" x14ac:dyDescent="0.3">
      <c r="A129" s="61"/>
      <c r="B129" s="61"/>
      <c r="C129" s="61"/>
      <c r="D129" s="61"/>
      <c r="E129" s="62"/>
      <c r="F129" s="62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spans="1:26" ht="15.75" customHeight="1" x14ac:dyDescent="0.3">
      <c r="A130" s="61"/>
      <c r="B130" s="61"/>
      <c r="C130" s="61"/>
      <c r="D130" s="61"/>
      <c r="E130" s="62"/>
      <c r="F130" s="62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spans="1:26" ht="15.75" customHeight="1" x14ac:dyDescent="0.3">
      <c r="A131" s="61"/>
      <c r="B131" s="61"/>
      <c r="C131" s="61"/>
      <c r="D131" s="61"/>
      <c r="E131" s="62"/>
      <c r="F131" s="62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spans="1:26" ht="15.75" customHeight="1" x14ac:dyDescent="0.3">
      <c r="A132" s="61"/>
      <c r="B132" s="61"/>
      <c r="C132" s="61"/>
      <c r="D132" s="61"/>
      <c r="E132" s="62"/>
      <c r="F132" s="62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spans="1:26" ht="15.75" customHeight="1" x14ac:dyDescent="0.3">
      <c r="A133" s="61"/>
      <c r="B133" s="61"/>
      <c r="C133" s="61"/>
      <c r="D133" s="61"/>
      <c r="E133" s="62"/>
      <c r="F133" s="62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spans="1:26" ht="15.75" customHeight="1" x14ac:dyDescent="0.3">
      <c r="A134" s="61"/>
      <c r="B134" s="61"/>
      <c r="C134" s="61"/>
      <c r="D134" s="61"/>
      <c r="E134" s="62"/>
      <c r="F134" s="62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spans="1:26" ht="15.75" customHeight="1" x14ac:dyDescent="0.3">
      <c r="A135" s="61"/>
      <c r="B135" s="61"/>
      <c r="C135" s="61"/>
      <c r="D135" s="61"/>
      <c r="E135" s="62"/>
      <c r="F135" s="62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spans="1:26" ht="15.75" customHeight="1" x14ac:dyDescent="0.3">
      <c r="A136" s="61"/>
      <c r="B136" s="61"/>
      <c r="C136" s="61"/>
      <c r="D136" s="61"/>
      <c r="E136" s="62"/>
      <c r="F136" s="62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spans="1:26" ht="15.75" customHeight="1" x14ac:dyDescent="0.3">
      <c r="A137" s="61"/>
      <c r="B137" s="61"/>
      <c r="C137" s="61"/>
      <c r="D137" s="61"/>
      <c r="E137" s="62"/>
      <c r="F137" s="62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spans="1:26" ht="15.75" customHeight="1" x14ac:dyDescent="0.3">
      <c r="A138" s="61"/>
      <c r="B138" s="61"/>
      <c r="C138" s="61"/>
      <c r="D138" s="61"/>
      <c r="E138" s="62"/>
      <c r="F138" s="62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spans="1:26" ht="15.75" customHeight="1" x14ac:dyDescent="0.3">
      <c r="A139" s="61"/>
      <c r="B139" s="61"/>
      <c r="C139" s="61"/>
      <c r="D139" s="61"/>
      <c r="E139" s="62"/>
      <c r="F139" s="62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spans="1:26" ht="15.75" customHeight="1" x14ac:dyDescent="0.3">
      <c r="A140" s="61"/>
      <c r="B140" s="61"/>
      <c r="C140" s="61"/>
      <c r="D140" s="61"/>
      <c r="E140" s="62"/>
      <c r="F140" s="62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5.75" customHeight="1" x14ac:dyDescent="0.3">
      <c r="A141" s="61"/>
      <c r="B141" s="61"/>
      <c r="C141" s="61"/>
      <c r="D141" s="61"/>
      <c r="E141" s="62"/>
      <c r="F141" s="62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spans="1:26" ht="15.75" customHeight="1" x14ac:dyDescent="0.3">
      <c r="A142" s="61"/>
      <c r="B142" s="61"/>
      <c r="C142" s="61"/>
      <c r="D142" s="61"/>
      <c r="E142" s="62"/>
      <c r="F142" s="62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26" ht="15.75" customHeight="1" x14ac:dyDescent="0.3">
      <c r="A143" s="61"/>
      <c r="B143" s="61"/>
      <c r="C143" s="61"/>
      <c r="D143" s="61"/>
      <c r="E143" s="62"/>
      <c r="F143" s="62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spans="1:26" ht="15.75" customHeight="1" x14ac:dyDescent="0.3">
      <c r="A144" s="61"/>
      <c r="B144" s="61"/>
      <c r="C144" s="61"/>
      <c r="D144" s="61"/>
      <c r="E144" s="62"/>
      <c r="F144" s="62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spans="1:26" ht="15.75" customHeight="1" x14ac:dyDescent="0.3">
      <c r="A145" s="61"/>
      <c r="B145" s="61"/>
      <c r="C145" s="61"/>
      <c r="D145" s="61"/>
      <c r="E145" s="62"/>
      <c r="F145" s="62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spans="1:26" ht="15.75" customHeight="1" x14ac:dyDescent="0.3">
      <c r="A146" s="61"/>
      <c r="B146" s="61"/>
      <c r="C146" s="61"/>
      <c r="D146" s="61"/>
      <c r="E146" s="62"/>
      <c r="F146" s="62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spans="1:26" ht="15.75" customHeight="1" x14ac:dyDescent="0.3">
      <c r="A147" s="61"/>
      <c r="B147" s="61"/>
      <c r="C147" s="61"/>
      <c r="D147" s="61"/>
      <c r="E147" s="62"/>
      <c r="F147" s="62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spans="1:26" ht="15.75" customHeight="1" x14ac:dyDescent="0.3">
      <c r="A148" s="61"/>
      <c r="B148" s="61"/>
      <c r="C148" s="61"/>
      <c r="D148" s="61"/>
      <c r="E148" s="62"/>
      <c r="F148" s="62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spans="1:26" ht="15.75" customHeight="1" x14ac:dyDescent="0.3">
      <c r="A149" s="61"/>
      <c r="B149" s="61"/>
      <c r="C149" s="61"/>
      <c r="D149" s="61"/>
      <c r="E149" s="62"/>
      <c r="F149" s="62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spans="1:26" ht="15.75" customHeight="1" x14ac:dyDescent="0.3">
      <c r="A150" s="61"/>
      <c r="B150" s="61"/>
      <c r="C150" s="61"/>
      <c r="D150" s="61"/>
      <c r="E150" s="62"/>
      <c r="F150" s="62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spans="1:26" ht="15.75" customHeight="1" x14ac:dyDescent="0.3">
      <c r="A151" s="61"/>
      <c r="B151" s="61"/>
      <c r="C151" s="61"/>
      <c r="D151" s="61"/>
      <c r="E151" s="62"/>
      <c r="F151" s="62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spans="1:26" ht="15.75" customHeight="1" x14ac:dyDescent="0.3">
      <c r="A152" s="61"/>
      <c r="B152" s="61"/>
      <c r="C152" s="61"/>
      <c r="D152" s="61"/>
      <c r="E152" s="62"/>
      <c r="F152" s="62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spans="1:26" ht="15.75" customHeight="1" x14ac:dyDescent="0.3">
      <c r="A153" s="61"/>
      <c r="B153" s="61"/>
      <c r="C153" s="61"/>
      <c r="D153" s="61"/>
      <c r="E153" s="62"/>
      <c r="F153" s="62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spans="1:26" ht="15.75" customHeight="1" x14ac:dyDescent="0.3">
      <c r="A154" s="61"/>
      <c r="B154" s="61"/>
      <c r="C154" s="61"/>
      <c r="D154" s="61"/>
      <c r="E154" s="62"/>
      <c r="F154" s="62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spans="1:26" ht="15.75" customHeight="1" x14ac:dyDescent="0.3">
      <c r="A155" s="61"/>
      <c r="B155" s="61"/>
      <c r="C155" s="61"/>
      <c r="D155" s="61"/>
      <c r="E155" s="62"/>
      <c r="F155" s="62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spans="1:26" ht="15.75" customHeight="1" x14ac:dyDescent="0.3">
      <c r="A156" s="61"/>
      <c r="B156" s="61"/>
      <c r="C156" s="61"/>
      <c r="D156" s="61"/>
      <c r="E156" s="62"/>
      <c r="F156" s="62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spans="1:26" ht="15.75" customHeight="1" x14ac:dyDescent="0.3">
      <c r="A157" s="61"/>
      <c r="B157" s="61"/>
      <c r="C157" s="61"/>
      <c r="D157" s="61"/>
      <c r="E157" s="62"/>
      <c r="F157" s="62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 ht="15.75" customHeight="1" x14ac:dyDescent="0.3">
      <c r="A158" s="61"/>
      <c r="B158" s="61"/>
      <c r="C158" s="61"/>
      <c r="D158" s="61"/>
      <c r="E158" s="62"/>
      <c r="F158" s="62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spans="1:26" ht="15.75" customHeight="1" x14ac:dyDescent="0.3">
      <c r="A159" s="61"/>
      <c r="B159" s="61"/>
      <c r="C159" s="61"/>
      <c r="D159" s="61"/>
      <c r="E159" s="62"/>
      <c r="F159" s="62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spans="1:26" ht="15.75" customHeight="1" x14ac:dyDescent="0.3">
      <c r="A160" s="61"/>
      <c r="B160" s="61"/>
      <c r="C160" s="61"/>
      <c r="D160" s="61"/>
      <c r="E160" s="62"/>
      <c r="F160" s="62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spans="1:26" ht="15.75" customHeight="1" x14ac:dyDescent="0.3">
      <c r="A161" s="61"/>
      <c r="B161" s="61"/>
      <c r="C161" s="61"/>
      <c r="D161" s="61"/>
      <c r="E161" s="62"/>
      <c r="F161" s="62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spans="1:26" ht="15.75" customHeight="1" x14ac:dyDescent="0.3">
      <c r="A162" s="61"/>
      <c r="B162" s="61"/>
      <c r="C162" s="61"/>
      <c r="D162" s="61"/>
      <c r="E162" s="62"/>
      <c r="F162" s="62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5.75" customHeight="1" x14ac:dyDescent="0.3">
      <c r="A163" s="61"/>
      <c r="B163" s="61"/>
      <c r="C163" s="61"/>
      <c r="D163" s="61"/>
      <c r="E163" s="62"/>
      <c r="F163" s="62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spans="1:26" ht="15.75" customHeight="1" x14ac:dyDescent="0.3">
      <c r="A164" s="61"/>
      <c r="B164" s="61"/>
      <c r="C164" s="61"/>
      <c r="D164" s="61"/>
      <c r="E164" s="62"/>
      <c r="F164" s="62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spans="1:26" ht="15.75" customHeight="1" x14ac:dyDescent="0.3">
      <c r="A165" s="61"/>
      <c r="B165" s="61"/>
      <c r="C165" s="61"/>
      <c r="D165" s="61"/>
      <c r="E165" s="62"/>
      <c r="F165" s="62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spans="1:26" ht="15.75" customHeight="1" x14ac:dyDescent="0.3">
      <c r="A166" s="61"/>
      <c r="B166" s="61"/>
      <c r="C166" s="61"/>
      <c r="D166" s="61"/>
      <c r="E166" s="62"/>
      <c r="F166" s="62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spans="1:26" ht="15.75" customHeight="1" x14ac:dyDescent="0.3">
      <c r="A167" s="61"/>
      <c r="B167" s="61"/>
      <c r="C167" s="61"/>
      <c r="D167" s="61"/>
      <c r="E167" s="62"/>
      <c r="F167" s="62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spans="1:26" ht="15.75" customHeight="1" x14ac:dyDescent="0.3">
      <c r="A168" s="61"/>
      <c r="B168" s="61"/>
      <c r="C168" s="61"/>
      <c r="D168" s="61"/>
      <c r="E168" s="62"/>
      <c r="F168" s="62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spans="1:26" ht="15.75" customHeight="1" x14ac:dyDescent="0.3">
      <c r="A169" s="61"/>
      <c r="B169" s="61"/>
      <c r="C169" s="61"/>
      <c r="D169" s="61"/>
      <c r="E169" s="62"/>
      <c r="F169" s="62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 ht="15.75" customHeight="1" x14ac:dyDescent="0.3">
      <c r="A170" s="61"/>
      <c r="B170" s="61"/>
      <c r="C170" s="61"/>
      <c r="D170" s="61"/>
      <c r="E170" s="62"/>
      <c r="F170" s="62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spans="1:26" ht="15.75" customHeight="1" x14ac:dyDescent="0.3">
      <c r="A171" s="61"/>
      <c r="B171" s="61"/>
      <c r="C171" s="61"/>
      <c r="D171" s="61"/>
      <c r="E171" s="62"/>
      <c r="F171" s="62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spans="1:26" ht="15.75" customHeight="1" x14ac:dyDescent="0.3">
      <c r="A172" s="61"/>
      <c r="B172" s="61"/>
      <c r="C172" s="61"/>
      <c r="D172" s="61"/>
      <c r="E172" s="62"/>
      <c r="F172" s="62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spans="1:26" ht="15.75" customHeight="1" x14ac:dyDescent="0.3">
      <c r="A173" s="61"/>
      <c r="B173" s="61"/>
      <c r="C173" s="61"/>
      <c r="D173" s="61"/>
      <c r="E173" s="62"/>
      <c r="F173" s="62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spans="1:26" ht="15.75" customHeight="1" x14ac:dyDescent="0.3">
      <c r="A174" s="61"/>
      <c r="B174" s="61"/>
      <c r="C174" s="61"/>
      <c r="D174" s="61"/>
      <c r="E174" s="62"/>
      <c r="F174" s="62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spans="1:26" ht="15.75" customHeight="1" x14ac:dyDescent="0.3">
      <c r="A175" s="61"/>
      <c r="B175" s="61"/>
      <c r="C175" s="61"/>
      <c r="D175" s="61"/>
      <c r="E175" s="62"/>
      <c r="F175" s="62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spans="1:26" ht="15.75" customHeight="1" x14ac:dyDescent="0.3">
      <c r="A176" s="61"/>
      <c r="B176" s="61"/>
      <c r="C176" s="61"/>
      <c r="D176" s="61"/>
      <c r="E176" s="62"/>
      <c r="F176" s="62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spans="1:26" ht="15.75" customHeight="1" x14ac:dyDescent="0.3">
      <c r="A177" s="61"/>
      <c r="B177" s="61"/>
      <c r="C177" s="61"/>
      <c r="D177" s="61"/>
      <c r="E177" s="62"/>
      <c r="F177" s="62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spans="1:26" ht="15.75" customHeight="1" x14ac:dyDescent="0.3">
      <c r="A178" s="61"/>
      <c r="B178" s="61"/>
      <c r="C178" s="61"/>
      <c r="D178" s="61"/>
      <c r="E178" s="62"/>
      <c r="F178" s="62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spans="1:26" ht="15.75" customHeight="1" x14ac:dyDescent="0.3">
      <c r="A179" s="61"/>
      <c r="B179" s="61"/>
      <c r="C179" s="61"/>
      <c r="D179" s="61"/>
      <c r="E179" s="62"/>
      <c r="F179" s="62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spans="1:26" ht="15.75" customHeight="1" x14ac:dyDescent="0.3">
      <c r="A180" s="61"/>
      <c r="B180" s="61"/>
      <c r="C180" s="61"/>
      <c r="D180" s="61"/>
      <c r="E180" s="62"/>
      <c r="F180" s="62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spans="1:26" ht="15.75" customHeight="1" x14ac:dyDescent="0.3">
      <c r="A181" s="61"/>
      <c r="B181" s="61"/>
      <c r="C181" s="61"/>
      <c r="D181" s="61"/>
      <c r="E181" s="62"/>
      <c r="F181" s="62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spans="1:26" ht="15.75" customHeight="1" x14ac:dyDescent="0.3">
      <c r="A182" s="61"/>
      <c r="B182" s="61"/>
      <c r="C182" s="61"/>
      <c r="D182" s="61"/>
      <c r="E182" s="62"/>
      <c r="F182" s="62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spans="1:26" ht="15.75" customHeight="1" x14ac:dyDescent="0.3">
      <c r="A183" s="61"/>
      <c r="B183" s="61"/>
      <c r="C183" s="61"/>
      <c r="D183" s="61"/>
      <c r="E183" s="62"/>
      <c r="F183" s="62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spans="1:26" ht="15.75" customHeight="1" x14ac:dyDescent="0.3">
      <c r="A184" s="61"/>
      <c r="B184" s="61"/>
      <c r="C184" s="61"/>
      <c r="D184" s="61"/>
      <c r="E184" s="62"/>
      <c r="F184" s="62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spans="1:26" ht="15.75" customHeight="1" x14ac:dyDescent="0.3">
      <c r="A185" s="61"/>
      <c r="B185" s="61"/>
      <c r="C185" s="61"/>
      <c r="D185" s="61"/>
      <c r="E185" s="62"/>
      <c r="F185" s="62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spans="1:26" ht="15.75" customHeight="1" x14ac:dyDescent="0.3">
      <c r="A186" s="61"/>
      <c r="B186" s="61"/>
      <c r="C186" s="61"/>
      <c r="D186" s="61"/>
      <c r="E186" s="62"/>
      <c r="F186" s="62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spans="1:26" ht="15.75" customHeight="1" x14ac:dyDescent="0.3">
      <c r="A187" s="61"/>
      <c r="B187" s="61"/>
      <c r="C187" s="61"/>
      <c r="D187" s="61"/>
      <c r="E187" s="62"/>
      <c r="F187" s="62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spans="1:26" ht="15.75" customHeight="1" x14ac:dyDescent="0.3">
      <c r="A188" s="61"/>
      <c r="B188" s="61"/>
      <c r="C188" s="61"/>
      <c r="D188" s="61"/>
      <c r="E188" s="62"/>
      <c r="F188" s="62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spans="1:26" ht="15.75" customHeight="1" x14ac:dyDescent="0.3">
      <c r="A189" s="61"/>
      <c r="B189" s="61"/>
      <c r="C189" s="61"/>
      <c r="D189" s="61"/>
      <c r="E189" s="62"/>
      <c r="F189" s="62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spans="1:26" ht="15.75" customHeight="1" x14ac:dyDescent="0.3">
      <c r="A190" s="61"/>
      <c r="B190" s="61"/>
      <c r="C190" s="61"/>
      <c r="D190" s="61"/>
      <c r="E190" s="62"/>
      <c r="F190" s="62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spans="1:26" ht="15.75" customHeight="1" x14ac:dyDescent="0.3">
      <c r="A191" s="61"/>
      <c r="B191" s="61"/>
      <c r="C191" s="61"/>
      <c r="D191" s="61"/>
      <c r="E191" s="62"/>
      <c r="F191" s="62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spans="1:26" ht="15.75" customHeight="1" x14ac:dyDescent="0.3">
      <c r="A192" s="61"/>
      <c r="B192" s="61"/>
      <c r="C192" s="61"/>
      <c r="D192" s="61"/>
      <c r="E192" s="62"/>
      <c r="F192" s="62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spans="1:26" ht="15.75" customHeight="1" x14ac:dyDescent="0.3">
      <c r="A193" s="61"/>
      <c r="B193" s="61"/>
      <c r="C193" s="61"/>
      <c r="D193" s="61"/>
      <c r="E193" s="62"/>
      <c r="F193" s="62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spans="1:26" ht="15.75" customHeight="1" x14ac:dyDescent="0.3">
      <c r="A194" s="61"/>
      <c r="B194" s="61"/>
      <c r="C194" s="61"/>
      <c r="D194" s="61"/>
      <c r="E194" s="62"/>
      <c r="F194" s="62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spans="1:26" ht="15.75" customHeight="1" x14ac:dyDescent="0.3">
      <c r="A195" s="61"/>
      <c r="B195" s="61"/>
      <c r="C195" s="61"/>
      <c r="D195" s="61"/>
      <c r="E195" s="62"/>
      <c r="F195" s="62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spans="1:26" ht="15.75" customHeight="1" x14ac:dyDescent="0.3">
      <c r="A196" s="61"/>
      <c r="B196" s="61"/>
      <c r="C196" s="61"/>
      <c r="D196" s="61"/>
      <c r="E196" s="62"/>
      <c r="F196" s="62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spans="1:26" ht="15.75" customHeight="1" x14ac:dyDescent="0.3">
      <c r="A197" s="61"/>
      <c r="B197" s="61"/>
      <c r="C197" s="61"/>
      <c r="D197" s="61"/>
      <c r="E197" s="62"/>
      <c r="F197" s="62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spans="1:26" ht="15.75" customHeight="1" x14ac:dyDescent="0.3">
      <c r="A198" s="61"/>
      <c r="B198" s="61"/>
      <c r="C198" s="61"/>
      <c r="D198" s="61"/>
      <c r="E198" s="62"/>
      <c r="F198" s="62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spans="1:26" ht="15.75" customHeight="1" x14ac:dyDescent="0.3">
      <c r="A199" s="61"/>
      <c r="B199" s="61"/>
      <c r="C199" s="61"/>
      <c r="D199" s="61"/>
      <c r="E199" s="62"/>
      <c r="F199" s="62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spans="1:26" ht="15.75" customHeight="1" x14ac:dyDescent="0.3">
      <c r="A200" s="61"/>
      <c r="B200" s="61"/>
      <c r="C200" s="61"/>
      <c r="D200" s="61"/>
      <c r="E200" s="62"/>
      <c r="F200" s="62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spans="1:26" ht="15.75" customHeight="1" x14ac:dyDescent="0.3">
      <c r="A201" s="61"/>
      <c r="B201" s="61"/>
      <c r="C201" s="61"/>
      <c r="D201" s="61"/>
      <c r="E201" s="62"/>
      <c r="F201" s="62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spans="1:26" ht="15.75" customHeight="1" x14ac:dyDescent="0.3">
      <c r="A202" s="61"/>
      <c r="B202" s="61"/>
      <c r="C202" s="61"/>
      <c r="D202" s="61"/>
      <c r="E202" s="62"/>
      <c r="F202" s="62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spans="1:26" ht="15.75" customHeight="1" x14ac:dyDescent="0.3">
      <c r="A203" s="61"/>
      <c r="B203" s="61"/>
      <c r="C203" s="61"/>
      <c r="D203" s="61"/>
      <c r="E203" s="62"/>
      <c r="F203" s="62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spans="1:26" ht="15.75" customHeight="1" x14ac:dyDescent="0.3">
      <c r="A204" s="61"/>
      <c r="B204" s="61"/>
      <c r="C204" s="61"/>
      <c r="D204" s="61"/>
      <c r="E204" s="62"/>
      <c r="F204" s="62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spans="1:26" ht="15.75" customHeight="1" x14ac:dyDescent="0.3">
      <c r="A205" s="61"/>
      <c r="B205" s="61"/>
      <c r="C205" s="61"/>
      <c r="D205" s="61"/>
      <c r="E205" s="62"/>
      <c r="F205" s="62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spans="1:26" ht="15.75" customHeight="1" x14ac:dyDescent="0.3">
      <c r="A206" s="61"/>
      <c r="B206" s="61"/>
      <c r="C206" s="61"/>
      <c r="D206" s="61"/>
      <c r="E206" s="62"/>
      <c r="F206" s="62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spans="1:26" ht="15.75" customHeight="1" x14ac:dyDescent="0.3">
      <c r="A207" s="61"/>
      <c r="B207" s="61"/>
      <c r="C207" s="61"/>
      <c r="D207" s="61"/>
      <c r="E207" s="62"/>
      <c r="F207" s="62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spans="1:26" ht="15.75" customHeight="1" x14ac:dyDescent="0.3">
      <c r="A208" s="61"/>
      <c r="B208" s="61"/>
      <c r="C208" s="61"/>
      <c r="D208" s="61"/>
      <c r="E208" s="62"/>
      <c r="F208" s="62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spans="1:26" ht="15.75" customHeight="1" x14ac:dyDescent="0.3">
      <c r="A209" s="61"/>
      <c r="B209" s="61"/>
      <c r="C209" s="61"/>
      <c r="D209" s="61"/>
      <c r="E209" s="62"/>
      <c r="F209" s="62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spans="1:26" ht="15.75" customHeight="1" x14ac:dyDescent="0.3">
      <c r="A210" s="61"/>
      <c r="B210" s="61"/>
      <c r="C210" s="61"/>
      <c r="D210" s="61"/>
      <c r="E210" s="62"/>
      <c r="F210" s="62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spans="1:26" ht="15.75" customHeight="1" x14ac:dyDescent="0.3">
      <c r="A211" s="61"/>
      <c r="B211" s="61"/>
      <c r="C211" s="61"/>
      <c r="D211" s="61"/>
      <c r="E211" s="62"/>
      <c r="F211" s="62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spans="1:26" ht="15.75" customHeight="1" x14ac:dyDescent="0.3">
      <c r="A212" s="61"/>
      <c r="B212" s="61"/>
      <c r="C212" s="61"/>
      <c r="D212" s="61"/>
      <c r="E212" s="62"/>
      <c r="F212" s="62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spans="1:26" ht="15.75" customHeight="1" x14ac:dyDescent="0.3">
      <c r="A213" s="61"/>
      <c r="B213" s="61"/>
      <c r="C213" s="61"/>
      <c r="D213" s="61"/>
      <c r="E213" s="62"/>
      <c r="F213" s="62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spans="1:26" ht="15.75" customHeight="1" x14ac:dyDescent="0.3">
      <c r="A214" s="61"/>
      <c r="B214" s="61"/>
      <c r="C214" s="61"/>
      <c r="D214" s="61"/>
      <c r="E214" s="62"/>
      <c r="F214" s="62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spans="1:26" ht="15.75" customHeight="1" x14ac:dyDescent="0.3">
      <c r="A215" s="61"/>
      <c r="B215" s="61"/>
      <c r="C215" s="61"/>
      <c r="D215" s="61"/>
      <c r="E215" s="62"/>
      <c r="F215" s="62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spans="1:26" ht="15.75" customHeight="1" x14ac:dyDescent="0.3">
      <c r="A216" s="61"/>
      <c r="B216" s="61"/>
      <c r="C216" s="61"/>
      <c r="D216" s="61"/>
      <c r="E216" s="62"/>
      <c r="F216" s="62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spans="1:26" ht="15.75" customHeight="1" x14ac:dyDescent="0.3">
      <c r="A217" s="61"/>
      <c r="B217" s="61"/>
      <c r="C217" s="61"/>
      <c r="D217" s="61"/>
      <c r="E217" s="62"/>
      <c r="F217" s="62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spans="1:26" ht="15.75" customHeight="1" x14ac:dyDescent="0.3">
      <c r="A218" s="61"/>
      <c r="B218" s="61"/>
      <c r="C218" s="61"/>
      <c r="D218" s="61"/>
      <c r="E218" s="62"/>
      <c r="F218" s="62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spans="1:26" ht="15.75" customHeight="1" x14ac:dyDescent="0.3">
      <c r="A219" s="61"/>
      <c r="B219" s="61"/>
      <c r="C219" s="61"/>
      <c r="D219" s="61"/>
      <c r="E219" s="62"/>
      <c r="F219" s="62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spans="1:26" ht="15.75" customHeight="1" x14ac:dyDescent="0.3">
      <c r="A220" s="61"/>
      <c r="B220" s="61"/>
      <c r="C220" s="61"/>
      <c r="D220" s="61"/>
      <c r="E220" s="62"/>
      <c r="F220" s="62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spans="1:26" ht="15.75" customHeight="1" x14ac:dyDescent="0.3">
      <c r="A221" s="61"/>
      <c r="B221" s="61"/>
      <c r="C221" s="61"/>
      <c r="D221" s="61"/>
      <c r="E221" s="62"/>
      <c r="F221" s="62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spans="1:26" ht="15.75" customHeight="1" x14ac:dyDescent="0.3">
      <c r="A222" s="61"/>
      <c r="B222" s="61"/>
      <c r="C222" s="61"/>
      <c r="D222" s="61"/>
      <c r="E222" s="62"/>
      <c r="F222" s="62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spans="1:26" ht="15.75" customHeight="1" x14ac:dyDescent="0.3">
      <c r="A223" s="61"/>
      <c r="B223" s="61"/>
      <c r="C223" s="61"/>
      <c r="D223" s="61"/>
      <c r="E223" s="62"/>
      <c r="F223" s="62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spans="1:26" ht="15.75" customHeight="1" x14ac:dyDescent="0.3">
      <c r="A224" s="61"/>
      <c r="B224" s="61"/>
      <c r="C224" s="61"/>
      <c r="D224" s="61"/>
      <c r="E224" s="62"/>
      <c r="F224" s="62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spans="1:26" ht="15.75" customHeight="1" x14ac:dyDescent="0.3">
      <c r="A225" s="61"/>
      <c r="B225" s="61"/>
      <c r="C225" s="61"/>
      <c r="D225" s="61"/>
      <c r="E225" s="62"/>
      <c r="F225" s="62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spans="1:26" ht="15.75" customHeight="1" x14ac:dyDescent="0.3">
      <c r="A226" s="61"/>
      <c r="B226" s="61"/>
      <c r="C226" s="61"/>
      <c r="D226" s="61"/>
      <c r="E226" s="62"/>
      <c r="F226" s="62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spans="1:26" ht="15.75" customHeight="1" x14ac:dyDescent="0.3">
      <c r="A227" s="61"/>
      <c r="B227" s="61"/>
      <c r="C227" s="61"/>
      <c r="D227" s="61"/>
      <c r="E227" s="62"/>
      <c r="F227" s="62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spans="1:26" ht="15.75" customHeight="1" x14ac:dyDescent="0.3">
      <c r="A228" s="61"/>
      <c r="B228" s="61"/>
      <c r="C228" s="61"/>
      <c r="D228" s="61"/>
      <c r="E228" s="62"/>
      <c r="F228" s="62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spans="1:26" ht="15.75" customHeight="1" x14ac:dyDescent="0.3">
      <c r="A229" s="61"/>
      <c r="B229" s="61"/>
      <c r="C229" s="61"/>
      <c r="D229" s="61"/>
      <c r="E229" s="62"/>
      <c r="F229" s="62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spans="1:26" ht="15.75" customHeight="1" x14ac:dyDescent="0.3">
      <c r="A230" s="61"/>
      <c r="B230" s="61"/>
      <c r="C230" s="61"/>
      <c r="D230" s="61"/>
      <c r="E230" s="62"/>
      <c r="F230" s="62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spans="1:26" ht="15.75" customHeight="1" x14ac:dyDescent="0.3">
      <c r="A231" s="61"/>
      <c r="B231" s="61"/>
      <c r="C231" s="61"/>
      <c r="D231" s="61"/>
      <c r="E231" s="62"/>
      <c r="F231" s="62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spans="1:26" ht="15.75" customHeight="1" x14ac:dyDescent="0.3">
      <c r="A232" s="61"/>
      <c r="B232" s="61"/>
      <c r="C232" s="61"/>
      <c r="D232" s="61"/>
      <c r="E232" s="62"/>
      <c r="F232" s="62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spans="1:26" ht="15.75" customHeight="1" x14ac:dyDescent="0.3">
      <c r="A233" s="61"/>
      <c r="B233" s="61"/>
      <c r="C233" s="61"/>
      <c r="D233" s="61"/>
      <c r="E233" s="62"/>
      <c r="F233" s="62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spans="1:26" ht="15.75" customHeight="1" x14ac:dyDescent="0.3">
      <c r="A234" s="61"/>
      <c r="B234" s="61"/>
      <c r="C234" s="61"/>
      <c r="D234" s="61"/>
      <c r="E234" s="62"/>
      <c r="F234" s="62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spans="1:26" ht="15.75" customHeight="1" x14ac:dyDescent="0.3">
      <c r="A235" s="61"/>
      <c r="B235" s="61"/>
      <c r="C235" s="61"/>
      <c r="D235" s="61"/>
      <c r="E235" s="62"/>
      <c r="F235" s="62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spans="1:26" ht="15.75" customHeight="1" x14ac:dyDescent="0.3">
      <c r="A236" s="61"/>
      <c r="B236" s="61"/>
      <c r="C236" s="61"/>
      <c r="D236" s="61"/>
      <c r="E236" s="62"/>
      <c r="F236" s="62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spans="1:26" ht="15.75" customHeight="1" x14ac:dyDescent="0.3">
      <c r="A237" s="61"/>
      <c r="B237" s="61"/>
      <c r="C237" s="61"/>
      <c r="D237" s="61"/>
      <c r="E237" s="62"/>
      <c r="F237" s="62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spans="1:26" ht="15.75" customHeight="1" x14ac:dyDescent="0.3">
      <c r="A238" s="61"/>
      <c r="B238" s="61"/>
      <c r="C238" s="61"/>
      <c r="D238" s="61"/>
      <c r="E238" s="62"/>
      <c r="F238" s="62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spans="1:26" ht="15.75" customHeight="1" x14ac:dyDescent="0.3">
      <c r="A239" s="61"/>
      <c r="B239" s="61"/>
      <c r="C239" s="61"/>
      <c r="D239" s="61"/>
      <c r="E239" s="62"/>
      <c r="F239" s="62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spans="1:26" ht="15.75" customHeight="1" x14ac:dyDescent="0.3">
      <c r="A240" s="61"/>
      <c r="B240" s="61"/>
      <c r="C240" s="61"/>
      <c r="D240" s="61"/>
      <c r="E240" s="62"/>
      <c r="F240" s="62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spans="1:26" ht="15.75" customHeight="1" x14ac:dyDescent="0.3">
      <c r="A241" s="61"/>
      <c r="B241" s="61"/>
      <c r="C241" s="61"/>
      <c r="D241" s="61"/>
      <c r="E241" s="62"/>
      <c r="F241" s="62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spans="1:26" ht="15.75" customHeight="1" x14ac:dyDescent="0.3">
      <c r="A242" s="61"/>
      <c r="B242" s="61"/>
      <c r="C242" s="61"/>
      <c r="D242" s="61"/>
      <c r="E242" s="62"/>
      <c r="F242" s="62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spans="1:26" ht="15.75" customHeight="1" x14ac:dyDescent="0.3">
      <c r="A243" s="61"/>
      <c r="B243" s="61"/>
      <c r="C243" s="61"/>
      <c r="D243" s="61"/>
      <c r="E243" s="62"/>
      <c r="F243" s="62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spans="1:26" ht="15.75" customHeight="1" x14ac:dyDescent="0.3">
      <c r="A244" s="61"/>
      <c r="B244" s="61"/>
      <c r="C244" s="61"/>
      <c r="D244" s="61"/>
      <c r="E244" s="62"/>
      <c r="F244" s="62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spans="1:26" ht="15.75" customHeight="1" x14ac:dyDescent="0.3">
      <c r="A245" s="61"/>
      <c r="B245" s="61"/>
      <c r="C245" s="61"/>
      <c r="D245" s="61"/>
      <c r="E245" s="62"/>
      <c r="F245" s="62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spans="1:26" ht="15.75" customHeight="1" x14ac:dyDescent="0.3">
      <c r="A246" s="61"/>
      <c r="B246" s="61"/>
      <c r="C246" s="61"/>
      <c r="D246" s="61"/>
      <c r="E246" s="62"/>
      <c r="F246" s="62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spans="1:26" ht="15.75" customHeight="1" x14ac:dyDescent="0.3">
      <c r="A247" s="61"/>
      <c r="B247" s="61"/>
      <c r="C247" s="61"/>
      <c r="D247" s="61"/>
      <c r="E247" s="62"/>
      <c r="F247" s="62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spans="1:26" ht="15.75" customHeight="1" x14ac:dyDescent="0.3">
      <c r="A248" s="61"/>
      <c r="B248" s="61"/>
      <c r="C248" s="61"/>
      <c r="D248" s="61"/>
      <c r="E248" s="62"/>
      <c r="F248" s="62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spans="1:26" ht="15.75" customHeight="1" x14ac:dyDescent="0.3">
      <c r="A249" s="61"/>
      <c r="B249" s="61"/>
      <c r="C249" s="61"/>
      <c r="D249" s="61"/>
      <c r="E249" s="62"/>
      <c r="F249" s="62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spans="1:26" ht="15.75" customHeight="1" x14ac:dyDescent="0.3">
      <c r="A250" s="61"/>
      <c r="B250" s="61"/>
      <c r="C250" s="61"/>
      <c r="D250" s="61"/>
      <c r="E250" s="62"/>
      <c r="F250" s="62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spans="1:26" ht="15.75" customHeight="1" x14ac:dyDescent="0.3">
      <c r="A251" s="61"/>
      <c r="B251" s="61"/>
      <c r="C251" s="61"/>
      <c r="D251" s="61"/>
      <c r="E251" s="62"/>
      <c r="F251" s="62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spans="1:26" ht="15.75" customHeight="1" x14ac:dyDescent="0.3">
      <c r="A252" s="61"/>
      <c r="B252" s="61"/>
      <c r="C252" s="61"/>
      <c r="D252" s="61"/>
      <c r="E252" s="62"/>
      <c r="F252" s="62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spans="1:26" ht="15.75" customHeight="1" x14ac:dyDescent="0.3">
      <c r="A253" s="61"/>
      <c r="B253" s="61"/>
      <c r="C253" s="61"/>
      <c r="D253" s="61"/>
      <c r="E253" s="62"/>
      <c r="F253" s="62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spans="1:26" ht="15.75" customHeight="1" x14ac:dyDescent="0.3">
      <c r="A254" s="61"/>
      <c r="B254" s="61"/>
      <c r="C254" s="61"/>
      <c r="D254" s="61"/>
      <c r="E254" s="62"/>
      <c r="F254" s="62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spans="1:26" ht="15.75" customHeight="1" x14ac:dyDescent="0.3">
      <c r="A255" s="61"/>
      <c r="B255" s="61"/>
      <c r="C255" s="61"/>
      <c r="D255" s="61"/>
      <c r="E255" s="62"/>
      <c r="F255" s="62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spans="1:26" ht="15.75" customHeight="1" x14ac:dyDescent="0.3">
      <c r="A256" s="61"/>
      <c r="B256" s="61"/>
      <c r="C256" s="61"/>
      <c r="D256" s="61"/>
      <c r="E256" s="62"/>
      <c r="F256" s="62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spans="1:26" ht="15.75" customHeight="1" x14ac:dyDescent="0.3">
      <c r="A257" s="61"/>
      <c r="B257" s="61"/>
      <c r="C257" s="61"/>
      <c r="D257" s="61"/>
      <c r="E257" s="62"/>
      <c r="F257" s="62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spans="1:26" ht="15.75" customHeight="1" x14ac:dyDescent="0.3">
      <c r="A258" s="61"/>
      <c r="B258" s="61"/>
      <c r="C258" s="61"/>
      <c r="D258" s="61"/>
      <c r="E258" s="62"/>
      <c r="F258" s="62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spans="1:26" ht="15.75" customHeight="1" x14ac:dyDescent="0.3">
      <c r="A259" s="61"/>
      <c r="B259" s="61"/>
      <c r="C259" s="61"/>
      <c r="D259" s="61"/>
      <c r="E259" s="62"/>
      <c r="F259" s="62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spans="1:26" ht="15.75" customHeight="1" x14ac:dyDescent="0.3">
      <c r="A260" s="61"/>
      <c r="B260" s="61"/>
      <c r="C260" s="61"/>
      <c r="D260" s="61"/>
      <c r="E260" s="62"/>
      <c r="F260" s="62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spans="1:26" ht="15.75" customHeight="1" x14ac:dyDescent="0.3">
      <c r="A261" s="61"/>
      <c r="B261" s="61"/>
      <c r="C261" s="61"/>
      <c r="D261" s="61"/>
      <c r="E261" s="62"/>
      <c r="F261" s="62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spans="1:26" ht="15.75" customHeight="1" x14ac:dyDescent="0.3">
      <c r="A262" s="61"/>
      <c r="B262" s="61"/>
      <c r="C262" s="61"/>
      <c r="D262" s="61"/>
      <c r="E262" s="62"/>
      <c r="F262" s="62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spans="1:26" ht="15.75" customHeight="1" x14ac:dyDescent="0.3">
      <c r="A263" s="61"/>
      <c r="B263" s="61"/>
      <c r="C263" s="61"/>
      <c r="D263" s="61"/>
      <c r="E263" s="62"/>
      <c r="F263" s="62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spans="1:26" ht="15.75" customHeight="1" x14ac:dyDescent="0.3">
      <c r="A264" s="61"/>
      <c r="B264" s="61"/>
      <c r="C264" s="61"/>
      <c r="D264" s="61"/>
      <c r="E264" s="62"/>
      <c r="F264" s="62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spans="1:26" ht="15.75" customHeight="1" x14ac:dyDescent="0.3">
      <c r="A265" s="61"/>
      <c r="B265" s="61"/>
      <c r="C265" s="61"/>
      <c r="D265" s="61"/>
      <c r="E265" s="62"/>
      <c r="F265" s="62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spans="1:26" ht="15.75" customHeight="1" x14ac:dyDescent="0.3">
      <c r="A266" s="61"/>
      <c r="B266" s="61"/>
      <c r="C266" s="61"/>
      <c r="D266" s="61"/>
      <c r="E266" s="62"/>
      <c r="F266" s="62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spans="1:26" ht="15.75" customHeight="1" x14ac:dyDescent="0.3">
      <c r="A267" s="61"/>
      <c r="B267" s="61"/>
      <c r="C267" s="61"/>
      <c r="D267" s="61"/>
      <c r="E267" s="62"/>
      <c r="F267" s="62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spans="1:26" ht="15.75" customHeight="1" x14ac:dyDescent="0.3">
      <c r="A268" s="61"/>
      <c r="B268" s="61"/>
      <c r="C268" s="61"/>
      <c r="D268" s="61"/>
      <c r="E268" s="62"/>
      <c r="F268" s="62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spans="1:26" ht="15.75" customHeight="1" x14ac:dyDescent="0.3">
      <c r="A269" s="61"/>
      <c r="B269" s="61"/>
      <c r="C269" s="61"/>
      <c r="D269" s="61"/>
      <c r="E269" s="62"/>
      <c r="F269" s="62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spans="1:26" ht="15.75" customHeight="1" x14ac:dyDescent="0.3">
      <c r="A270" s="61"/>
      <c r="B270" s="61"/>
      <c r="C270" s="61"/>
      <c r="D270" s="61"/>
      <c r="E270" s="62"/>
      <c r="F270" s="62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spans="1:26" ht="15.75" customHeight="1" x14ac:dyDescent="0.3">
      <c r="A271" s="61"/>
      <c r="B271" s="61"/>
      <c r="C271" s="61"/>
      <c r="D271" s="61"/>
      <c r="E271" s="62"/>
      <c r="F271" s="62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spans="1:26" ht="15.75" customHeight="1" x14ac:dyDescent="0.3">
      <c r="A272" s="61"/>
      <c r="B272" s="61"/>
      <c r="C272" s="61"/>
      <c r="D272" s="61"/>
      <c r="E272" s="62"/>
      <c r="F272" s="62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spans="1:26" ht="15.75" customHeight="1" x14ac:dyDescent="0.3">
      <c r="A273" s="61"/>
      <c r="B273" s="61"/>
      <c r="C273" s="61"/>
      <c r="D273" s="61"/>
      <c r="E273" s="62"/>
      <c r="F273" s="62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spans="1:26" ht="15.75" customHeight="1" x14ac:dyDescent="0.3">
      <c r="A274" s="61"/>
      <c r="B274" s="61"/>
      <c r="C274" s="61"/>
      <c r="D274" s="61"/>
      <c r="E274" s="62"/>
      <c r="F274" s="62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spans="1:26" ht="15.75" customHeight="1" x14ac:dyDescent="0.3">
      <c r="A275" s="61"/>
      <c r="B275" s="61"/>
      <c r="C275" s="61"/>
      <c r="D275" s="61"/>
      <c r="E275" s="62"/>
      <c r="F275" s="62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spans="1:26" ht="15.75" customHeight="1" x14ac:dyDescent="0.3">
      <c r="A276" s="61"/>
      <c r="B276" s="61"/>
      <c r="C276" s="61"/>
      <c r="D276" s="61"/>
      <c r="E276" s="62"/>
      <c r="F276" s="62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spans="1:26" ht="15.75" customHeight="1" x14ac:dyDescent="0.3">
      <c r="A277" s="61"/>
      <c r="B277" s="61"/>
      <c r="C277" s="61"/>
      <c r="D277" s="61"/>
      <c r="E277" s="62"/>
      <c r="F277" s="62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spans="1:26" ht="15.75" customHeight="1" x14ac:dyDescent="0.3">
      <c r="A278" s="61"/>
      <c r="B278" s="61"/>
      <c r="C278" s="61"/>
      <c r="D278" s="61"/>
      <c r="E278" s="62"/>
      <c r="F278" s="62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spans="1:26" ht="15.75" customHeight="1" x14ac:dyDescent="0.3">
      <c r="A279" s="61"/>
      <c r="B279" s="61"/>
      <c r="C279" s="61"/>
      <c r="D279" s="61"/>
      <c r="E279" s="62"/>
      <c r="F279" s="62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spans="1:26" ht="15.75" customHeight="1" x14ac:dyDescent="0.3">
      <c r="A280" s="61"/>
      <c r="B280" s="61"/>
      <c r="C280" s="61"/>
      <c r="D280" s="61"/>
      <c r="E280" s="62"/>
      <c r="F280" s="62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spans="1:26" ht="15.75" customHeight="1" x14ac:dyDescent="0.3">
      <c r="A281" s="61"/>
      <c r="B281" s="61"/>
      <c r="C281" s="61"/>
      <c r="D281" s="61"/>
      <c r="E281" s="62"/>
      <c r="F281" s="62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spans="1:26" ht="15.75" customHeight="1" x14ac:dyDescent="0.3">
      <c r="A282" s="61"/>
      <c r="B282" s="61"/>
      <c r="C282" s="61"/>
      <c r="D282" s="61"/>
      <c r="E282" s="62"/>
      <c r="F282" s="62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spans="1:26" ht="15.75" customHeight="1" x14ac:dyDescent="0.3">
      <c r="A283" s="61"/>
      <c r="B283" s="61"/>
      <c r="C283" s="61"/>
      <c r="D283" s="61"/>
      <c r="E283" s="62"/>
      <c r="F283" s="62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spans="1:26" ht="15.75" customHeight="1" x14ac:dyDescent="0.3">
      <c r="A284" s="61"/>
      <c r="B284" s="61"/>
      <c r="C284" s="61"/>
      <c r="D284" s="61"/>
      <c r="E284" s="62"/>
      <c r="F284" s="62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spans="1:26" ht="15.75" customHeight="1" x14ac:dyDescent="0.3">
      <c r="A285" s="61"/>
      <c r="B285" s="61"/>
      <c r="C285" s="61"/>
      <c r="D285" s="61"/>
      <c r="E285" s="62"/>
      <c r="F285" s="62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spans="1:26" ht="15.75" customHeight="1" x14ac:dyDescent="0.3">
      <c r="A286" s="61"/>
      <c r="B286" s="61"/>
      <c r="C286" s="61"/>
      <c r="D286" s="61"/>
      <c r="E286" s="62"/>
      <c r="F286" s="62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spans="1:26" ht="15.75" customHeight="1" x14ac:dyDescent="0.3">
      <c r="A287" s="61"/>
      <c r="B287" s="61"/>
      <c r="C287" s="61"/>
      <c r="D287" s="61"/>
      <c r="E287" s="62"/>
      <c r="F287" s="62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spans="1:26" ht="15.75" customHeight="1" x14ac:dyDescent="0.3">
      <c r="A288" s="61"/>
      <c r="B288" s="61"/>
      <c r="C288" s="61"/>
      <c r="D288" s="61"/>
      <c r="E288" s="62"/>
      <c r="F288" s="62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spans="1:26" ht="15.75" customHeight="1" x14ac:dyDescent="0.3">
      <c r="A289" s="61"/>
      <c r="B289" s="61"/>
      <c r="C289" s="61"/>
      <c r="D289" s="61"/>
      <c r="E289" s="62"/>
      <c r="F289" s="62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spans="1:26" ht="15.75" customHeight="1" x14ac:dyDescent="0.3">
      <c r="A290" s="61"/>
      <c r="B290" s="61"/>
      <c r="C290" s="61"/>
      <c r="D290" s="61"/>
      <c r="E290" s="62"/>
      <c r="F290" s="62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spans="1:26" ht="15.75" customHeight="1" x14ac:dyDescent="0.3">
      <c r="A291" s="61"/>
      <c r="B291" s="61"/>
      <c r="C291" s="61"/>
      <c r="D291" s="61"/>
      <c r="E291" s="62"/>
      <c r="F291" s="62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spans="1:26" ht="15.75" customHeight="1" x14ac:dyDescent="0.3">
      <c r="A292" s="61"/>
      <c r="B292" s="61"/>
      <c r="C292" s="61"/>
      <c r="D292" s="61"/>
      <c r="E292" s="62"/>
      <c r="F292" s="62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spans="1:26" ht="15.75" customHeight="1" x14ac:dyDescent="0.3">
      <c r="A293" s="61"/>
      <c r="B293" s="61"/>
      <c r="C293" s="61"/>
      <c r="D293" s="61"/>
      <c r="E293" s="62"/>
      <c r="F293" s="62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spans="1:26" ht="15.75" customHeight="1" x14ac:dyDescent="0.3">
      <c r="A294" s="61"/>
      <c r="B294" s="61"/>
      <c r="C294" s="61"/>
      <c r="D294" s="61"/>
      <c r="E294" s="62"/>
      <c r="F294" s="62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spans="1:26" ht="15.75" customHeight="1" x14ac:dyDescent="0.3">
      <c r="A295" s="61"/>
      <c r="B295" s="61"/>
      <c r="C295" s="61"/>
      <c r="D295" s="61"/>
      <c r="E295" s="62"/>
      <c r="F295" s="62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spans="1:26" ht="15.75" customHeight="1" x14ac:dyDescent="0.3">
      <c r="A296" s="61"/>
      <c r="B296" s="61"/>
      <c r="C296" s="61"/>
      <c r="D296" s="61"/>
      <c r="E296" s="62"/>
      <c r="F296" s="62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spans="1:26" ht="15.75" customHeight="1" x14ac:dyDescent="0.3">
      <c r="A297" s="61"/>
      <c r="B297" s="61"/>
      <c r="C297" s="61"/>
      <c r="D297" s="61"/>
      <c r="E297" s="62"/>
      <c r="F297" s="62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spans="1:26" ht="15.75" customHeight="1" x14ac:dyDescent="0.3">
      <c r="A298" s="61"/>
      <c r="B298" s="61"/>
      <c r="C298" s="61"/>
      <c r="D298" s="61"/>
      <c r="E298" s="62"/>
      <c r="F298" s="62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spans="1:26" ht="15.75" customHeight="1" x14ac:dyDescent="0.3">
      <c r="A299" s="61"/>
      <c r="B299" s="61"/>
      <c r="C299" s="61"/>
      <c r="D299" s="61"/>
      <c r="E299" s="62"/>
      <c r="F299" s="62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spans="1:26" ht="15.75" customHeight="1" x14ac:dyDescent="0.3">
      <c r="A300" s="61"/>
      <c r="B300" s="61"/>
      <c r="C300" s="61"/>
      <c r="D300" s="61"/>
      <c r="E300" s="62"/>
      <c r="F300" s="62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spans="1:26" ht="15.75" customHeight="1" x14ac:dyDescent="0.3">
      <c r="A301" s="61"/>
      <c r="B301" s="61"/>
      <c r="C301" s="61"/>
      <c r="D301" s="61"/>
      <c r="E301" s="62"/>
      <c r="F301" s="62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spans="1:26" ht="15.75" customHeight="1" x14ac:dyDescent="0.3">
      <c r="A302" s="61"/>
      <c r="B302" s="61"/>
      <c r="C302" s="61"/>
      <c r="D302" s="61"/>
      <c r="E302" s="62"/>
      <c r="F302" s="62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spans="1:26" ht="15.75" customHeight="1" x14ac:dyDescent="0.3">
      <c r="A303" s="61"/>
      <c r="B303" s="61"/>
      <c r="C303" s="61"/>
      <c r="D303" s="61"/>
      <c r="E303" s="62"/>
      <c r="F303" s="62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spans="1:26" ht="15.75" customHeight="1" x14ac:dyDescent="0.3">
      <c r="A304" s="61"/>
      <c r="B304" s="61"/>
      <c r="C304" s="61"/>
      <c r="D304" s="61"/>
      <c r="E304" s="62"/>
      <c r="F304" s="62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spans="1:26" ht="15.75" customHeight="1" x14ac:dyDescent="0.3">
      <c r="A305" s="61"/>
      <c r="B305" s="61"/>
      <c r="C305" s="61"/>
      <c r="D305" s="61"/>
      <c r="E305" s="62"/>
      <c r="F305" s="62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spans="1:26" ht="15.75" customHeight="1" x14ac:dyDescent="0.3">
      <c r="A306" s="61"/>
      <c r="B306" s="61"/>
      <c r="C306" s="61"/>
      <c r="D306" s="61"/>
      <c r="E306" s="62"/>
      <c r="F306" s="62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spans="1:26" ht="15.75" customHeight="1" x14ac:dyDescent="0.3">
      <c r="A307" s="61"/>
      <c r="B307" s="61"/>
      <c r="C307" s="61"/>
      <c r="D307" s="61"/>
      <c r="E307" s="62"/>
      <c r="F307" s="62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spans="1:26" ht="15.75" customHeight="1" x14ac:dyDescent="0.3">
      <c r="A308" s="61"/>
      <c r="B308" s="61"/>
      <c r="C308" s="61"/>
      <c r="D308" s="61"/>
      <c r="E308" s="62"/>
      <c r="F308" s="62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spans="1:26" ht="15.75" customHeight="1" x14ac:dyDescent="0.3">
      <c r="A309" s="61"/>
      <c r="B309" s="61"/>
      <c r="C309" s="61"/>
      <c r="D309" s="61"/>
      <c r="E309" s="62"/>
      <c r="F309" s="62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spans="1:26" ht="15.75" customHeight="1" x14ac:dyDescent="0.3">
      <c r="A310" s="61"/>
      <c r="B310" s="61"/>
      <c r="C310" s="61"/>
      <c r="D310" s="61"/>
      <c r="E310" s="62"/>
      <c r="F310" s="62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spans="1:26" ht="15.75" customHeight="1" x14ac:dyDescent="0.3">
      <c r="A311" s="61"/>
      <c r="B311" s="61"/>
      <c r="C311" s="61"/>
      <c r="D311" s="61"/>
      <c r="E311" s="62"/>
      <c r="F311" s="62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spans="1:26" ht="15.75" customHeight="1" x14ac:dyDescent="0.3">
      <c r="A312" s="61"/>
      <c r="B312" s="61"/>
      <c r="C312" s="61"/>
      <c r="D312" s="61"/>
      <c r="E312" s="62"/>
      <c r="F312" s="62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spans="1:26" ht="15.75" customHeight="1" x14ac:dyDescent="0.3">
      <c r="A313" s="61"/>
      <c r="B313" s="61"/>
      <c r="C313" s="61"/>
      <c r="D313" s="61"/>
      <c r="E313" s="62"/>
      <c r="F313" s="62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spans="1:26" ht="15.75" customHeight="1" x14ac:dyDescent="0.3">
      <c r="A314" s="61"/>
      <c r="B314" s="61"/>
      <c r="C314" s="61"/>
      <c r="D314" s="61"/>
      <c r="E314" s="62"/>
      <c r="F314" s="62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spans="1:26" ht="15.75" customHeight="1" x14ac:dyDescent="0.3">
      <c r="A315" s="61"/>
      <c r="B315" s="61"/>
      <c r="C315" s="61"/>
      <c r="D315" s="61"/>
      <c r="E315" s="62"/>
      <c r="F315" s="62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spans="1:26" ht="15.75" customHeight="1" x14ac:dyDescent="0.3">
      <c r="A316" s="61"/>
      <c r="B316" s="61"/>
      <c r="C316" s="61"/>
      <c r="D316" s="61"/>
      <c r="E316" s="62"/>
      <c r="F316" s="62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spans="1:26" ht="15.75" customHeight="1" x14ac:dyDescent="0.3">
      <c r="A317" s="61"/>
      <c r="B317" s="61"/>
      <c r="C317" s="61"/>
      <c r="D317" s="61"/>
      <c r="E317" s="62"/>
      <c r="F317" s="62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spans="1:26" ht="15.75" customHeight="1" x14ac:dyDescent="0.3">
      <c r="A318" s="61"/>
      <c r="B318" s="61"/>
      <c r="C318" s="61"/>
      <c r="D318" s="61"/>
      <c r="E318" s="62"/>
      <c r="F318" s="62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spans="1:26" ht="15.75" customHeight="1" x14ac:dyDescent="0.3">
      <c r="A319" s="61"/>
      <c r="B319" s="61"/>
      <c r="C319" s="61"/>
      <c r="D319" s="61"/>
      <c r="E319" s="62"/>
      <c r="F319" s="62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spans="1:26" ht="15.75" customHeight="1" x14ac:dyDescent="0.3">
      <c r="A320" s="61"/>
      <c r="B320" s="61"/>
      <c r="C320" s="61"/>
      <c r="D320" s="61"/>
      <c r="E320" s="62"/>
      <c r="F320" s="62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spans="1:26" ht="15.75" customHeight="1" x14ac:dyDescent="0.3">
      <c r="A321" s="61"/>
      <c r="B321" s="61"/>
      <c r="C321" s="61"/>
      <c r="D321" s="61"/>
      <c r="E321" s="62"/>
      <c r="F321" s="62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spans="1:26" ht="15.75" customHeight="1" x14ac:dyDescent="0.3">
      <c r="A322" s="61"/>
      <c r="B322" s="61"/>
      <c r="C322" s="61"/>
      <c r="D322" s="61"/>
      <c r="E322" s="62"/>
      <c r="F322" s="62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spans="1:26" ht="15.75" customHeight="1" x14ac:dyDescent="0.3">
      <c r="A323" s="61"/>
      <c r="B323" s="61"/>
      <c r="C323" s="61"/>
      <c r="D323" s="61"/>
      <c r="E323" s="62"/>
      <c r="F323" s="62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spans="1:26" ht="15.75" customHeight="1" x14ac:dyDescent="0.3">
      <c r="A324" s="61"/>
      <c r="B324" s="61"/>
      <c r="C324" s="61"/>
      <c r="D324" s="61"/>
      <c r="E324" s="62"/>
      <c r="F324" s="62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spans="1:26" ht="15.75" customHeight="1" x14ac:dyDescent="0.3">
      <c r="A325" s="61"/>
      <c r="B325" s="61"/>
      <c r="C325" s="61"/>
      <c r="D325" s="61"/>
      <c r="E325" s="62"/>
      <c r="F325" s="62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spans="1:26" ht="15.75" customHeight="1" x14ac:dyDescent="0.3">
      <c r="A326" s="61"/>
      <c r="B326" s="61"/>
      <c r="C326" s="61"/>
      <c r="D326" s="61"/>
      <c r="E326" s="62"/>
      <c r="F326" s="62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spans="1:26" ht="15.75" customHeight="1" x14ac:dyDescent="0.3">
      <c r="A327" s="61"/>
      <c r="B327" s="61"/>
      <c r="C327" s="61"/>
      <c r="D327" s="61"/>
      <c r="E327" s="62"/>
      <c r="F327" s="62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spans="1:26" ht="15.75" customHeight="1" x14ac:dyDescent="0.3">
      <c r="A328" s="61"/>
      <c r="B328" s="61"/>
      <c r="C328" s="61"/>
      <c r="D328" s="61"/>
      <c r="E328" s="62"/>
      <c r="F328" s="62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spans="1:26" ht="15.75" customHeight="1" x14ac:dyDescent="0.3">
      <c r="A329" s="61"/>
      <c r="B329" s="61"/>
      <c r="C329" s="61"/>
      <c r="D329" s="61"/>
      <c r="E329" s="62"/>
      <c r="F329" s="62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spans="1:26" ht="15.75" customHeight="1" x14ac:dyDescent="0.3">
      <c r="A330" s="61"/>
      <c r="B330" s="61"/>
      <c r="C330" s="61"/>
      <c r="D330" s="61"/>
      <c r="E330" s="62"/>
      <c r="F330" s="62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spans="1:26" ht="15.75" customHeight="1" x14ac:dyDescent="0.3">
      <c r="A331" s="61"/>
      <c r="B331" s="61"/>
      <c r="C331" s="61"/>
      <c r="D331" s="61"/>
      <c r="E331" s="62"/>
      <c r="F331" s="62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spans="1:26" ht="15.75" customHeight="1" x14ac:dyDescent="0.3">
      <c r="A332" s="61"/>
      <c r="B332" s="61"/>
      <c r="C332" s="61"/>
      <c r="D332" s="61"/>
      <c r="E332" s="62"/>
      <c r="F332" s="62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spans="1:26" ht="15.75" customHeight="1" x14ac:dyDescent="0.3">
      <c r="A333" s="61"/>
      <c r="B333" s="61"/>
      <c r="C333" s="61"/>
      <c r="D333" s="61"/>
      <c r="E333" s="62"/>
      <c r="F333" s="62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spans="1:26" ht="15.75" customHeight="1" x14ac:dyDescent="0.3">
      <c r="A334" s="61"/>
      <c r="B334" s="61"/>
      <c r="C334" s="61"/>
      <c r="D334" s="61"/>
      <c r="E334" s="62"/>
      <c r="F334" s="62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spans="1:26" ht="15.75" customHeight="1" x14ac:dyDescent="0.3">
      <c r="A335" s="61"/>
      <c r="B335" s="61"/>
      <c r="C335" s="61"/>
      <c r="D335" s="61"/>
      <c r="E335" s="62"/>
      <c r="F335" s="62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spans="1:26" ht="15.75" customHeight="1" x14ac:dyDescent="0.3">
      <c r="A336" s="61"/>
      <c r="B336" s="61"/>
      <c r="C336" s="61"/>
      <c r="D336" s="61"/>
      <c r="E336" s="62"/>
      <c r="F336" s="62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spans="1:26" ht="15.75" customHeight="1" x14ac:dyDescent="0.3">
      <c r="A337" s="61"/>
      <c r="B337" s="61"/>
      <c r="C337" s="61"/>
      <c r="D337" s="61"/>
      <c r="E337" s="62"/>
      <c r="F337" s="62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spans="1:26" ht="15.75" customHeight="1" x14ac:dyDescent="0.3">
      <c r="A338" s="61"/>
      <c r="B338" s="61"/>
      <c r="C338" s="61"/>
      <c r="D338" s="61"/>
      <c r="E338" s="62"/>
      <c r="F338" s="62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spans="1:26" ht="15.75" customHeight="1" x14ac:dyDescent="0.3">
      <c r="A339" s="61"/>
      <c r="B339" s="61"/>
      <c r="C339" s="61"/>
      <c r="D339" s="61"/>
      <c r="E339" s="62"/>
      <c r="F339" s="62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spans="1:26" ht="15.75" customHeight="1" x14ac:dyDescent="0.3">
      <c r="A340" s="61"/>
      <c r="B340" s="61"/>
      <c r="C340" s="61"/>
      <c r="D340" s="61"/>
      <c r="E340" s="62"/>
      <c r="F340" s="62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spans="1:26" ht="15.75" customHeight="1" x14ac:dyDescent="0.3">
      <c r="A341" s="61"/>
      <c r="B341" s="61"/>
      <c r="C341" s="61"/>
      <c r="D341" s="61"/>
      <c r="E341" s="62"/>
      <c r="F341" s="62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spans="1:26" ht="15.75" customHeight="1" x14ac:dyDescent="0.3">
      <c r="A342" s="61"/>
      <c r="B342" s="61"/>
      <c r="C342" s="61"/>
      <c r="D342" s="61"/>
      <c r="E342" s="62"/>
      <c r="F342" s="62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spans="1:26" ht="15.75" customHeight="1" x14ac:dyDescent="0.3">
      <c r="A343" s="61"/>
      <c r="B343" s="61"/>
      <c r="C343" s="61"/>
      <c r="D343" s="61"/>
      <c r="E343" s="62"/>
      <c r="F343" s="62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spans="1:26" ht="15.75" customHeight="1" x14ac:dyDescent="0.3">
      <c r="A344" s="61"/>
      <c r="B344" s="61"/>
      <c r="C344" s="61"/>
      <c r="D344" s="61"/>
      <c r="E344" s="62"/>
      <c r="F344" s="62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spans="1:26" ht="15.75" customHeight="1" x14ac:dyDescent="0.3">
      <c r="A345" s="61"/>
      <c r="B345" s="61"/>
      <c r="C345" s="61"/>
      <c r="D345" s="61"/>
      <c r="E345" s="62"/>
      <c r="F345" s="62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spans="1:26" ht="15.75" customHeight="1" x14ac:dyDescent="0.3">
      <c r="A346" s="61"/>
      <c r="B346" s="61"/>
      <c r="C346" s="61"/>
      <c r="D346" s="61"/>
      <c r="E346" s="62"/>
      <c r="F346" s="62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spans="1:26" ht="15.75" customHeight="1" x14ac:dyDescent="0.3">
      <c r="A347" s="61"/>
      <c r="B347" s="61"/>
      <c r="C347" s="61"/>
      <c r="D347" s="61"/>
      <c r="E347" s="62"/>
      <c r="F347" s="62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spans="1:26" ht="15.75" customHeight="1" x14ac:dyDescent="0.3">
      <c r="A348" s="61"/>
      <c r="B348" s="61"/>
      <c r="C348" s="61"/>
      <c r="D348" s="61"/>
      <c r="E348" s="62"/>
      <c r="F348" s="62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spans="1:26" ht="15.75" customHeight="1" x14ac:dyDescent="0.3">
      <c r="A349" s="61"/>
      <c r="B349" s="61"/>
      <c r="C349" s="61"/>
      <c r="D349" s="61"/>
      <c r="E349" s="62"/>
      <c r="F349" s="62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spans="1:26" ht="15.75" customHeight="1" x14ac:dyDescent="0.3">
      <c r="A350" s="61"/>
      <c r="B350" s="61"/>
      <c r="C350" s="61"/>
      <c r="D350" s="61"/>
      <c r="E350" s="62"/>
      <c r="F350" s="62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spans="1:26" ht="15.75" customHeight="1" x14ac:dyDescent="0.3">
      <c r="A351" s="61"/>
      <c r="B351" s="61"/>
      <c r="C351" s="61"/>
      <c r="D351" s="61"/>
      <c r="E351" s="62"/>
      <c r="F351" s="62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spans="1:26" ht="15.75" customHeight="1" x14ac:dyDescent="0.3">
      <c r="A352" s="61"/>
      <c r="B352" s="61"/>
      <c r="C352" s="61"/>
      <c r="D352" s="61"/>
      <c r="E352" s="62"/>
      <c r="F352" s="62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spans="1:26" ht="15.75" customHeight="1" x14ac:dyDescent="0.3">
      <c r="A353" s="61"/>
      <c r="B353" s="61"/>
      <c r="C353" s="61"/>
      <c r="D353" s="61"/>
      <c r="E353" s="62"/>
      <c r="F353" s="62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spans="1:26" ht="15.75" customHeight="1" x14ac:dyDescent="0.3">
      <c r="A354" s="61"/>
      <c r="B354" s="61"/>
      <c r="C354" s="61"/>
      <c r="D354" s="61"/>
      <c r="E354" s="62"/>
      <c r="F354" s="62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spans="1:26" ht="15.75" customHeight="1" x14ac:dyDescent="0.3">
      <c r="A355" s="61"/>
      <c r="B355" s="61"/>
      <c r="C355" s="61"/>
      <c r="D355" s="61"/>
      <c r="E355" s="62"/>
      <c r="F355" s="62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spans="1:26" ht="15.75" customHeight="1" x14ac:dyDescent="0.3">
      <c r="A356" s="61"/>
      <c r="B356" s="61"/>
      <c r="C356" s="61"/>
      <c r="D356" s="61"/>
      <c r="E356" s="62"/>
      <c r="F356" s="62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spans="1:26" ht="15.75" customHeight="1" x14ac:dyDescent="0.3">
      <c r="A357" s="61"/>
      <c r="B357" s="61"/>
      <c r="C357" s="61"/>
      <c r="D357" s="61"/>
      <c r="E357" s="62"/>
      <c r="F357" s="62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spans="1:26" ht="15.75" customHeight="1" x14ac:dyDescent="0.3">
      <c r="A358" s="61"/>
      <c r="B358" s="61"/>
      <c r="C358" s="61"/>
      <c r="D358" s="61"/>
      <c r="E358" s="62"/>
      <c r="F358" s="62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spans="1:26" ht="15.75" customHeight="1" x14ac:dyDescent="0.3">
      <c r="A359" s="61"/>
      <c r="B359" s="61"/>
      <c r="C359" s="61"/>
      <c r="D359" s="61"/>
      <c r="E359" s="62"/>
      <c r="F359" s="62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spans="1:26" ht="15.75" customHeight="1" x14ac:dyDescent="0.3">
      <c r="A360" s="61"/>
      <c r="B360" s="61"/>
      <c r="C360" s="61"/>
      <c r="D360" s="61"/>
      <c r="E360" s="62"/>
      <c r="F360" s="62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spans="1:26" ht="15.75" customHeight="1" x14ac:dyDescent="0.3">
      <c r="A361" s="61"/>
      <c r="B361" s="61"/>
      <c r="C361" s="61"/>
      <c r="D361" s="61"/>
      <c r="E361" s="62"/>
      <c r="F361" s="62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spans="1:26" ht="15.75" customHeight="1" x14ac:dyDescent="0.3">
      <c r="A362" s="61"/>
      <c r="B362" s="61"/>
      <c r="C362" s="61"/>
      <c r="D362" s="61"/>
      <c r="E362" s="62"/>
      <c r="F362" s="62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spans="1:26" ht="15.75" customHeight="1" x14ac:dyDescent="0.3">
      <c r="A363" s="61"/>
      <c r="B363" s="61"/>
      <c r="C363" s="61"/>
      <c r="D363" s="61"/>
      <c r="E363" s="62"/>
      <c r="F363" s="62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spans="1:26" ht="15.75" customHeight="1" x14ac:dyDescent="0.3">
      <c r="A364" s="61"/>
      <c r="B364" s="61"/>
      <c r="C364" s="61"/>
      <c r="D364" s="61"/>
      <c r="E364" s="62"/>
      <c r="F364" s="62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spans="1:26" ht="15.75" customHeight="1" x14ac:dyDescent="0.3">
      <c r="A365" s="61"/>
      <c r="B365" s="61"/>
      <c r="C365" s="61"/>
      <c r="D365" s="61"/>
      <c r="E365" s="62"/>
      <c r="F365" s="62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spans="1:26" ht="15.75" customHeight="1" x14ac:dyDescent="0.3">
      <c r="A366" s="61"/>
      <c r="B366" s="61"/>
      <c r="C366" s="61"/>
      <c r="D366" s="61"/>
      <c r="E366" s="62"/>
      <c r="F366" s="62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spans="1:26" ht="15.75" customHeight="1" x14ac:dyDescent="0.3">
      <c r="A367" s="61"/>
      <c r="B367" s="61"/>
      <c r="C367" s="61"/>
      <c r="D367" s="61"/>
      <c r="E367" s="62"/>
      <c r="F367" s="62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spans="1:26" ht="15.75" customHeight="1" x14ac:dyDescent="0.3">
      <c r="A368" s="61"/>
      <c r="B368" s="61"/>
      <c r="C368" s="61"/>
      <c r="D368" s="61"/>
      <c r="E368" s="62"/>
      <c r="F368" s="62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spans="1:26" ht="15.75" customHeight="1" x14ac:dyDescent="0.3">
      <c r="A369" s="61"/>
      <c r="B369" s="61"/>
      <c r="C369" s="61"/>
      <c r="D369" s="61"/>
      <c r="E369" s="62"/>
      <c r="F369" s="62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spans="1:26" ht="15.75" customHeight="1" x14ac:dyDescent="0.3">
      <c r="A370" s="61"/>
      <c r="B370" s="61"/>
      <c r="C370" s="61"/>
      <c r="D370" s="61"/>
      <c r="E370" s="62"/>
      <c r="F370" s="62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spans="1:26" ht="15.75" customHeight="1" x14ac:dyDescent="0.3">
      <c r="A371" s="61"/>
      <c r="B371" s="61"/>
      <c r="C371" s="61"/>
      <c r="D371" s="61"/>
      <c r="E371" s="62"/>
      <c r="F371" s="62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spans="1:26" ht="15.75" customHeight="1" x14ac:dyDescent="0.3">
      <c r="A372" s="61"/>
      <c r="B372" s="61"/>
      <c r="C372" s="61"/>
      <c r="D372" s="61"/>
      <c r="E372" s="62"/>
      <c r="F372" s="62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spans="1:26" ht="15.75" customHeight="1" x14ac:dyDescent="0.3">
      <c r="A373" s="61"/>
      <c r="B373" s="61"/>
      <c r="C373" s="61"/>
      <c r="D373" s="61"/>
      <c r="E373" s="62"/>
      <c r="F373" s="62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spans="1:26" ht="15.75" customHeight="1" x14ac:dyDescent="0.3">
      <c r="A374" s="61"/>
      <c r="B374" s="61"/>
      <c r="C374" s="61"/>
      <c r="D374" s="61"/>
      <c r="E374" s="62"/>
      <c r="F374" s="62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spans="1:26" ht="15.75" customHeight="1" x14ac:dyDescent="0.3">
      <c r="A375" s="61"/>
      <c r="B375" s="61"/>
      <c r="C375" s="61"/>
      <c r="D375" s="61"/>
      <c r="E375" s="62"/>
      <c r="F375" s="62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spans="1:26" ht="15.75" customHeight="1" x14ac:dyDescent="0.3">
      <c r="A376" s="61"/>
      <c r="B376" s="61"/>
      <c r="C376" s="61"/>
      <c r="D376" s="61"/>
      <c r="E376" s="62"/>
      <c r="F376" s="62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spans="1:26" ht="15.75" customHeight="1" x14ac:dyDescent="0.3">
      <c r="A377" s="61"/>
      <c r="B377" s="61"/>
      <c r="C377" s="61"/>
      <c r="D377" s="61"/>
      <c r="E377" s="62"/>
      <c r="F377" s="62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spans="1:26" ht="15.75" customHeight="1" x14ac:dyDescent="0.3">
      <c r="A378" s="61"/>
      <c r="B378" s="61"/>
      <c r="C378" s="61"/>
      <c r="D378" s="61"/>
      <c r="E378" s="62"/>
      <c r="F378" s="62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spans="1:26" ht="15.75" customHeight="1" x14ac:dyDescent="0.3">
      <c r="A379" s="61"/>
      <c r="B379" s="61"/>
      <c r="C379" s="61"/>
      <c r="D379" s="61"/>
      <c r="E379" s="62"/>
      <c r="F379" s="62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spans="1:26" ht="15.75" customHeight="1" x14ac:dyDescent="0.3">
      <c r="A380" s="61"/>
      <c r="B380" s="61"/>
      <c r="C380" s="61"/>
      <c r="D380" s="61"/>
      <c r="E380" s="62"/>
      <c r="F380" s="62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spans="1:26" ht="15.75" customHeight="1" x14ac:dyDescent="0.3">
      <c r="A381" s="61"/>
      <c r="B381" s="61"/>
      <c r="C381" s="61"/>
      <c r="D381" s="61"/>
      <c r="E381" s="62"/>
      <c r="F381" s="62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spans="1:26" ht="15.75" customHeight="1" x14ac:dyDescent="0.3">
      <c r="A382" s="61"/>
      <c r="B382" s="61"/>
      <c r="C382" s="61"/>
      <c r="D382" s="61"/>
      <c r="E382" s="62"/>
      <c r="F382" s="62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spans="1:26" ht="15.75" customHeight="1" x14ac:dyDescent="0.3">
      <c r="A383" s="61"/>
      <c r="B383" s="61"/>
      <c r="C383" s="61"/>
      <c r="D383" s="61"/>
      <c r="E383" s="62"/>
      <c r="F383" s="62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spans="1:26" ht="15.75" customHeight="1" x14ac:dyDescent="0.3">
      <c r="A384" s="61"/>
      <c r="B384" s="61"/>
      <c r="C384" s="61"/>
      <c r="D384" s="61"/>
      <c r="E384" s="62"/>
      <c r="F384" s="62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spans="1:26" ht="15.75" customHeight="1" x14ac:dyDescent="0.3">
      <c r="A385" s="61"/>
      <c r="B385" s="61"/>
      <c r="C385" s="61"/>
      <c r="D385" s="61"/>
      <c r="E385" s="62"/>
      <c r="F385" s="62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spans="1:26" ht="15.75" customHeight="1" x14ac:dyDescent="0.3">
      <c r="A386" s="61"/>
      <c r="B386" s="61"/>
      <c r="C386" s="61"/>
      <c r="D386" s="61"/>
      <c r="E386" s="62"/>
      <c r="F386" s="62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spans="1:26" ht="15.75" customHeight="1" x14ac:dyDescent="0.3">
      <c r="A387" s="61"/>
      <c r="B387" s="61"/>
      <c r="C387" s="61"/>
      <c r="D387" s="61"/>
      <c r="E387" s="62"/>
      <c r="F387" s="62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spans="1:26" ht="15.75" customHeight="1" x14ac:dyDescent="0.3">
      <c r="A388" s="61"/>
      <c r="B388" s="61"/>
      <c r="C388" s="61"/>
      <c r="D388" s="61"/>
      <c r="E388" s="62"/>
      <c r="F388" s="62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spans="1:26" ht="15.75" customHeight="1" x14ac:dyDescent="0.3">
      <c r="A389" s="61"/>
      <c r="B389" s="61"/>
      <c r="C389" s="61"/>
      <c r="D389" s="61"/>
      <c r="E389" s="62"/>
      <c r="F389" s="62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spans="1:26" ht="15.75" customHeight="1" x14ac:dyDescent="0.3">
      <c r="A390" s="61"/>
      <c r="B390" s="61"/>
      <c r="C390" s="61"/>
      <c r="D390" s="61"/>
      <c r="E390" s="62"/>
      <c r="F390" s="62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spans="1:26" ht="15.75" customHeight="1" x14ac:dyDescent="0.3">
      <c r="A391" s="61"/>
      <c r="B391" s="61"/>
      <c r="C391" s="61"/>
      <c r="D391" s="61"/>
      <c r="E391" s="62"/>
      <c r="F391" s="62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spans="1:26" ht="15.75" customHeight="1" x14ac:dyDescent="0.3">
      <c r="A392" s="61"/>
      <c r="B392" s="61"/>
      <c r="C392" s="61"/>
      <c r="D392" s="61"/>
      <c r="E392" s="62"/>
      <c r="F392" s="62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spans="1:26" ht="15.75" customHeight="1" x14ac:dyDescent="0.3">
      <c r="A393" s="61"/>
      <c r="B393" s="61"/>
      <c r="C393" s="61"/>
      <c r="D393" s="61"/>
      <c r="E393" s="62"/>
      <c r="F393" s="62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spans="1:26" ht="15.75" customHeight="1" x14ac:dyDescent="0.3">
      <c r="A394" s="61"/>
      <c r="B394" s="61"/>
      <c r="C394" s="61"/>
      <c r="D394" s="61"/>
      <c r="E394" s="62"/>
      <c r="F394" s="62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spans="1:26" ht="15.75" customHeight="1" x14ac:dyDescent="0.3">
      <c r="A395" s="61"/>
      <c r="B395" s="61"/>
      <c r="C395" s="61"/>
      <c r="D395" s="61"/>
      <c r="E395" s="62"/>
      <c r="F395" s="62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spans="1:26" ht="15.75" customHeight="1" x14ac:dyDescent="0.3">
      <c r="A396" s="61"/>
      <c r="B396" s="61"/>
      <c r="C396" s="61"/>
      <c r="D396" s="61"/>
      <c r="E396" s="62"/>
      <c r="F396" s="62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spans="1:26" ht="15.75" customHeight="1" x14ac:dyDescent="0.3">
      <c r="A397" s="61"/>
      <c r="B397" s="61"/>
      <c r="C397" s="61"/>
      <c r="D397" s="61"/>
      <c r="E397" s="62"/>
      <c r="F397" s="62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spans="1:26" ht="15.75" customHeight="1" x14ac:dyDescent="0.3">
      <c r="A398" s="61"/>
      <c r="B398" s="61"/>
      <c r="C398" s="61"/>
      <c r="D398" s="61"/>
      <c r="E398" s="62"/>
      <c r="F398" s="62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spans="1:26" ht="15.75" customHeight="1" x14ac:dyDescent="0.3">
      <c r="A399" s="61"/>
      <c r="B399" s="61"/>
      <c r="C399" s="61"/>
      <c r="D399" s="61"/>
      <c r="E399" s="62"/>
      <c r="F399" s="62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spans="1:26" ht="15.75" customHeight="1" x14ac:dyDescent="0.3">
      <c r="A400" s="61"/>
      <c r="B400" s="61"/>
      <c r="C400" s="61"/>
      <c r="D400" s="61"/>
      <c r="E400" s="62"/>
      <c r="F400" s="62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spans="1:26" ht="15.75" customHeight="1" x14ac:dyDescent="0.3">
      <c r="A401" s="61"/>
      <c r="B401" s="61"/>
      <c r="C401" s="61"/>
      <c r="D401" s="61"/>
      <c r="E401" s="62"/>
      <c r="F401" s="62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spans="1:26" ht="15.75" customHeight="1" x14ac:dyDescent="0.3">
      <c r="A402" s="61"/>
      <c r="B402" s="61"/>
      <c r="C402" s="61"/>
      <c r="D402" s="61"/>
      <c r="E402" s="62"/>
      <c r="F402" s="62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spans="1:26" ht="15.75" customHeight="1" x14ac:dyDescent="0.3">
      <c r="A403" s="61"/>
      <c r="B403" s="61"/>
      <c r="C403" s="61"/>
      <c r="D403" s="61"/>
      <c r="E403" s="62"/>
      <c r="F403" s="62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spans="1:26" ht="15.75" customHeight="1" x14ac:dyDescent="0.3">
      <c r="A404" s="61"/>
      <c r="B404" s="61"/>
      <c r="C404" s="61"/>
      <c r="D404" s="61"/>
      <c r="E404" s="62"/>
      <c r="F404" s="62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spans="1:26" ht="15.75" customHeight="1" x14ac:dyDescent="0.3">
      <c r="A405" s="61"/>
      <c r="B405" s="61"/>
      <c r="C405" s="61"/>
      <c r="D405" s="61"/>
      <c r="E405" s="62"/>
      <c r="F405" s="62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spans="1:26" ht="15.75" customHeight="1" x14ac:dyDescent="0.3">
      <c r="A406" s="61"/>
      <c r="B406" s="61"/>
      <c r="C406" s="61"/>
      <c r="D406" s="61"/>
      <c r="E406" s="62"/>
      <c r="F406" s="62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spans="1:26" ht="15.75" customHeight="1" x14ac:dyDescent="0.3">
      <c r="A407" s="61"/>
      <c r="B407" s="61"/>
      <c r="C407" s="61"/>
      <c r="D407" s="61"/>
      <c r="E407" s="62"/>
      <c r="F407" s="62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spans="1:26" ht="15.75" customHeight="1" x14ac:dyDescent="0.3">
      <c r="A408" s="61"/>
      <c r="B408" s="61"/>
      <c r="C408" s="61"/>
      <c r="D408" s="61"/>
      <c r="E408" s="62"/>
      <c r="F408" s="62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spans="1:26" ht="15.75" customHeight="1" x14ac:dyDescent="0.3">
      <c r="A409" s="61"/>
      <c r="B409" s="61"/>
      <c r="C409" s="61"/>
      <c r="D409" s="61"/>
      <c r="E409" s="62"/>
      <c r="F409" s="62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spans="1:26" ht="15.75" customHeight="1" x14ac:dyDescent="0.3">
      <c r="A410" s="61"/>
      <c r="B410" s="61"/>
      <c r="C410" s="61"/>
      <c r="D410" s="61"/>
      <c r="E410" s="62"/>
      <c r="F410" s="62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spans="1:26" ht="15.75" customHeight="1" x14ac:dyDescent="0.3">
      <c r="A411" s="61"/>
      <c r="B411" s="61"/>
      <c r="C411" s="61"/>
      <c r="D411" s="61"/>
      <c r="E411" s="62"/>
      <c r="F411" s="62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spans="1:26" ht="15.75" customHeight="1" x14ac:dyDescent="0.3">
      <c r="A412" s="61"/>
      <c r="B412" s="61"/>
      <c r="C412" s="61"/>
      <c r="D412" s="61"/>
      <c r="E412" s="62"/>
      <c r="F412" s="62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spans="1:26" ht="15.75" customHeight="1" x14ac:dyDescent="0.3">
      <c r="A413" s="61"/>
      <c r="B413" s="61"/>
      <c r="C413" s="61"/>
      <c r="D413" s="61"/>
      <c r="E413" s="62"/>
      <c r="F413" s="62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spans="1:26" ht="15.75" customHeight="1" x14ac:dyDescent="0.3">
      <c r="A414" s="61"/>
      <c r="B414" s="61"/>
      <c r="C414" s="61"/>
      <c r="D414" s="61"/>
      <c r="E414" s="62"/>
      <c r="F414" s="62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spans="1:26" ht="15.75" customHeight="1" x14ac:dyDescent="0.3">
      <c r="A415" s="61"/>
      <c r="B415" s="61"/>
      <c r="C415" s="61"/>
      <c r="D415" s="61"/>
      <c r="E415" s="62"/>
      <c r="F415" s="62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spans="1:26" ht="15.75" customHeight="1" x14ac:dyDescent="0.3">
      <c r="A416" s="61"/>
      <c r="B416" s="61"/>
      <c r="C416" s="61"/>
      <c r="D416" s="61"/>
      <c r="E416" s="62"/>
      <c r="F416" s="62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spans="1:26" ht="15.75" customHeight="1" x14ac:dyDescent="0.3">
      <c r="A417" s="61"/>
      <c r="B417" s="61"/>
      <c r="C417" s="61"/>
      <c r="D417" s="61"/>
      <c r="E417" s="62"/>
      <c r="F417" s="62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spans="1:26" ht="15.75" customHeight="1" x14ac:dyDescent="0.3">
      <c r="A418" s="61"/>
      <c r="B418" s="61"/>
      <c r="C418" s="61"/>
      <c r="D418" s="61"/>
      <c r="E418" s="62"/>
      <c r="F418" s="62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spans="1:26" ht="15.75" customHeight="1" x14ac:dyDescent="0.3">
      <c r="A419" s="61"/>
      <c r="B419" s="61"/>
      <c r="C419" s="61"/>
      <c r="D419" s="61"/>
      <c r="E419" s="62"/>
      <c r="F419" s="62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spans="1:26" ht="15.75" customHeight="1" x14ac:dyDescent="0.3">
      <c r="A420" s="61"/>
      <c r="B420" s="61"/>
      <c r="C420" s="61"/>
      <c r="D420" s="61"/>
      <c r="E420" s="62"/>
      <c r="F420" s="62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spans="1:26" ht="15.75" customHeight="1" x14ac:dyDescent="0.3">
      <c r="A421" s="61"/>
      <c r="B421" s="61"/>
      <c r="C421" s="61"/>
      <c r="D421" s="61"/>
      <c r="E421" s="62"/>
      <c r="F421" s="62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spans="1:26" ht="15.75" customHeight="1" x14ac:dyDescent="0.3">
      <c r="A422" s="61"/>
      <c r="B422" s="61"/>
      <c r="C422" s="61"/>
      <c r="D422" s="61"/>
      <c r="E422" s="62"/>
      <c r="F422" s="62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spans="1:26" ht="15.75" customHeight="1" x14ac:dyDescent="0.3">
      <c r="A423" s="61"/>
      <c r="B423" s="61"/>
      <c r="C423" s="61"/>
      <c r="D423" s="61"/>
      <c r="E423" s="62"/>
      <c r="F423" s="62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spans="1:26" ht="15.75" customHeight="1" x14ac:dyDescent="0.3">
      <c r="A424" s="61"/>
      <c r="B424" s="61"/>
      <c r="C424" s="61"/>
      <c r="D424" s="61"/>
      <c r="E424" s="62"/>
      <c r="F424" s="62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spans="1:26" ht="15.75" customHeight="1" x14ac:dyDescent="0.3">
      <c r="A425" s="61"/>
      <c r="B425" s="61"/>
      <c r="C425" s="61"/>
      <c r="D425" s="61"/>
      <c r="E425" s="62"/>
      <c r="F425" s="62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spans="1:26" ht="15.75" customHeight="1" x14ac:dyDescent="0.3">
      <c r="A426" s="61"/>
      <c r="B426" s="61"/>
      <c r="C426" s="61"/>
      <c r="D426" s="61"/>
      <c r="E426" s="62"/>
      <c r="F426" s="62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spans="1:26" ht="15.75" customHeight="1" x14ac:dyDescent="0.3">
      <c r="A427" s="61"/>
      <c r="B427" s="61"/>
      <c r="C427" s="61"/>
      <c r="D427" s="61"/>
      <c r="E427" s="62"/>
      <c r="F427" s="62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spans="1:26" ht="15.75" customHeight="1" x14ac:dyDescent="0.3">
      <c r="A428" s="61"/>
      <c r="B428" s="61"/>
      <c r="C428" s="61"/>
      <c r="D428" s="61"/>
      <c r="E428" s="62"/>
      <c r="F428" s="62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spans="1:26" ht="15.75" customHeight="1" x14ac:dyDescent="0.3">
      <c r="A429" s="61"/>
      <c r="B429" s="61"/>
      <c r="C429" s="61"/>
      <c r="D429" s="61"/>
      <c r="E429" s="62"/>
      <c r="F429" s="62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spans="1:26" ht="15.75" customHeight="1" x14ac:dyDescent="0.3">
      <c r="A430" s="61"/>
      <c r="B430" s="61"/>
      <c r="C430" s="61"/>
      <c r="D430" s="61"/>
      <c r="E430" s="62"/>
      <c r="F430" s="62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spans="1:26" ht="15.75" customHeight="1" x14ac:dyDescent="0.3">
      <c r="A431" s="61"/>
      <c r="B431" s="61"/>
      <c r="C431" s="61"/>
      <c r="D431" s="61"/>
      <c r="E431" s="62"/>
      <c r="F431" s="62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spans="1:26" ht="15.75" customHeight="1" x14ac:dyDescent="0.3">
      <c r="A432" s="61"/>
      <c r="B432" s="61"/>
      <c r="C432" s="61"/>
      <c r="D432" s="61"/>
      <c r="E432" s="62"/>
      <c r="F432" s="62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spans="1:26" ht="15.75" customHeight="1" x14ac:dyDescent="0.3">
      <c r="A433" s="61"/>
      <c r="B433" s="61"/>
      <c r="C433" s="61"/>
      <c r="D433" s="61"/>
      <c r="E433" s="62"/>
      <c r="F433" s="62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spans="1:26" ht="15.75" customHeight="1" x14ac:dyDescent="0.3">
      <c r="A434" s="61"/>
      <c r="B434" s="61"/>
      <c r="C434" s="61"/>
      <c r="D434" s="61"/>
      <c r="E434" s="62"/>
      <c r="F434" s="62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spans="1:26" ht="15.75" customHeight="1" x14ac:dyDescent="0.3">
      <c r="A435" s="61"/>
      <c r="B435" s="61"/>
      <c r="C435" s="61"/>
      <c r="D435" s="61"/>
      <c r="E435" s="62"/>
      <c r="F435" s="62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spans="1:26" ht="15.75" customHeight="1" x14ac:dyDescent="0.3">
      <c r="A436" s="61"/>
      <c r="B436" s="61"/>
      <c r="C436" s="61"/>
      <c r="D436" s="61"/>
      <c r="E436" s="62"/>
      <c r="F436" s="62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spans="1:26" ht="15.75" customHeight="1" x14ac:dyDescent="0.3">
      <c r="A437" s="61"/>
      <c r="B437" s="61"/>
      <c r="C437" s="61"/>
      <c r="D437" s="61"/>
      <c r="E437" s="62"/>
      <c r="F437" s="62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spans="1:26" ht="15.75" customHeight="1" x14ac:dyDescent="0.3">
      <c r="A438" s="61"/>
      <c r="B438" s="61"/>
      <c r="C438" s="61"/>
      <c r="D438" s="61"/>
      <c r="E438" s="62"/>
      <c r="F438" s="62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spans="1:26" ht="15.75" customHeight="1" x14ac:dyDescent="0.3">
      <c r="A439" s="61"/>
      <c r="B439" s="61"/>
      <c r="C439" s="61"/>
      <c r="D439" s="61"/>
      <c r="E439" s="62"/>
      <c r="F439" s="62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spans="1:26" ht="15.75" customHeight="1" x14ac:dyDescent="0.3">
      <c r="A440" s="61"/>
      <c r="B440" s="61"/>
      <c r="C440" s="61"/>
      <c r="D440" s="61"/>
      <c r="E440" s="62"/>
      <c r="F440" s="62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spans="1:26" ht="15.75" customHeight="1" x14ac:dyDescent="0.3">
      <c r="A441" s="61"/>
      <c r="B441" s="61"/>
      <c r="C441" s="61"/>
      <c r="D441" s="61"/>
      <c r="E441" s="62"/>
      <c r="F441" s="62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spans="1:26" ht="15.75" customHeight="1" x14ac:dyDescent="0.3">
      <c r="A442" s="61"/>
      <c r="B442" s="61"/>
      <c r="C442" s="61"/>
      <c r="D442" s="61"/>
      <c r="E442" s="62"/>
      <c r="F442" s="62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spans="1:26" ht="15.75" customHeight="1" x14ac:dyDescent="0.3">
      <c r="A443" s="61"/>
      <c r="B443" s="61"/>
      <c r="C443" s="61"/>
      <c r="D443" s="61"/>
      <c r="E443" s="62"/>
      <c r="F443" s="62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spans="1:26" ht="15.75" customHeight="1" x14ac:dyDescent="0.3">
      <c r="A444" s="61"/>
      <c r="B444" s="61"/>
      <c r="C444" s="61"/>
      <c r="D444" s="61"/>
      <c r="E444" s="62"/>
      <c r="F444" s="62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spans="1:26" ht="15.75" customHeight="1" x14ac:dyDescent="0.3">
      <c r="A445" s="61"/>
      <c r="B445" s="61"/>
      <c r="C445" s="61"/>
      <c r="D445" s="61"/>
      <c r="E445" s="62"/>
      <c r="F445" s="62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spans="1:26" ht="15.75" customHeight="1" x14ac:dyDescent="0.3">
      <c r="A446" s="61"/>
      <c r="B446" s="61"/>
      <c r="C446" s="61"/>
      <c r="D446" s="61"/>
      <c r="E446" s="62"/>
      <c r="F446" s="62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spans="1:26" ht="15.75" customHeight="1" x14ac:dyDescent="0.3">
      <c r="A447" s="61"/>
      <c r="B447" s="61"/>
      <c r="C447" s="61"/>
      <c r="D447" s="61"/>
      <c r="E447" s="62"/>
      <c r="F447" s="62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spans="1:26" ht="15.75" customHeight="1" x14ac:dyDescent="0.3">
      <c r="A448" s="61"/>
      <c r="B448" s="61"/>
      <c r="C448" s="61"/>
      <c r="D448" s="61"/>
      <c r="E448" s="62"/>
      <c r="F448" s="62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spans="1:26" ht="15.75" customHeight="1" x14ac:dyDescent="0.3">
      <c r="A449" s="61"/>
      <c r="B449" s="61"/>
      <c r="C449" s="61"/>
      <c r="D449" s="61"/>
      <c r="E449" s="62"/>
      <c r="F449" s="62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spans="1:26" ht="15.75" customHeight="1" x14ac:dyDescent="0.3">
      <c r="A450" s="61"/>
      <c r="B450" s="61"/>
      <c r="C450" s="61"/>
      <c r="D450" s="61"/>
      <c r="E450" s="62"/>
      <c r="F450" s="62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spans="1:26" ht="15.75" customHeight="1" x14ac:dyDescent="0.3">
      <c r="A451" s="61"/>
      <c r="B451" s="61"/>
      <c r="C451" s="61"/>
      <c r="D451" s="61"/>
      <c r="E451" s="62"/>
      <c r="F451" s="62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spans="1:26" ht="15.75" customHeight="1" x14ac:dyDescent="0.3">
      <c r="A452" s="61"/>
      <c r="B452" s="61"/>
      <c r="C452" s="61"/>
      <c r="D452" s="61"/>
      <c r="E452" s="62"/>
      <c r="F452" s="62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spans="1:26" ht="15.75" customHeight="1" x14ac:dyDescent="0.3">
      <c r="A453" s="61"/>
      <c r="B453" s="61"/>
      <c r="C453" s="61"/>
      <c r="D453" s="61"/>
      <c r="E453" s="62"/>
      <c r="F453" s="62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spans="1:26" ht="15.75" customHeight="1" x14ac:dyDescent="0.3">
      <c r="A454" s="61"/>
      <c r="B454" s="61"/>
      <c r="C454" s="61"/>
      <c r="D454" s="61"/>
      <c r="E454" s="62"/>
      <c r="F454" s="62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spans="1:26" ht="15.75" customHeight="1" x14ac:dyDescent="0.3">
      <c r="A455" s="61"/>
      <c r="B455" s="61"/>
      <c r="C455" s="61"/>
      <c r="D455" s="61"/>
      <c r="E455" s="62"/>
      <c r="F455" s="62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spans="1:26" ht="15.75" customHeight="1" x14ac:dyDescent="0.3">
      <c r="A456" s="61"/>
      <c r="B456" s="61"/>
      <c r="C456" s="61"/>
      <c r="D456" s="61"/>
      <c r="E456" s="62"/>
      <c r="F456" s="62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spans="1:26" ht="15.75" customHeight="1" x14ac:dyDescent="0.3">
      <c r="A457" s="61"/>
      <c r="B457" s="61"/>
      <c r="C457" s="61"/>
      <c r="D457" s="61"/>
      <c r="E457" s="62"/>
      <c r="F457" s="62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spans="1:26" ht="15.75" customHeight="1" x14ac:dyDescent="0.3">
      <c r="A458" s="61"/>
      <c r="B458" s="61"/>
      <c r="C458" s="61"/>
      <c r="D458" s="61"/>
      <c r="E458" s="62"/>
      <c r="F458" s="62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spans="1:26" ht="15.75" customHeight="1" x14ac:dyDescent="0.3">
      <c r="A459" s="61"/>
      <c r="B459" s="61"/>
      <c r="C459" s="61"/>
      <c r="D459" s="61"/>
      <c r="E459" s="62"/>
      <c r="F459" s="62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spans="1:26" ht="15.75" customHeight="1" x14ac:dyDescent="0.3">
      <c r="A460" s="61"/>
      <c r="B460" s="61"/>
      <c r="C460" s="61"/>
      <c r="D460" s="61"/>
      <c r="E460" s="62"/>
      <c r="F460" s="62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spans="1:26" ht="15.75" customHeight="1" x14ac:dyDescent="0.3">
      <c r="A461" s="61"/>
      <c r="B461" s="61"/>
      <c r="C461" s="61"/>
      <c r="D461" s="61"/>
      <c r="E461" s="62"/>
      <c r="F461" s="62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spans="1:26" ht="15.75" customHeight="1" x14ac:dyDescent="0.3">
      <c r="A462" s="61"/>
      <c r="B462" s="61"/>
      <c r="C462" s="61"/>
      <c r="D462" s="61"/>
      <c r="E462" s="62"/>
      <c r="F462" s="62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spans="1:26" ht="15.75" customHeight="1" x14ac:dyDescent="0.3">
      <c r="A463" s="61"/>
      <c r="B463" s="61"/>
      <c r="C463" s="61"/>
      <c r="D463" s="61"/>
      <c r="E463" s="62"/>
      <c r="F463" s="62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spans="1:26" ht="15.75" customHeight="1" x14ac:dyDescent="0.3">
      <c r="A464" s="61"/>
      <c r="B464" s="61"/>
      <c r="C464" s="61"/>
      <c r="D464" s="61"/>
      <c r="E464" s="62"/>
      <c r="F464" s="62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spans="1:26" ht="15.75" customHeight="1" x14ac:dyDescent="0.3">
      <c r="A465" s="61"/>
      <c r="B465" s="61"/>
      <c r="C465" s="61"/>
      <c r="D465" s="61"/>
      <c r="E465" s="62"/>
      <c r="F465" s="62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spans="1:26" ht="15.75" customHeight="1" x14ac:dyDescent="0.3">
      <c r="A466" s="61"/>
      <c r="B466" s="61"/>
      <c r="C466" s="61"/>
      <c r="D466" s="61"/>
      <c r="E466" s="62"/>
      <c r="F466" s="62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spans="1:26" ht="15.75" customHeight="1" x14ac:dyDescent="0.3">
      <c r="A467" s="61"/>
      <c r="B467" s="61"/>
      <c r="C467" s="61"/>
      <c r="D467" s="61"/>
      <c r="E467" s="62"/>
      <c r="F467" s="62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spans="1:26" ht="15.75" customHeight="1" x14ac:dyDescent="0.3">
      <c r="A468" s="61"/>
      <c r="B468" s="61"/>
      <c r="C468" s="61"/>
      <c r="D468" s="61"/>
      <c r="E468" s="62"/>
      <c r="F468" s="62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spans="1:26" ht="15.75" customHeight="1" x14ac:dyDescent="0.3">
      <c r="A469" s="61"/>
      <c r="B469" s="61"/>
      <c r="C469" s="61"/>
      <c r="D469" s="61"/>
      <c r="E469" s="62"/>
      <c r="F469" s="62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spans="1:26" ht="15.75" customHeight="1" x14ac:dyDescent="0.3">
      <c r="A470" s="61"/>
      <c r="B470" s="61"/>
      <c r="C470" s="61"/>
      <c r="D470" s="61"/>
      <c r="E470" s="62"/>
      <c r="F470" s="62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spans="1:26" ht="15.75" customHeight="1" x14ac:dyDescent="0.3">
      <c r="A471" s="61"/>
      <c r="B471" s="61"/>
      <c r="C471" s="61"/>
      <c r="D471" s="61"/>
      <c r="E471" s="62"/>
      <c r="F471" s="62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spans="1:26" ht="15.75" customHeight="1" x14ac:dyDescent="0.3">
      <c r="A472" s="61"/>
      <c r="B472" s="61"/>
      <c r="C472" s="61"/>
      <c r="D472" s="61"/>
      <c r="E472" s="62"/>
      <c r="F472" s="62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spans="1:26" ht="15.75" customHeight="1" x14ac:dyDescent="0.3">
      <c r="A473" s="61"/>
      <c r="B473" s="61"/>
      <c r="C473" s="61"/>
      <c r="D473" s="61"/>
      <c r="E473" s="62"/>
      <c r="F473" s="62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spans="1:26" ht="15.75" customHeight="1" x14ac:dyDescent="0.3">
      <c r="A474" s="61"/>
      <c r="B474" s="61"/>
      <c r="C474" s="61"/>
      <c r="D474" s="61"/>
      <c r="E474" s="62"/>
      <c r="F474" s="62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spans="1:26" ht="15.75" customHeight="1" x14ac:dyDescent="0.3">
      <c r="A475" s="61"/>
      <c r="B475" s="61"/>
      <c r="C475" s="61"/>
      <c r="D475" s="61"/>
      <c r="E475" s="62"/>
      <c r="F475" s="62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spans="1:26" ht="15.75" customHeight="1" x14ac:dyDescent="0.3">
      <c r="A476" s="61"/>
      <c r="B476" s="61"/>
      <c r="C476" s="61"/>
      <c r="D476" s="61"/>
      <c r="E476" s="62"/>
      <c r="F476" s="62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spans="1:26" ht="15.75" customHeight="1" x14ac:dyDescent="0.3">
      <c r="A477" s="61"/>
      <c r="B477" s="61"/>
      <c r="C477" s="61"/>
      <c r="D477" s="61"/>
      <c r="E477" s="62"/>
      <c r="F477" s="62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spans="1:26" ht="15.75" customHeight="1" x14ac:dyDescent="0.3">
      <c r="A478" s="61"/>
      <c r="B478" s="61"/>
      <c r="C478" s="61"/>
      <c r="D478" s="61"/>
      <c r="E478" s="62"/>
      <c r="F478" s="62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spans="1:26" ht="15.75" customHeight="1" x14ac:dyDescent="0.3">
      <c r="A479" s="61"/>
      <c r="B479" s="61"/>
      <c r="C479" s="61"/>
      <c r="D479" s="61"/>
      <c r="E479" s="62"/>
      <c r="F479" s="62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spans="1:26" ht="15.75" customHeight="1" x14ac:dyDescent="0.3">
      <c r="A480" s="61"/>
      <c r="B480" s="61"/>
      <c r="C480" s="61"/>
      <c r="D480" s="61"/>
      <c r="E480" s="62"/>
      <c r="F480" s="62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spans="1:26" ht="15.75" customHeight="1" x14ac:dyDescent="0.3">
      <c r="A481" s="61"/>
      <c r="B481" s="61"/>
      <c r="C481" s="61"/>
      <c r="D481" s="61"/>
      <c r="E481" s="62"/>
      <c r="F481" s="62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spans="1:26" ht="15.75" customHeight="1" x14ac:dyDescent="0.3">
      <c r="A482" s="61"/>
      <c r="B482" s="61"/>
      <c r="C482" s="61"/>
      <c r="D482" s="61"/>
      <c r="E482" s="62"/>
      <c r="F482" s="62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spans="1:26" ht="15.75" customHeight="1" x14ac:dyDescent="0.3">
      <c r="A483" s="61"/>
      <c r="B483" s="61"/>
      <c r="C483" s="61"/>
      <c r="D483" s="61"/>
      <c r="E483" s="62"/>
      <c r="F483" s="62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spans="1:26" ht="15.75" customHeight="1" x14ac:dyDescent="0.3">
      <c r="A484" s="61"/>
      <c r="B484" s="61"/>
      <c r="C484" s="61"/>
      <c r="D484" s="61"/>
      <c r="E484" s="62"/>
      <c r="F484" s="62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spans="1:26" ht="15.75" customHeight="1" x14ac:dyDescent="0.3">
      <c r="A485" s="61"/>
      <c r="B485" s="61"/>
      <c r="C485" s="61"/>
      <c r="D485" s="61"/>
      <c r="E485" s="62"/>
      <c r="F485" s="62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spans="1:26" ht="15.75" customHeight="1" x14ac:dyDescent="0.3">
      <c r="A486" s="61"/>
      <c r="B486" s="61"/>
      <c r="C486" s="61"/>
      <c r="D486" s="61"/>
      <c r="E486" s="62"/>
      <c r="F486" s="62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spans="1:26" ht="15.75" customHeight="1" x14ac:dyDescent="0.3">
      <c r="A487" s="61"/>
      <c r="B487" s="61"/>
      <c r="C487" s="61"/>
      <c r="D487" s="61"/>
      <c r="E487" s="62"/>
      <c r="F487" s="62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spans="1:26" ht="15.75" customHeight="1" x14ac:dyDescent="0.3">
      <c r="A488" s="61"/>
      <c r="B488" s="61"/>
      <c r="C488" s="61"/>
      <c r="D488" s="61"/>
      <c r="E488" s="62"/>
      <c r="F488" s="62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spans="1:26" ht="15.75" customHeight="1" x14ac:dyDescent="0.3">
      <c r="A489" s="61"/>
      <c r="B489" s="61"/>
      <c r="C489" s="61"/>
      <c r="D489" s="61"/>
      <c r="E489" s="62"/>
      <c r="F489" s="62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spans="1:26" ht="15.75" customHeight="1" x14ac:dyDescent="0.3">
      <c r="A490" s="61"/>
      <c r="B490" s="61"/>
      <c r="C490" s="61"/>
      <c r="D490" s="61"/>
      <c r="E490" s="62"/>
      <c r="F490" s="62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spans="1:26" ht="15.75" customHeight="1" x14ac:dyDescent="0.3">
      <c r="A491" s="61"/>
      <c r="B491" s="61"/>
      <c r="C491" s="61"/>
      <c r="D491" s="61"/>
      <c r="E491" s="62"/>
      <c r="F491" s="62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spans="1:26" ht="15.75" customHeight="1" x14ac:dyDescent="0.3">
      <c r="A492" s="61"/>
      <c r="B492" s="61"/>
      <c r="C492" s="61"/>
      <c r="D492" s="61"/>
      <c r="E492" s="62"/>
      <c r="F492" s="62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spans="1:26" ht="15.75" customHeight="1" x14ac:dyDescent="0.3">
      <c r="A493" s="61"/>
      <c r="B493" s="61"/>
      <c r="C493" s="61"/>
      <c r="D493" s="61"/>
      <c r="E493" s="62"/>
      <c r="F493" s="62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spans="1:26" ht="15.75" customHeight="1" x14ac:dyDescent="0.3">
      <c r="A494" s="61"/>
      <c r="B494" s="61"/>
      <c r="C494" s="61"/>
      <c r="D494" s="61"/>
      <c r="E494" s="62"/>
      <c r="F494" s="62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spans="1:26" ht="15.75" customHeight="1" x14ac:dyDescent="0.3">
      <c r="A495" s="61"/>
      <c r="B495" s="61"/>
      <c r="C495" s="61"/>
      <c r="D495" s="61"/>
      <c r="E495" s="62"/>
      <c r="F495" s="62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spans="1:26" ht="15.75" customHeight="1" x14ac:dyDescent="0.3">
      <c r="A496" s="61"/>
      <c r="B496" s="61"/>
      <c r="C496" s="61"/>
      <c r="D496" s="61"/>
      <c r="E496" s="62"/>
      <c r="F496" s="62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spans="1:26" ht="15.75" customHeight="1" x14ac:dyDescent="0.3">
      <c r="A497" s="61"/>
      <c r="B497" s="61"/>
      <c r="C497" s="61"/>
      <c r="D497" s="61"/>
      <c r="E497" s="62"/>
      <c r="F497" s="62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spans="1:26" ht="15.75" customHeight="1" x14ac:dyDescent="0.3">
      <c r="A498" s="61"/>
      <c r="B498" s="61"/>
      <c r="C498" s="61"/>
      <c r="D498" s="61"/>
      <c r="E498" s="62"/>
      <c r="F498" s="62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spans="1:26" ht="15.75" customHeight="1" x14ac:dyDescent="0.3">
      <c r="A499" s="61"/>
      <c r="B499" s="61"/>
      <c r="C499" s="61"/>
      <c r="D499" s="61"/>
      <c r="E499" s="62"/>
      <c r="F499" s="62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spans="1:26" ht="15.75" customHeight="1" x14ac:dyDescent="0.3">
      <c r="A500" s="61"/>
      <c r="B500" s="61"/>
      <c r="C500" s="61"/>
      <c r="D500" s="61"/>
      <c r="E500" s="62"/>
      <c r="F500" s="62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spans="1:26" ht="15.75" customHeight="1" x14ac:dyDescent="0.3">
      <c r="A501" s="61"/>
      <c r="B501" s="61"/>
      <c r="C501" s="61"/>
      <c r="D501" s="61"/>
      <c r="E501" s="62"/>
      <c r="F501" s="62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spans="1:26" ht="15.75" customHeight="1" x14ac:dyDescent="0.3">
      <c r="A502" s="61"/>
      <c r="B502" s="61"/>
      <c r="C502" s="61"/>
      <c r="D502" s="61"/>
      <c r="E502" s="62"/>
      <c r="F502" s="62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spans="1:26" ht="15.75" customHeight="1" x14ac:dyDescent="0.3">
      <c r="A503" s="61"/>
      <c r="B503" s="61"/>
      <c r="C503" s="61"/>
      <c r="D503" s="61"/>
      <c r="E503" s="62"/>
      <c r="F503" s="62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spans="1:26" ht="15.75" customHeight="1" x14ac:dyDescent="0.3">
      <c r="A504" s="61"/>
      <c r="B504" s="61"/>
      <c r="C504" s="61"/>
      <c r="D504" s="61"/>
      <c r="E504" s="62"/>
      <c r="F504" s="62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spans="1:26" ht="15.75" customHeight="1" x14ac:dyDescent="0.3">
      <c r="A505" s="61"/>
      <c r="B505" s="61"/>
      <c r="C505" s="61"/>
      <c r="D505" s="61"/>
      <c r="E505" s="62"/>
      <c r="F505" s="62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spans="1:26" ht="15.75" customHeight="1" x14ac:dyDescent="0.3">
      <c r="A506" s="61"/>
      <c r="B506" s="61"/>
      <c r="C506" s="61"/>
      <c r="D506" s="61"/>
      <c r="E506" s="62"/>
      <c r="F506" s="62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spans="1:26" ht="15.75" customHeight="1" x14ac:dyDescent="0.3">
      <c r="A507" s="61"/>
      <c r="B507" s="61"/>
      <c r="C507" s="61"/>
      <c r="D507" s="61"/>
      <c r="E507" s="62"/>
      <c r="F507" s="62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spans="1:26" ht="15.75" customHeight="1" x14ac:dyDescent="0.3">
      <c r="A508" s="61"/>
      <c r="B508" s="61"/>
      <c r="C508" s="61"/>
      <c r="D508" s="61"/>
      <c r="E508" s="62"/>
      <c r="F508" s="62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spans="1:26" ht="15.75" customHeight="1" x14ac:dyDescent="0.3">
      <c r="A509" s="61"/>
      <c r="B509" s="61"/>
      <c r="C509" s="61"/>
      <c r="D509" s="61"/>
      <c r="E509" s="62"/>
      <c r="F509" s="62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spans="1:26" ht="15.75" customHeight="1" x14ac:dyDescent="0.3">
      <c r="A510" s="61"/>
      <c r="B510" s="61"/>
      <c r="C510" s="61"/>
      <c r="D510" s="61"/>
      <c r="E510" s="62"/>
      <c r="F510" s="62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spans="1:26" ht="15.75" customHeight="1" x14ac:dyDescent="0.3">
      <c r="A511" s="61"/>
      <c r="B511" s="61"/>
      <c r="C511" s="61"/>
      <c r="D511" s="61"/>
      <c r="E511" s="62"/>
      <c r="F511" s="62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spans="1:26" ht="15.75" customHeight="1" x14ac:dyDescent="0.3">
      <c r="A512" s="61"/>
      <c r="B512" s="61"/>
      <c r="C512" s="61"/>
      <c r="D512" s="61"/>
      <c r="E512" s="62"/>
      <c r="F512" s="62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spans="1:26" ht="15.75" customHeight="1" x14ac:dyDescent="0.3">
      <c r="A513" s="61"/>
      <c r="B513" s="61"/>
      <c r="C513" s="61"/>
      <c r="D513" s="61"/>
      <c r="E513" s="62"/>
      <c r="F513" s="62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spans="1:26" ht="15.75" customHeight="1" x14ac:dyDescent="0.3">
      <c r="A514" s="61"/>
      <c r="B514" s="61"/>
      <c r="C514" s="61"/>
      <c r="D514" s="61"/>
      <c r="E514" s="62"/>
      <c r="F514" s="62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spans="1:26" ht="15.75" customHeight="1" x14ac:dyDescent="0.3">
      <c r="A515" s="61"/>
      <c r="B515" s="61"/>
      <c r="C515" s="61"/>
      <c r="D515" s="61"/>
      <c r="E515" s="62"/>
      <c r="F515" s="62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spans="1:26" ht="15.75" customHeight="1" x14ac:dyDescent="0.3">
      <c r="A516" s="61"/>
      <c r="B516" s="61"/>
      <c r="C516" s="61"/>
      <c r="D516" s="61"/>
      <c r="E516" s="62"/>
      <c r="F516" s="62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spans="1:26" ht="15.75" customHeight="1" x14ac:dyDescent="0.3">
      <c r="A517" s="61"/>
      <c r="B517" s="61"/>
      <c r="C517" s="61"/>
      <c r="D517" s="61"/>
      <c r="E517" s="62"/>
      <c r="F517" s="62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spans="1:26" ht="15.75" customHeight="1" x14ac:dyDescent="0.3">
      <c r="A518" s="61"/>
      <c r="B518" s="61"/>
      <c r="C518" s="61"/>
      <c r="D518" s="61"/>
      <c r="E518" s="62"/>
      <c r="F518" s="62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spans="1:26" ht="15.75" customHeight="1" x14ac:dyDescent="0.3">
      <c r="A519" s="61"/>
      <c r="B519" s="61"/>
      <c r="C519" s="61"/>
      <c r="D519" s="61"/>
      <c r="E519" s="62"/>
      <c r="F519" s="62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spans="1:26" ht="15.75" customHeight="1" x14ac:dyDescent="0.3">
      <c r="A520" s="61"/>
      <c r="B520" s="61"/>
      <c r="C520" s="61"/>
      <c r="D520" s="61"/>
      <c r="E520" s="62"/>
      <c r="F520" s="62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spans="1:26" ht="15.75" customHeight="1" x14ac:dyDescent="0.3">
      <c r="A521" s="61"/>
      <c r="B521" s="61"/>
      <c r="C521" s="61"/>
      <c r="D521" s="61"/>
      <c r="E521" s="62"/>
      <c r="F521" s="62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spans="1:26" ht="15.75" customHeight="1" x14ac:dyDescent="0.3">
      <c r="A522" s="61"/>
      <c r="B522" s="61"/>
      <c r="C522" s="61"/>
      <c r="D522" s="61"/>
      <c r="E522" s="62"/>
      <c r="F522" s="62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spans="1:26" ht="15.75" customHeight="1" x14ac:dyDescent="0.3">
      <c r="A523" s="61"/>
      <c r="B523" s="61"/>
      <c r="C523" s="61"/>
      <c r="D523" s="61"/>
      <c r="E523" s="62"/>
      <c r="F523" s="62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spans="1:26" ht="15.75" customHeight="1" x14ac:dyDescent="0.3">
      <c r="A524" s="61"/>
      <c r="B524" s="61"/>
      <c r="C524" s="61"/>
      <c r="D524" s="61"/>
      <c r="E524" s="62"/>
      <c r="F524" s="62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spans="1:26" ht="15.75" customHeight="1" x14ac:dyDescent="0.3">
      <c r="A525" s="61"/>
      <c r="B525" s="61"/>
      <c r="C525" s="61"/>
      <c r="D525" s="61"/>
      <c r="E525" s="62"/>
      <c r="F525" s="62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spans="1:26" ht="15.75" customHeight="1" x14ac:dyDescent="0.3">
      <c r="A526" s="61"/>
      <c r="B526" s="61"/>
      <c r="C526" s="61"/>
      <c r="D526" s="61"/>
      <c r="E526" s="62"/>
      <c r="F526" s="62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spans="1:26" ht="15.75" customHeight="1" x14ac:dyDescent="0.3">
      <c r="A527" s="61"/>
      <c r="B527" s="61"/>
      <c r="C527" s="61"/>
      <c r="D527" s="61"/>
      <c r="E527" s="62"/>
      <c r="F527" s="62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spans="1:26" ht="15.75" customHeight="1" x14ac:dyDescent="0.3">
      <c r="A528" s="61"/>
      <c r="B528" s="61"/>
      <c r="C528" s="61"/>
      <c r="D528" s="61"/>
      <c r="E528" s="62"/>
      <c r="F528" s="62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spans="1:26" ht="15.75" customHeight="1" x14ac:dyDescent="0.3">
      <c r="A529" s="61"/>
      <c r="B529" s="61"/>
      <c r="C529" s="61"/>
      <c r="D529" s="61"/>
      <c r="E529" s="62"/>
      <c r="F529" s="62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spans="1:26" ht="15.75" customHeight="1" x14ac:dyDescent="0.3">
      <c r="A530" s="61"/>
      <c r="B530" s="61"/>
      <c r="C530" s="61"/>
      <c r="D530" s="61"/>
      <c r="E530" s="62"/>
      <c r="F530" s="62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spans="1:26" ht="15.75" customHeight="1" x14ac:dyDescent="0.3">
      <c r="A531" s="61"/>
      <c r="B531" s="61"/>
      <c r="C531" s="61"/>
      <c r="D531" s="61"/>
      <c r="E531" s="62"/>
      <c r="F531" s="62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spans="1:26" ht="15.75" customHeight="1" x14ac:dyDescent="0.3">
      <c r="A532" s="61"/>
      <c r="B532" s="61"/>
      <c r="C532" s="61"/>
      <c r="D532" s="61"/>
      <c r="E532" s="62"/>
      <c r="F532" s="62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spans="1:26" ht="15.75" customHeight="1" x14ac:dyDescent="0.3">
      <c r="A533" s="61"/>
      <c r="B533" s="61"/>
      <c r="C533" s="61"/>
      <c r="D533" s="61"/>
      <c r="E533" s="62"/>
      <c r="F533" s="62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spans="1:26" ht="15.75" customHeight="1" x14ac:dyDescent="0.3">
      <c r="A534" s="61"/>
      <c r="B534" s="61"/>
      <c r="C534" s="61"/>
      <c r="D534" s="61"/>
      <c r="E534" s="62"/>
      <c r="F534" s="62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spans="1:26" ht="15.75" customHeight="1" x14ac:dyDescent="0.3">
      <c r="A535" s="61"/>
      <c r="B535" s="61"/>
      <c r="C535" s="61"/>
      <c r="D535" s="61"/>
      <c r="E535" s="62"/>
      <c r="F535" s="62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spans="1:26" ht="15.75" customHeight="1" x14ac:dyDescent="0.3">
      <c r="A536" s="61"/>
      <c r="B536" s="61"/>
      <c r="C536" s="61"/>
      <c r="D536" s="61"/>
      <c r="E536" s="62"/>
      <c r="F536" s="62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spans="1:26" ht="15.75" customHeight="1" x14ac:dyDescent="0.3">
      <c r="A537" s="61"/>
      <c r="B537" s="61"/>
      <c r="C537" s="61"/>
      <c r="D537" s="61"/>
      <c r="E537" s="62"/>
      <c r="F537" s="62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spans="1:26" ht="15.75" customHeight="1" x14ac:dyDescent="0.3">
      <c r="A538" s="61"/>
      <c r="B538" s="61"/>
      <c r="C538" s="61"/>
      <c r="D538" s="61"/>
      <c r="E538" s="62"/>
      <c r="F538" s="62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spans="1:26" ht="15.75" customHeight="1" x14ac:dyDescent="0.3">
      <c r="A539" s="61"/>
      <c r="B539" s="61"/>
      <c r="C539" s="61"/>
      <c r="D539" s="61"/>
      <c r="E539" s="62"/>
      <c r="F539" s="62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spans="1:26" ht="15.75" customHeight="1" x14ac:dyDescent="0.3">
      <c r="A540" s="61"/>
      <c r="B540" s="61"/>
      <c r="C540" s="61"/>
      <c r="D540" s="61"/>
      <c r="E540" s="62"/>
      <c r="F540" s="62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spans="1:26" ht="15.75" customHeight="1" x14ac:dyDescent="0.3">
      <c r="A541" s="61"/>
      <c r="B541" s="61"/>
      <c r="C541" s="61"/>
      <c r="D541" s="61"/>
      <c r="E541" s="62"/>
      <c r="F541" s="62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spans="1:26" ht="15.75" customHeight="1" x14ac:dyDescent="0.3">
      <c r="A542" s="61"/>
      <c r="B542" s="61"/>
      <c r="C542" s="61"/>
      <c r="D542" s="61"/>
      <c r="E542" s="62"/>
      <c r="F542" s="62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spans="1:26" ht="15.75" customHeight="1" x14ac:dyDescent="0.3">
      <c r="A543" s="61"/>
      <c r="B543" s="61"/>
      <c r="C543" s="61"/>
      <c r="D543" s="61"/>
      <c r="E543" s="62"/>
      <c r="F543" s="62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spans="1:26" ht="15.75" customHeight="1" x14ac:dyDescent="0.3">
      <c r="A544" s="61"/>
      <c r="B544" s="61"/>
      <c r="C544" s="61"/>
      <c r="D544" s="61"/>
      <c r="E544" s="62"/>
      <c r="F544" s="62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spans="1:26" ht="15.75" customHeight="1" x14ac:dyDescent="0.3">
      <c r="A545" s="61"/>
      <c r="B545" s="61"/>
      <c r="C545" s="61"/>
      <c r="D545" s="61"/>
      <c r="E545" s="62"/>
      <c r="F545" s="62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spans="1:26" ht="15.75" customHeight="1" x14ac:dyDescent="0.3">
      <c r="A546" s="61"/>
      <c r="B546" s="61"/>
      <c r="C546" s="61"/>
      <c r="D546" s="61"/>
      <c r="E546" s="62"/>
      <c r="F546" s="62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spans="1:26" ht="15.75" customHeight="1" x14ac:dyDescent="0.3">
      <c r="A547" s="61"/>
      <c r="B547" s="61"/>
      <c r="C547" s="61"/>
      <c r="D547" s="61"/>
      <c r="E547" s="62"/>
      <c r="F547" s="62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spans="1:26" ht="15.75" customHeight="1" x14ac:dyDescent="0.3">
      <c r="A548" s="61"/>
      <c r="B548" s="61"/>
      <c r="C548" s="61"/>
      <c r="D548" s="61"/>
      <c r="E548" s="62"/>
      <c r="F548" s="62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spans="1:26" ht="15.75" customHeight="1" x14ac:dyDescent="0.3">
      <c r="A549" s="61"/>
      <c r="B549" s="61"/>
      <c r="C549" s="61"/>
      <c r="D549" s="61"/>
      <c r="E549" s="62"/>
      <c r="F549" s="62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spans="1:26" ht="15.75" customHeight="1" x14ac:dyDescent="0.3">
      <c r="A550" s="61"/>
      <c r="B550" s="61"/>
      <c r="C550" s="61"/>
      <c r="D550" s="61"/>
      <c r="E550" s="62"/>
      <c r="F550" s="62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spans="1:26" ht="15.75" customHeight="1" x14ac:dyDescent="0.3">
      <c r="A551" s="61"/>
      <c r="B551" s="61"/>
      <c r="C551" s="61"/>
      <c r="D551" s="61"/>
      <c r="E551" s="62"/>
      <c r="F551" s="62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spans="1:26" ht="15.75" customHeight="1" x14ac:dyDescent="0.3">
      <c r="A552" s="61"/>
      <c r="B552" s="61"/>
      <c r="C552" s="61"/>
      <c r="D552" s="61"/>
      <c r="E552" s="62"/>
      <c r="F552" s="62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spans="1:26" ht="15.75" customHeight="1" x14ac:dyDescent="0.3">
      <c r="A553" s="61"/>
      <c r="B553" s="61"/>
      <c r="C553" s="61"/>
      <c r="D553" s="61"/>
      <c r="E553" s="62"/>
      <c r="F553" s="62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spans="1:26" ht="15.75" customHeight="1" x14ac:dyDescent="0.3">
      <c r="A554" s="61"/>
      <c r="B554" s="61"/>
      <c r="C554" s="61"/>
      <c r="D554" s="61"/>
      <c r="E554" s="62"/>
      <c r="F554" s="62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spans="1:26" ht="15.75" customHeight="1" x14ac:dyDescent="0.3">
      <c r="A555" s="61"/>
      <c r="B555" s="61"/>
      <c r="C555" s="61"/>
      <c r="D555" s="61"/>
      <c r="E555" s="62"/>
      <c r="F555" s="62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spans="1:26" ht="15.75" customHeight="1" x14ac:dyDescent="0.3">
      <c r="A556" s="61"/>
      <c r="B556" s="61"/>
      <c r="C556" s="61"/>
      <c r="D556" s="61"/>
      <c r="E556" s="62"/>
      <c r="F556" s="62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spans="1:26" ht="15.75" customHeight="1" x14ac:dyDescent="0.3">
      <c r="A557" s="61"/>
      <c r="B557" s="61"/>
      <c r="C557" s="61"/>
      <c r="D557" s="61"/>
      <c r="E557" s="62"/>
      <c r="F557" s="62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spans="1:26" ht="15.75" customHeight="1" x14ac:dyDescent="0.3">
      <c r="A558" s="61"/>
      <c r="B558" s="61"/>
      <c r="C558" s="61"/>
      <c r="D558" s="61"/>
      <c r="E558" s="62"/>
      <c r="F558" s="62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spans="1:26" ht="15.75" customHeight="1" x14ac:dyDescent="0.3">
      <c r="A559" s="61"/>
      <c r="B559" s="61"/>
      <c r="C559" s="61"/>
      <c r="D559" s="61"/>
      <c r="E559" s="62"/>
      <c r="F559" s="62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spans="1:26" ht="15.75" customHeight="1" x14ac:dyDescent="0.3">
      <c r="A560" s="61"/>
      <c r="B560" s="61"/>
      <c r="C560" s="61"/>
      <c r="D560" s="61"/>
      <c r="E560" s="62"/>
      <c r="F560" s="62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spans="1:26" ht="15.75" customHeight="1" x14ac:dyDescent="0.3">
      <c r="A561" s="61"/>
      <c r="B561" s="61"/>
      <c r="C561" s="61"/>
      <c r="D561" s="61"/>
      <c r="E561" s="62"/>
      <c r="F561" s="62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spans="1:26" ht="15.75" customHeight="1" x14ac:dyDescent="0.3">
      <c r="A562" s="61"/>
      <c r="B562" s="61"/>
      <c r="C562" s="61"/>
      <c r="D562" s="61"/>
      <c r="E562" s="62"/>
      <c r="F562" s="62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spans="1:26" ht="15.75" customHeight="1" x14ac:dyDescent="0.3">
      <c r="A563" s="61"/>
      <c r="B563" s="61"/>
      <c r="C563" s="61"/>
      <c r="D563" s="61"/>
      <c r="E563" s="62"/>
      <c r="F563" s="62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spans="1:26" ht="15.75" customHeight="1" x14ac:dyDescent="0.3">
      <c r="A564" s="61"/>
      <c r="B564" s="61"/>
      <c r="C564" s="61"/>
      <c r="D564" s="61"/>
      <c r="E564" s="62"/>
      <c r="F564" s="62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spans="1:26" ht="15.75" customHeight="1" x14ac:dyDescent="0.3">
      <c r="A565" s="61"/>
      <c r="B565" s="61"/>
      <c r="C565" s="61"/>
      <c r="D565" s="61"/>
      <c r="E565" s="62"/>
      <c r="F565" s="62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spans="1:26" ht="15.75" customHeight="1" x14ac:dyDescent="0.3">
      <c r="A566" s="61"/>
      <c r="B566" s="61"/>
      <c r="C566" s="61"/>
      <c r="D566" s="61"/>
      <c r="E566" s="62"/>
      <c r="F566" s="62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spans="1:26" ht="15.75" customHeight="1" x14ac:dyDescent="0.3">
      <c r="A567" s="61"/>
      <c r="B567" s="61"/>
      <c r="C567" s="61"/>
      <c r="D567" s="61"/>
      <c r="E567" s="62"/>
      <c r="F567" s="62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spans="1:26" ht="15.75" customHeight="1" x14ac:dyDescent="0.3">
      <c r="A568" s="61"/>
      <c r="B568" s="61"/>
      <c r="C568" s="61"/>
      <c r="D568" s="61"/>
      <c r="E568" s="62"/>
      <c r="F568" s="62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spans="1:26" ht="15.75" customHeight="1" x14ac:dyDescent="0.3">
      <c r="A569" s="61"/>
      <c r="B569" s="61"/>
      <c r="C569" s="61"/>
      <c r="D569" s="61"/>
      <c r="E569" s="62"/>
      <c r="F569" s="62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spans="1:26" ht="15.75" customHeight="1" x14ac:dyDescent="0.3">
      <c r="A570" s="61"/>
      <c r="B570" s="61"/>
      <c r="C570" s="61"/>
      <c r="D570" s="61"/>
      <c r="E570" s="62"/>
      <c r="F570" s="62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spans="1:26" ht="15.75" customHeight="1" x14ac:dyDescent="0.3">
      <c r="A571" s="61"/>
      <c r="B571" s="61"/>
      <c r="C571" s="61"/>
      <c r="D571" s="61"/>
      <c r="E571" s="62"/>
      <c r="F571" s="62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spans="1:26" ht="15.75" customHeight="1" x14ac:dyDescent="0.3">
      <c r="A572" s="61"/>
      <c r="B572" s="61"/>
      <c r="C572" s="61"/>
      <c r="D572" s="61"/>
      <c r="E572" s="62"/>
      <c r="F572" s="62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spans="1:26" ht="15.75" customHeight="1" x14ac:dyDescent="0.3">
      <c r="A573" s="61"/>
      <c r="B573" s="61"/>
      <c r="C573" s="61"/>
      <c r="D573" s="61"/>
      <c r="E573" s="62"/>
      <c r="F573" s="62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spans="1:26" ht="15.75" customHeight="1" x14ac:dyDescent="0.3">
      <c r="A574" s="61"/>
      <c r="B574" s="61"/>
      <c r="C574" s="61"/>
      <c r="D574" s="61"/>
      <c r="E574" s="62"/>
      <c r="F574" s="62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spans="1:26" ht="15.75" customHeight="1" x14ac:dyDescent="0.3">
      <c r="A575" s="61"/>
      <c r="B575" s="61"/>
      <c r="C575" s="61"/>
      <c r="D575" s="61"/>
      <c r="E575" s="62"/>
      <c r="F575" s="62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spans="1:26" ht="15.75" customHeight="1" x14ac:dyDescent="0.3">
      <c r="A576" s="61"/>
      <c r="B576" s="61"/>
      <c r="C576" s="61"/>
      <c r="D576" s="61"/>
      <c r="E576" s="62"/>
      <c r="F576" s="62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spans="1:26" ht="15.75" customHeight="1" x14ac:dyDescent="0.3">
      <c r="A577" s="61"/>
      <c r="B577" s="61"/>
      <c r="C577" s="61"/>
      <c r="D577" s="61"/>
      <c r="E577" s="62"/>
      <c r="F577" s="62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spans="1:26" ht="15.75" customHeight="1" x14ac:dyDescent="0.3">
      <c r="A578" s="61"/>
      <c r="B578" s="61"/>
      <c r="C578" s="61"/>
      <c r="D578" s="61"/>
      <c r="E578" s="62"/>
      <c r="F578" s="62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spans="1:26" ht="15.75" customHeight="1" x14ac:dyDescent="0.3">
      <c r="A579" s="61"/>
      <c r="B579" s="61"/>
      <c r="C579" s="61"/>
      <c r="D579" s="61"/>
      <c r="E579" s="62"/>
      <c r="F579" s="62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spans="1:26" ht="15.75" customHeight="1" x14ac:dyDescent="0.3">
      <c r="A580" s="61"/>
      <c r="B580" s="61"/>
      <c r="C580" s="61"/>
      <c r="D580" s="61"/>
      <c r="E580" s="62"/>
      <c r="F580" s="62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spans="1:26" ht="15.75" customHeight="1" x14ac:dyDescent="0.3">
      <c r="A581" s="61"/>
      <c r="B581" s="61"/>
      <c r="C581" s="61"/>
      <c r="D581" s="61"/>
      <c r="E581" s="62"/>
      <c r="F581" s="62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spans="1:26" ht="15.75" customHeight="1" x14ac:dyDescent="0.3">
      <c r="A582" s="61"/>
      <c r="B582" s="61"/>
      <c r="C582" s="61"/>
      <c r="D582" s="61"/>
      <c r="E582" s="62"/>
      <c r="F582" s="62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spans="1:26" ht="15.75" customHeight="1" x14ac:dyDescent="0.3">
      <c r="A583" s="61"/>
      <c r="B583" s="61"/>
      <c r="C583" s="61"/>
      <c r="D583" s="61"/>
      <c r="E583" s="62"/>
      <c r="F583" s="62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spans="1:26" ht="15.75" customHeight="1" x14ac:dyDescent="0.3">
      <c r="A584" s="61"/>
      <c r="B584" s="61"/>
      <c r="C584" s="61"/>
      <c r="D584" s="61"/>
      <c r="E584" s="62"/>
      <c r="F584" s="62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spans="1:26" ht="15.75" customHeight="1" x14ac:dyDescent="0.3">
      <c r="A585" s="61"/>
      <c r="B585" s="61"/>
      <c r="C585" s="61"/>
      <c r="D585" s="61"/>
      <c r="E585" s="62"/>
      <c r="F585" s="62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spans="1:26" ht="15.75" customHeight="1" x14ac:dyDescent="0.3">
      <c r="A586" s="61"/>
      <c r="B586" s="61"/>
      <c r="C586" s="61"/>
      <c r="D586" s="61"/>
      <c r="E586" s="62"/>
      <c r="F586" s="62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spans="1:26" ht="15.75" customHeight="1" x14ac:dyDescent="0.3">
      <c r="A587" s="61"/>
      <c r="B587" s="61"/>
      <c r="C587" s="61"/>
      <c r="D587" s="61"/>
      <c r="E587" s="62"/>
      <c r="F587" s="62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spans="1:26" ht="15.75" customHeight="1" x14ac:dyDescent="0.3">
      <c r="A588" s="61"/>
      <c r="B588" s="61"/>
      <c r="C588" s="61"/>
      <c r="D588" s="61"/>
      <c r="E588" s="62"/>
      <c r="F588" s="62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spans="1:26" ht="15.75" customHeight="1" x14ac:dyDescent="0.3">
      <c r="A589" s="61"/>
      <c r="B589" s="61"/>
      <c r="C589" s="61"/>
      <c r="D589" s="61"/>
      <c r="E589" s="62"/>
      <c r="F589" s="62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spans="1:26" ht="15.75" customHeight="1" x14ac:dyDescent="0.3">
      <c r="A590" s="61"/>
      <c r="B590" s="61"/>
      <c r="C590" s="61"/>
      <c r="D590" s="61"/>
      <c r="E590" s="62"/>
      <c r="F590" s="62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spans="1:26" ht="15.75" customHeight="1" x14ac:dyDescent="0.3">
      <c r="A591" s="61"/>
      <c r="B591" s="61"/>
      <c r="C591" s="61"/>
      <c r="D591" s="61"/>
      <c r="E591" s="62"/>
      <c r="F591" s="62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spans="1:26" ht="15.75" customHeight="1" x14ac:dyDescent="0.3">
      <c r="A592" s="61"/>
      <c r="B592" s="61"/>
      <c r="C592" s="61"/>
      <c r="D592" s="61"/>
      <c r="E592" s="62"/>
      <c r="F592" s="62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spans="1:26" ht="15.75" customHeight="1" x14ac:dyDescent="0.3">
      <c r="A593" s="61"/>
      <c r="B593" s="61"/>
      <c r="C593" s="61"/>
      <c r="D593" s="61"/>
      <c r="E593" s="62"/>
      <c r="F593" s="62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spans="1:26" ht="15.75" customHeight="1" x14ac:dyDescent="0.3">
      <c r="A594" s="61"/>
      <c r="B594" s="61"/>
      <c r="C594" s="61"/>
      <c r="D594" s="61"/>
      <c r="E594" s="62"/>
      <c r="F594" s="62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spans="1:26" ht="15.75" customHeight="1" x14ac:dyDescent="0.3">
      <c r="A595" s="61"/>
      <c r="B595" s="61"/>
      <c r="C595" s="61"/>
      <c r="D595" s="61"/>
      <c r="E595" s="62"/>
      <c r="F595" s="62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spans="1:26" ht="15.75" customHeight="1" x14ac:dyDescent="0.3">
      <c r="A596" s="61"/>
      <c r="B596" s="61"/>
      <c r="C596" s="61"/>
      <c r="D596" s="61"/>
      <c r="E596" s="62"/>
      <c r="F596" s="62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spans="1:26" ht="15.75" customHeight="1" x14ac:dyDescent="0.3">
      <c r="A597" s="61"/>
      <c r="B597" s="61"/>
      <c r="C597" s="61"/>
      <c r="D597" s="61"/>
      <c r="E597" s="62"/>
      <c r="F597" s="62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spans="1:26" ht="15.75" customHeight="1" x14ac:dyDescent="0.3">
      <c r="A598" s="61"/>
      <c r="B598" s="61"/>
      <c r="C598" s="61"/>
      <c r="D598" s="61"/>
      <c r="E598" s="62"/>
      <c r="F598" s="62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spans="1:26" ht="15.75" customHeight="1" x14ac:dyDescent="0.3">
      <c r="A599" s="61"/>
      <c r="B599" s="61"/>
      <c r="C599" s="61"/>
      <c r="D599" s="61"/>
      <c r="E599" s="62"/>
      <c r="F599" s="62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spans="1:26" ht="15.75" customHeight="1" x14ac:dyDescent="0.3">
      <c r="A600" s="61"/>
      <c r="B600" s="61"/>
      <c r="C600" s="61"/>
      <c r="D600" s="61"/>
      <c r="E600" s="62"/>
      <c r="F600" s="62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spans="1:26" ht="15.75" customHeight="1" x14ac:dyDescent="0.3">
      <c r="A601" s="61"/>
      <c r="B601" s="61"/>
      <c r="C601" s="61"/>
      <c r="D601" s="61"/>
      <c r="E601" s="62"/>
      <c r="F601" s="62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spans="1:26" ht="15.75" customHeight="1" x14ac:dyDescent="0.3">
      <c r="A602" s="61"/>
      <c r="B602" s="61"/>
      <c r="C602" s="61"/>
      <c r="D602" s="61"/>
      <c r="E602" s="62"/>
      <c r="F602" s="62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spans="1:26" ht="15.75" customHeight="1" x14ac:dyDescent="0.3">
      <c r="A603" s="61"/>
      <c r="B603" s="61"/>
      <c r="C603" s="61"/>
      <c r="D603" s="61"/>
      <c r="E603" s="62"/>
      <c r="F603" s="62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spans="1:26" ht="15.75" customHeight="1" x14ac:dyDescent="0.3">
      <c r="A604" s="61"/>
      <c r="B604" s="61"/>
      <c r="C604" s="61"/>
      <c r="D604" s="61"/>
      <c r="E604" s="62"/>
      <c r="F604" s="62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spans="1:26" ht="15.75" customHeight="1" x14ac:dyDescent="0.3">
      <c r="A605" s="61"/>
      <c r="B605" s="61"/>
      <c r="C605" s="61"/>
      <c r="D605" s="61"/>
      <c r="E605" s="62"/>
      <c r="F605" s="62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spans="1:26" ht="15.75" customHeight="1" x14ac:dyDescent="0.3">
      <c r="A606" s="61"/>
      <c r="B606" s="61"/>
      <c r="C606" s="61"/>
      <c r="D606" s="61"/>
      <c r="E606" s="62"/>
      <c r="F606" s="62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spans="1:26" ht="15.75" customHeight="1" x14ac:dyDescent="0.3">
      <c r="A607" s="61"/>
      <c r="B607" s="61"/>
      <c r="C607" s="61"/>
      <c r="D607" s="61"/>
      <c r="E607" s="62"/>
      <c r="F607" s="62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spans="1:26" ht="15.75" customHeight="1" x14ac:dyDescent="0.3">
      <c r="A608" s="61"/>
      <c r="B608" s="61"/>
      <c r="C608" s="61"/>
      <c r="D608" s="61"/>
      <c r="E608" s="62"/>
      <c r="F608" s="62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spans="1:26" ht="15.75" customHeight="1" x14ac:dyDescent="0.3">
      <c r="A609" s="61"/>
      <c r="B609" s="61"/>
      <c r="C609" s="61"/>
      <c r="D609" s="61"/>
      <c r="E609" s="62"/>
      <c r="F609" s="62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spans="1:26" ht="15.75" customHeight="1" x14ac:dyDescent="0.3">
      <c r="A610" s="61"/>
      <c r="B610" s="61"/>
      <c r="C610" s="61"/>
      <c r="D610" s="61"/>
      <c r="E610" s="62"/>
      <c r="F610" s="62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spans="1:26" ht="15.75" customHeight="1" x14ac:dyDescent="0.3">
      <c r="A611" s="61"/>
      <c r="B611" s="61"/>
      <c r="C611" s="61"/>
      <c r="D611" s="61"/>
      <c r="E611" s="62"/>
      <c r="F611" s="62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spans="1:26" ht="15.75" customHeight="1" x14ac:dyDescent="0.3">
      <c r="A612" s="61"/>
      <c r="B612" s="61"/>
      <c r="C612" s="61"/>
      <c r="D612" s="61"/>
      <c r="E612" s="62"/>
      <c r="F612" s="62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spans="1:26" ht="15.75" customHeight="1" x14ac:dyDescent="0.3">
      <c r="A613" s="61"/>
      <c r="B613" s="61"/>
      <c r="C613" s="61"/>
      <c r="D613" s="61"/>
      <c r="E613" s="62"/>
      <c r="F613" s="62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spans="1:26" ht="15.75" customHeight="1" x14ac:dyDescent="0.3">
      <c r="A614" s="61"/>
      <c r="B614" s="61"/>
      <c r="C614" s="61"/>
      <c r="D614" s="61"/>
      <c r="E614" s="62"/>
      <c r="F614" s="62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spans="1:26" ht="15.75" customHeight="1" x14ac:dyDescent="0.3">
      <c r="A615" s="61"/>
      <c r="B615" s="61"/>
      <c r="C615" s="61"/>
      <c r="D615" s="61"/>
      <c r="E615" s="62"/>
      <c r="F615" s="62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spans="1:26" ht="15.75" customHeight="1" x14ac:dyDescent="0.3">
      <c r="A616" s="61"/>
      <c r="B616" s="61"/>
      <c r="C616" s="61"/>
      <c r="D616" s="61"/>
      <c r="E616" s="62"/>
      <c r="F616" s="62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spans="1:26" ht="15.75" customHeight="1" x14ac:dyDescent="0.3">
      <c r="A617" s="61"/>
      <c r="B617" s="61"/>
      <c r="C617" s="61"/>
      <c r="D617" s="61"/>
      <c r="E617" s="62"/>
      <c r="F617" s="62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spans="1:26" ht="15.75" customHeight="1" x14ac:dyDescent="0.3">
      <c r="A618" s="61"/>
      <c r="B618" s="61"/>
      <c r="C618" s="61"/>
      <c r="D618" s="61"/>
      <c r="E618" s="62"/>
      <c r="F618" s="62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spans="1:26" ht="15.75" customHeight="1" x14ac:dyDescent="0.3">
      <c r="A619" s="61"/>
      <c r="B619" s="61"/>
      <c r="C619" s="61"/>
      <c r="D619" s="61"/>
      <c r="E619" s="62"/>
      <c r="F619" s="62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spans="1:26" ht="15.75" customHeight="1" x14ac:dyDescent="0.3">
      <c r="A620" s="61"/>
      <c r="B620" s="61"/>
      <c r="C620" s="61"/>
      <c r="D620" s="61"/>
      <c r="E620" s="62"/>
      <c r="F620" s="62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spans="1:26" ht="15.75" customHeight="1" x14ac:dyDescent="0.3">
      <c r="A621" s="61"/>
      <c r="B621" s="61"/>
      <c r="C621" s="61"/>
      <c r="D621" s="61"/>
      <c r="E621" s="62"/>
      <c r="F621" s="62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spans="1:26" ht="15.75" customHeight="1" x14ac:dyDescent="0.3">
      <c r="A622" s="61"/>
      <c r="B622" s="61"/>
      <c r="C622" s="61"/>
      <c r="D622" s="61"/>
      <c r="E622" s="62"/>
      <c r="F622" s="62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spans="1:26" ht="15.75" customHeight="1" x14ac:dyDescent="0.3">
      <c r="A623" s="61"/>
      <c r="B623" s="61"/>
      <c r="C623" s="61"/>
      <c r="D623" s="61"/>
      <c r="E623" s="62"/>
      <c r="F623" s="62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spans="1:26" ht="15.75" customHeight="1" x14ac:dyDescent="0.3">
      <c r="A624" s="61"/>
      <c r="B624" s="61"/>
      <c r="C624" s="61"/>
      <c r="D624" s="61"/>
      <c r="E624" s="62"/>
      <c r="F624" s="62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spans="1:26" ht="15.75" customHeight="1" x14ac:dyDescent="0.3">
      <c r="A625" s="61"/>
      <c r="B625" s="61"/>
      <c r="C625" s="61"/>
      <c r="D625" s="61"/>
      <c r="E625" s="62"/>
      <c r="F625" s="62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spans="1:26" ht="15.75" customHeight="1" x14ac:dyDescent="0.3">
      <c r="A626" s="61"/>
      <c r="B626" s="61"/>
      <c r="C626" s="61"/>
      <c r="D626" s="61"/>
      <c r="E626" s="62"/>
      <c r="F626" s="62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spans="1:26" ht="15.75" customHeight="1" x14ac:dyDescent="0.3">
      <c r="A627" s="61"/>
      <c r="B627" s="61"/>
      <c r="C627" s="61"/>
      <c r="D627" s="61"/>
      <c r="E627" s="62"/>
      <c r="F627" s="62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spans="1:26" ht="15.75" customHeight="1" x14ac:dyDescent="0.3">
      <c r="A628" s="61"/>
      <c r="B628" s="61"/>
      <c r="C628" s="61"/>
      <c r="D628" s="61"/>
      <c r="E628" s="62"/>
      <c r="F628" s="62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spans="1:26" ht="15.75" customHeight="1" x14ac:dyDescent="0.3">
      <c r="A629" s="61"/>
      <c r="B629" s="61"/>
      <c r="C629" s="61"/>
      <c r="D629" s="61"/>
      <c r="E629" s="62"/>
      <c r="F629" s="62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spans="1:26" ht="15.75" customHeight="1" x14ac:dyDescent="0.3">
      <c r="A630" s="61"/>
      <c r="B630" s="61"/>
      <c r="C630" s="61"/>
      <c r="D630" s="61"/>
      <c r="E630" s="62"/>
      <c r="F630" s="62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spans="1:26" ht="15.75" customHeight="1" x14ac:dyDescent="0.3">
      <c r="A631" s="61"/>
      <c r="B631" s="61"/>
      <c r="C631" s="61"/>
      <c r="D631" s="61"/>
      <c r="E631" s="62"/>
      <c r="F631" s="62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spans="1:26" ht="15.75" customHeight="1" x14ac:dyDescent="0.3">
      <c r="A632" s="61"/>
      <c r="B632" s="61"/>
      <c r="C632" s="61"/>
      <c r="D632" s="61"/>
      <c r="E632" s="62"/>
      <c r="F632" s="62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spans="1:26" ht="15.75" customHeight="1" x14ac:dyDescent="0.3">
      <c r="A633" s="61"/>
      <c r="B633" s="61"/>
      <c r="C633" s="61"/>
      <c r="D633" s="61"/>
      <c r="E633" s="62"/>
      <c r="F633" s="62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spans="1:26" ht="15.75" customHeight="1" x14ac:dyDescent="0.3">
      <c r="A634" s="61"/>
      <c r="B634" s="61"/>
      <c r="C634" s="61"/>
      <c r="D634" s="61"/>
      <c r="E634" s="62"/>
      <c r="F634" s="62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spans="1:26" ht="15.75" customHeight="1" x14ac:dyDescent="0.3">
      <c r="A635" s="61"/>
      <c r="B635" s="61"/>
      <c r="C635" s="61"/>
      <c r="D635" s="61"/>
      <c r="E635" s="62"/>
      <c r="F635" s="62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spans="1:26" ht="15.75" customHeight="1" x14ac:dyDescent="0.3">
      <c r="A636" s="61"/>
      <c r="B636" s="61"/>
      <c r="C636" s="61"/>
      <c r="D636" s="61"/>
      <c r="E636" s="62"/>
      <c r="F636" s="62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spans="1:26" ht="15.75" customHeight="1" x14ac:dyDescent="0.3">
      <c r="A637" s="61"/>
      <c r="B637" s="61"/>
      <c r="C637" s="61"/>
      <c r="D637" s="61"/>
      <c r="E637" s="62"/>
      <c r="F637" s="62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spans="1:26" ht="15.75" customHeight="1" x14ac:dyDescent="0.3">
      <c r="A638" s="61"/>
      <c r="B638" s="61"/>
      <c r="C638" s="61"/>
      <c r="D638" s="61"/>
      <c r="E638" s="62"/>
      <c r="F638" s="62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spans="1:26" ht="15.75" customHeight="1" x14ac:dyDescent="0.3">
      <c r="A639" s="61"/>
      <c r="B639" s="61"/>
      <c r="C639" s="61"/>
      <c r="D639" s="61"/>
      <c r="E639" s="62"/>
      <c r="F639" s="62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spans="1:26" ht="15.75" customHeight="1" x14ac:dyDescent="0.3">
      <c r="A640" s="61"/>
      <c r="B640" s="61"/>
      <c r="C640" s="61"/>
      <c r="D640" s="61"/>
      <c r="E640" s="62"/>
      <c r="F640" s="62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spans="1:26" ht="15.75" customHeight="1" x14ac:dyDescent="0.3">
      <c r="A641" s="61"/>
      <c r="B641" s="61"/>
      <c r="C641" s="61"/>
      <c r="D641" s="61"/>
      <c r="E641" s="62"/>
      <c r="F641" s="62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spans="1:26" ht="15.75" customHeight="1" x14ac:dyDescent="0.3">
      <c r="A642" s="61"/>
      <c r="B642" s="61"/>
      <c r="C642" s="61"/>
      <c r="D642" s="61"/>
      <c r="E642" s="62"/>
      <c r="F642" s="62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spans="1:26" ht="15.75" customHeight="1" x14ac:dyDescent="0.3">
      <c r="A643" s="61"/>
      <c r="B643" s="61"/>
      <c r="C643" s="61"/>
      <c r="D643" s="61"/>
      <c r="E643" s="62"/>
      <c r="F643" s="62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spans="1:26" ht="15.75" customHeight="1" x14ac:dyDescent="0.3">
      <c r="A644" s="61"/>
      <c r="B644" s="61"/>
      <c r="C644" s="61"/>
      <c r="D644" s="61"/>
      <c r="E644" s="62"/>
      <c r="F644" s="62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spans="1:26" ht="15.75" customHeight="1" x14ac:dyDescent="0.3">
      <c r="A645" s="61"/>
      <c r="B645" s="61"/>
      <c r="C645" s="61"/>
      <c r="D645" s="61"/>
      <c r="E645" s="62"/>
      <c r="F645" s="62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spans="1:26" ht="15.75" customHeight="1" x14ac:dyDescent="0.3">
      <c r="A646" s="61"/>
      <c r="B646" s="61"/>
      <c r="C646" s="61"/>
      <c r="D646" s="61"/>
      <c r="E646" s="62"/>
      <c r="F646" s="62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spans="1:26" ht="15.75" customHeight="1" x14ac:dyDescent="0.3">
      <c r="A647" s="61"/>
      <c r="B647" s="61"/>
      <c r="C647" s="61"/>
      <c r="D647" s="61"/>
      <c r="E647" s="62"/>
      <c r="F647" s="62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spans="1:26" ht="15.75" customHeight="1" x14ac:dyDescent="0.3">
      <c r="A648" s="61"/>
      <c r="B648" s="61"/>
      <c r="C648" s="61"/>
      <c r="D648" s="61"/>
      <c r="E648" s="62"/>
      <c r="F648" s="62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spans="1:26" ht="15.75" customHeight="1" x14ac:dyDescent="0.3">
      <c r="A649" s="61"/>
      <c r="B649" s="61"/>
      <c r="C649" s="61"/>
      <c r="D649" s="61"/>
      <c r="E649" s="62"/>
      <c r="F649" s="62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spans="1:26" ht="15.75" customHeight="1" x14ac:dyDescent="0.3">
      <c r="A650" s="61"/>
      <c r="B650" s="61"/>
      <c r="C650" s="61"/>
      <c r="D650" s="61"/>
      <c r="E650" s="62"/>
      <c r="F650" s="62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spans="1:26" ht="15.75" customHeight="1" x14ac:dyDescent="0.3">
      <c r="A651" s="61"/>
      <c r="B651" s="61"/>
      <c r="C651" s="61"/>
      <c r="D651" s="61"/>
      <c r="E651" s="62"/>
      <c r="F651" s="62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spans="1:26" ht="15.75" customHeight="1" x14ac:dyDescent="0.3">
      <c r="A652" s="61"/>
      <c r="B652" s="61"/>
      <c r="C652" s="61"/>
      <c r="D652" s="61"/>
      <c r="E652" s="62"/>
      <c r="F652" s="62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spans="1:26" ht="15.75" customHeight="1" x14ac:dyDescent="0.3">
      <c r="A653" s="61"/>
      <c r="B653" s="61"/>
      <c r="C653" s="61"/>
      <c r="D653" s="61"/>
      <c r="E653" s="62"/>
      <c r="F653" s="62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spans="1:26" ht="15.75" customHeight="1" x14ac:dyDescent="0.3">
      <c r="A654" s="61"/>
      <c r="B654" s="61"/>
      <c r="C654" s="61"/>
      <c r="D654" s="61"/>
      <c r="E654" s="62"/>
      <c r="F654" s="62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spans="1:26" ht="15.75" customHeight="1" x14ac:dyDescent="0.3">
      <c r="A655" s="61"/>
      <c r="B655" s="61"/>
      <c r="C655" s="61"/>
      <c r="D655" s="61"/>
      <c r="E655" s="62"/>
      <c r="F655" s="62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spans="1:26" ht="15.75" customHeight="1" x14ac:dyDescent="0.3">
      <c r="A656" s="61"/>
      <c r="B656" s="61"/>
      <c r="C656" s="61"/>
      <c r="D656" s="61"/>
      <c r="E656" s="62"/>
      <c r="F656" s="62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spans="1:26" ht="15.75" customHeight="1" x14ac:dyDescent="0.3">
      <c r="A657" s="61"/>
      <c r="B657" s="61"/>
      <c r="C657" s="61"/>
      <c r="D657" s="61"/>
      <c r="E657" s="62"/>
      <c r="F657" s="62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spans="1:26" ht="15.75" customHeight="1" x14ac:dyDescent="0.3">
      <c r="A658" s="61"/>
      <c r="B658" s="61"/>
      <c r="C658" s="61"/>
      <c r="D658" s="61"/>
      <c r="E658" s="62"/>
      <c r="F658" s="62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spans="1:26" ht="15.75" customHeight="1" x14ac:dyDescent="0.3">
      <c r="A659" s="61"/>
      <c r="B659" s="61"/>
      <c r="C659" s="61"/>
      <c r="D659" s="61"/>
      <c r="E659" s="62"/>
      <c r="F659" s="62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spans="1:26" ht="15.75" customHeight="1" x14ac:dyDescent="0.3">
      <c r="A660" s="61"/>
      <c r="B660" s="61"/>
      <c r="C660" s="61"/>
      <c r="D660" s="61"/>
      <c r="E660" s="62"/>
      <c r="F660" s="62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spans="1:26" ht="15.75" customHeight="1" x14ac:dyDescent="0.3">
      <c r="A661" s="61"/>
      <c r="B661" s="61"/>
      <c r="C661" s="61"/>
      <c r="D661" s="61"/>
      <c r="E661" s="62"/>
      <c r="F661" s="62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spans="1:26" ht="15.75" customHeight="1" x14ac:dyDescent="0.3">
      <c r="A662" s="61"/>
      <c r="B662" s="61"/>
      <c r="C662" s="61"/>
      <c r="D662" s="61"/>
      <c r="E662" s="62"/>
      <c r="F662" s="62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spans="1:26" ht="15.75" customHeight="1" x14ac:dyDescent="0.3">
      <c r="A663" s="61"/>
      <c r="B663" s="61"/>
      <c r="C663" s="61"/>
      <c r="D663" s="61"/>
      <c r="E663" s="62"/>
      <c r="F663" s="62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spans="1:26" ht="15.75" customHeight="1" x14ac:dyDescent="0.3">
      <c r="A664" s="61"/>
      <c r="B664" s="61"/>
      <c r="C664" s="61"/>
      <c r="D664" s="61"/>
      <c r="E664" s="62"/>
      <c r="F664" s="62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spans="1:26" ht="15.75" customHeight="1" x14ac:dyDescent="0.3">
      <c r="A665" s="61"/>
      <c r="B665" s="61"/>
      <c r="C665" s="61"/>
      <c r="D665" s="61"/>
      <c r="E665" s="62"/>
      <c r="F665" s="62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spans="1:26" ht="15.75" customHeight="1" x14ac:dyDescent="0.3">
      <c r="A666" s="61"/>
      <c r="B666" s="61"/>
      <c r="C666" s="61"/>
      <c r="D666" s="61"/>
      <c r="E666" s="62"/>
      <c r="F666" s="62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spans="1:26" ht="15.75" customHeight="1" x14ac:dyDescent="0.3">
      <c r="A667" s="61"/>
      <c r="B667" s="61"/>
      <c r="C667" s="61"/>
      <c r="D667" s="61"/>
      <c r="E667" s="62"/>
      <c r="F667" s="62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spans="1:26" ht="15.75" customHeight="1" x14ac:dyDescent="0.3">
      <c r="A668" s="61"/>
      <c r="B668" s="61"/>
      <c r="C668" s="61"/>
      <c r="D668" s="61"/>
      <c r="E668" s="62"/>
      <c r="F668" s="62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spans="1:26" ht="15.75" customHeight="1" x14ac:dyDescent="0.3">
      <c r="A669" s="61"/>
      <c r="B669" s="61"/>
      <c r="C669" s="61"/>
      <c r="D669" s="61"/>
      <c r="E669" s="62"/>
      <c r="F669" s="62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spans="1:26" ht="15.75" customHeight="1" x14ac:dyDescent="0.3">
      <c r="A670" s="61"/>
      <c r="B670" s="61"/>
      <c r="C670" s="61"/>
      <c r="D670" s="61"/>
      <c r="E670" s="62"/>
      <c r="F670" s="62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spans="1:26" ht="15.75" customHeight="1" x14ac:dyDescent="0.3">
      <c r="A671" s="61"/>
      <c r="B671" s="61"/>
      <c r="C671" s="61"/>
      <c r="D671" s="61"/>
      <c r="E671" s="62"/>
      <c r="F671" s="62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spans="1:26" ht="15.75" customHeight="1" x14ac:dyDescent="0.3">
      <c r="A672" s="61"/>
      <c r="B672" s="61"/>
      <c r="C672" s="61"/>
      <c r="D672" s="61"/>
      <c r="E672" s="62"/>
      <c r="F672" s="62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spans="1:26" ht="15.75" customHeight="1" x14ac:dyDescent="0.3">
      <c r="A673" s="61"/>
      <c r="B673" s="61"/>
      <c r="C673" s="61"/>
      <c r="D673" s="61"/>
      <c r="E673" s="62"/>
      <c r="F673" s="62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spans="1:26" ht="15.75" customHeight="1" x14ac:dyDescent="0.3">
      <c r="A674" s="61"/>
      <c r="B674" s="61"/>
      <c r="C674" s="61"/>
      <c r="D674" s="61"/>
      <c r="E674" s="62"/>
      <c r="F674" s="62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spans="1:26" ht="15.75" customHeight="1" x14ac:dyDescent="0.3">
      <c r="A675" s="61"/>
      <c r="B675" s="61"/>
      <c r="C675" s="61"/>
      <c r="D675" s="61"/>
      <c r="E675" s="62"/>
      <c r="F675" s="62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spans="1:26" ht="15.75" customHeight="1" x14ac:dyDescent="0.3">
      <c r="A676" s="61"/>
      <c r="B676" s="61"/>
      <c r="C676" s="61"/>
      <c r="D676" s="61"/>
      <c r="E676" s="62"/>
      <c r="F676" s="62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spans="1:26" ht="15.75" customHeight="1" x14ac:dyDescent="0.3">
      <c r="A677" s="61"/>
      <c r="B677" s="61"/>
      <c r="C677" s="61"/>
      <c r="D677" s="61"/>
      <c r="E677" s="62"/>
      <c r="F677" s="62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spans="1:26" ht="15.75" customHeight="1" x14ac:dyDescent="0.3">
      <c r="A678" s="61"/>
      <c r="B678" s="61"/>
      <c r="C678" s="61"/>
      <c r="D678" s="61"/>
      <c r="E678" s="62"/>
      <c r="F678" s="62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spans="1:26" ht="15.75" customHeight="1" x14ac:dyDescent="0.3">
      <c r="A679" s="61"/>
      <c r="B679" s="61"/>
      <c r="C679" s="61"/>
      <c r="D679" s="61"/>
      <c r="E679" s="62"/>
      <c r="F679" s="62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spans="1:26" ht="15.75" customHeight="1" x14ac:dyDescent="0.3">
      <c r="A680" s="61"/>
      <c r="B680" s="61"/>
      <c r="C680" s="61"/>
      <c r="D680" s="61"/>
      <c r="E680" s="62"/>
      <c r="F680" s="62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spans="1:26" ht="15.75" customHeight="1" x14ac:dyDescent="0.3">
      <c r="A681" s="61"/>
      <c r="B681" s="61"/>
      <c r="C681" s="61"/>
      <c r="D681" s="61"/>
      <c r="E681" s="62"/>
      <c r="F681" s="62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spans="1:26" ht="15.75" customHeight="1" x14ac:dyDescent="0.3">
      <c r="A682" s="61"/>
      <c r="B682" s="61"/>
      <c r="C682" s="61"/>
      <c r="D682" s="61"/>
      <c r="E682" s="62"/>
      <c r="F682" s="62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spans="1:26" ht="15.75" customHeight="1" x14ac:dyDescent="0.3">
      <c r="A683" s="61"/>
      <c r="B683" s="61"/>
      <c r="C683" s="61"/>
      <c r="D683" s="61"/>
      <c r="E683" s="62"/>
      <c r="F683" s="62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spans="1:26" ht="15.75" customHeight="1" x14ac:dyDescent="0.3">
      <c r="A684" s="61"/>
      <c r="B684" s="61"/>
      <c r="C684" s="61"/>
      <c r="D684" s="61"/>
      <c r="E684" s="62"/>
      <c r="F684" s="62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spans="1:26" ht="15.75" customHeight="1" x14ac:dyDescent="0.3">
      <c r="A685" s="61"/>
      <c r="B685" s="61"/>
      <c r="C685" s="61"/>
      <c r="D685" s="61"/>
      <c r="E685" s="62"/>
      <c r="F685" s="62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spans="1:26" ht="15.75" customHeight="1" x14ac:dyDescent="0.3">
      <c r="A686" s="61"/>
      <c r="B686" s="61"/>
      <c r="C686" s="61"/>
      <c r="D686" s="61"/>
      <c r="E686" s="62"/>
      <c r="F686" s="62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spans="1:26" ht="15.75" customHeight="1" x14ac:dyDescent="0.3">
      <c r="A687" s="61"/>
      <c r="B687" s="61"/>
      <c r="C687" s="61"/>
      <c r="D687" s="61"/>
      <c r="E687" s="62"/>
      <c r="F687" s="62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spans="1:26" ht="15.75" customHeight="1" x14ac:dyDescent="0.3">
      <c r="A688" s="61"/>
      <c r="B688" s="61"/>
      <c r="C688" s="61"/>
      <c r="D688" s="61"/>
      <c r="E688" s="62"/>
      <c r="F688" s="62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spans="1:26" ht="15.75" customHeight="1" x14ac:dyDescent="0.3">
      <c r="A689" s="61"/>
      <c r="B689" s="61"/>
      <c r="C689" s="61"/>
      <c r="D689" s="61"/>
      <c r="E689" s="62"/>
      <c r="F689" s="62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spans="1:26" ht="15.75" customHeight="1" x14ac:dyDescent="0.3">
      <c r="A690" s="61"/>
      <c r="B690" s="61"/>
      <c r="C690" s="61"/>
      <c r="D690" s="61"/>
      <c r="E690" s="62"/>
      <c r="F690" s="62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spans="1:26" ht="15.75" customHeight="1" x14ac:dyDescent="0.3">
      <c r="A691" s="61"/>
      <c r="B691" s="61"/>
      <c r="C691" s="61"/>
      <c r="D691" s="61"/>
      <c r="E691" s="62"/>
      <c r="F691" s="62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spans="1:26" ht="15.75" customHeight="1" x14ac:dyDescent="0.3">
      <c r="A692" s="61"/>
      <c r="B692" s="61"/>
      <c r="C692" s="61"/>
      <c r="D692" s="61"/>
      <c r="E692" s="62"/>
      <c r="F692" s="62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spans="1:26" ht="15.75" customHeight="1" x14ac:dyDescent="0.3">
      <c r="A693" s="61"/>
      <c r="B693" s="61"/>
      <c r="C693" s="61"/>
      <c r="D693" s="61"/>
      <c r="E693" s="62"/>
      <c r="F693" s="62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spans="1:26" ht="15.75" customHeight="1" x14ac:dyDescent="0.3">
      <c r="A694" s="61"/>
      <c r="B694" s="61"/>
      <c r="C694" s="61"/>
      <c r="D694" s="61"/>
      <c r="E694" s="62"/>
      <c r="F694" s="62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spans="1:26" ht="15.75" customHeight="1" x14ac:dyDescent="0.3">
      <c r="A695" s="61"/>
      <c r="B695" s="61"/>
      <c r="C695" s="61"/>
      <c r="D695" s="61"/>
      <c r="E695" s="62"/>
      <c r="F695" s="62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spans="1:26" ht="15.75" customHeight="1" x14ac:dyDescent="0.3">
      <c r="A696" s="61"/>
      <c r="B696" s="61"/>
      <c r="C696" s="61"/>
      <c r="D696" s="61"/>
      <c r="E696" s="62"/>
      <c r="F696" s="62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spans="1:26" ht="15.75" customHeight="1" x14ac:dyDescent="0.3">
      <c r="A697" s="61"/>
      <c r="B697" s="61"/>
      <c r="C697" s="61"/>
      <c r="D697" s="61"/>
      <c r="E697" s="62"/>
      <c r="F697" s="62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spans="1:26" ht="15.75" customHeight="1" x14ac:dyDescent="0.3">
      <c r="A698" s="61"/>
      <c r="B698" s="61"/>
      <c r="C698" s="61"/>
      <c r="D698" s="61"/>
      <c r="E698" s="62"/>
      <c r="F698" s="62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spans="1:26" ht="15.75" customHeight="1" x14ac:dyDescent="0.3">
      <c r="A699" s="61"/>
      <c r="B699" s="61"/>
      <c r="C699" s="61"/>
      <c r="D699" s="61"/>
      <c r="E699" s="62"/>
      <c r="F699" s="62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spans="1:26" ht="15.75" customHeight="1" x14ac:dyDescent="0.3">
      <c r="A700" s="61"/>
      <c r="B700" s="61"/>
      <c r="C700" s="61"/>
      <c r="D700" s="61"/>
      <c r="E700" s="62"/>
      <c r="F700" s="62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spans="1:26" ht="15.75" customHeight="1" x14ac:dyDescent="0.3">
      <c r="A701" s="61"/>
      <c r="B701" s="61"/>
      <c r="C701" s="61"/>
      <c r="D701" s="61"/>
      <c r="E701" s="62"/>
      <c r="F701" s="62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spans="1:26" ht="15.75" customHeight="1" x14ac:dyDescent="0.3">
      <c r="A702" s="61"/>
      <c r="B702" s="61"/>
      <c r="C702" s="61"/>
      <c r="D702" s="61"/>
      <c r="E702" s="62"/>
      <c r="F702" s="62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spans="1:26" ht="15.75" customHeight="1" x14ac:dyDescent="0.3">
      <c r="A703" s="61"/>
      <c r="B703" s="61"/>
      <c r="C703" s="61"/>
      <c r="D703" s="61"/>
      <c r="E703" s="62"/>
      <c r="F703" s="62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spans="1:26" ht="15.75" customHeight="1" x14ac:dyDescent="0.3">
      <c r="A704" s="61"/>
      <c r="B704" s="61"/>
      <c r="C704" s="61"/>
      <c r="D704" s="61"/>
      <c r="E704" s="62"/>
      <c r="F704" s="62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spans="1:26" ht="15.75" customHeight="1" x14ac:dyDescent="0.3">
      <c r="A705" s="61"/>
      <c r="B705" s="61"/>
      <c r="C705" s="61"/>
      <c r="D705" s="61"/>
      <c r="E705" s="62"/>
      <c r="F705" s="62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spans="1:26" ht="15.75" customHeight="1" x14ac:dyDescent="0.3">
      <c r="A706" s="61"/>
      <c r="B706" s="61"/>
      <c r="C706" s="61"/>
      <c r="D706" s="61"/>
      <c r="E706" s="62"/>
      <c r="F706" s="62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spans="1:26" ht="15.75" customHeight="1" x14ac:dyDescent="0.3">
      <c r="A707" s="61"/>
      <c r="B707" s="61"/>
      <c r="C707" s="61"/>
      <c r="D707" s="61"/>
      <c r="E707" s="62"/>
      <c r="F707" s="62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spans="1:26" ht="15.75" customHeight="1" x14ac:dyDescent="0.3">
      <c r="A708" s="61"/>
      <c r="B708" s="61"/>
      <c r="C708" s="61"/>
      <c r="D708" s="61"/>
      <c r="E708" s="62"/>
      <c r="F708" s="62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spans="1:26" ht="15.75" customHeight="1" x14ac:dyDescent="0.3">
      <c r="A709" s="61"/>
      <c r="B709" s="61"/>
      <c r="C709" s="61"/>
      <c r="D709" s="61"/>
      <c r="E709" s="62"/>
      <c r="F709" s="62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spans="1:26" ht="15.75" customHeight="1" x14ac:dyDescent="0.3">
      <c r="A710" s="61"/>
      <c r="B710" s="61"/>
      <c r="C710" s="61"/>
      <c r="D710" s="61"/>
      <c r="E710" s="62"/>
      <c r="F710" s="62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spans="1:26" ht="15.75" customHeight="1" x14ac:dyDescent="0.3">
      <c r="A711" s="61"/>
      <c r="B711" s="61"/>
      <c r="C711" s="61"/>
      <c r="D711" s="61"/>
      <c r="E711" s="62"/>
      <c r="F711" s="62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spans="1:26" ht="15.75" customHeight="1" x14ac:dyDescent="0.3">
      <c r="A712" s="61"/>
      <c r="B712" s="61"/>
      <c r="C712" s="61"/>
      <c r="D712" s="61"/>
      <c r="E712" s="62"/>
      <c r="F712" s="62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spans="1:26" ht="15.75" customHeight="1" x14ac:dyDescent="0.3">
      <c r="A713" s="61"/>
      <c r="B713" s="61"/>
      <c r="C713" s="61"/>
      <c r="D713" s="61"/>
      <c r="E713" s="62"/>
      <c r="F713" s="62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spans="1:26" ht="15.75" customHeight="1" x14ac:dyDescent="0.3">
      <c r="A714" s="61"/>
      <c r="B714" s="61"/>
      <c r="C714" s="61"/>
      <c r="D714" s="61"/>
      <c r="E714" s="62"/>
      <c r="F714" s="62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spans="1:26" ht="15.75" customHeight="1" x14ac:dyDescent="0.3">
      <c r="A715" s="61"/>
      <c r="B715" s="61"/>
      <c r="C715" s="61"/>
      <c r="D715" s="61"/>
      <c r="E715" s="62"/>
      <c r="F715" s="62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spans="1:26" ht="15.75" customHeight="1" x14ac:dyDescent="0.3">
      <c r="A716" s="61"/>
      <c r="B716" s="61"/>
      <c r="C716" s="61"/>
      <c r="D716" s="61"/>
      <c r="E716" s="62"/>
      <c r="F716" s="62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spans="1:26" ht="15.75" customHeight="1" x14ac:dyDescent="0.3">
      <c r="A717" s="61"/>
      <c r="B717" s="61"/>
      <c r="C717" s="61"/>
      <c r="D717" s="61"/>
      <c r="E717" s="62"/>
      <c r="F717" s="62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spans="1:26" ht="15.75" customHeight="1" x14ac:dyDescent="0.3">
      <c r="A718" s="61"/>
      <c r="B718" s="61"/>
      <c r="C718" s="61"/>
      <c r="D718" s="61"/>
      <c r="E718" s="62"/>
      <c r="F718" s="62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spans="1:26" ht="15.75" customHeight="1" x14ac:dyDescent="0.3">
      <c r="A719" s="61"/>
      <c r="B719" s="61"/>
      <c r="C719" s="61"/>
      <c r="D719" s="61"/>
      <c r="E719" s="62"/>
      <c r="F719" s="62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spans="1:26" ht="15.75" customHeight="1" x14ac:dyDescent="0.3">
      <c r="A720" s="61"/>
      <c r="B720" s="61"/>
      <c r="C720" s="61"/>
      <c r="D720" s="61"/>
      <c r="E720" s="62"/>
      <c r="F720" s="62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spans="1:26" ht="15.75" customHeight="1" x14ac:dyDescent="0.3">
      <c r="A721" s="61"/>
      <c r="B721" s="61"/>
      <c r="C721" s="61"/>
      <c r="D721" s="61"/>
      <c r="E721" s="62"/>
      <c r="F721" s="62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spans="1:26" ht="15.75" customHeight="1" x14ac:dyDescent="0.3">
      <c r="A722" s="61"/>
      <c r="B722" s="61"/>
      <c r="C722" s="61"/>
      <c r="D722" s="61"/>
      <c r="E722" s="62"/>
      <c r="F722" s="62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spans="1:26" ht="15.75" customHeight="1" x14ac:dyDescent="0.3">
      <c r="A723" s="61"/>
      <c r="B723" s="61"/>
      <c r="C723" s="61"/>
      <c r="D723" s="61"/>
      <c r="E723" s="62"/>
      <c r="F723" s="62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spans="1:26" ht="15.75" customHeight="1" x14ac:dyDescent="0.3">
      <c r="A724" s="61"/>
      <c r="B724" s="61"/>
      <c r="C724" s="61"/>
      <c r="D724" s="61"/>
      <c r="E724" s="62"/>
      <c r="F724" s="62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spans="1:26" ht="15.75" customHeight="1" x14ac:dyDescent="0.3">
      <c r="A725" s="61"/>
      <c r="B725" s="61"/>
      <c r="C725" s="61"/>
      <c r="D725" s="61"/>
      <c r="E725" s="62"/>
      <c r="F725" s="62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spans="1:26" ht="15.75" customHeight="1" x14ac:dyDescent="0.3">
      <c r="A726" s="61"/>
      <c r="B726" s="61"/>
      <c r="C726" s="61"/>
      <c r="D726" s="61"/>
      <c r="E726" s="62"/>
      <c r="F726" s="62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spans="1:26" ht="15.75" customHeight="1" x14ac:dyDescent="0.3">
      <c r="A727" s="61"/>
      <c r="B727" s="61"/>
      <c r="C727" s="61"/>
      <c r="D727" s="61"/>
      <c r="E727" s="62"/>
      <c r="F727" s="62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spans="1:26" ht="15.75" customHeight="1" x14ac:dyDescent="0.3">
      <c r="A728" s="61"/>
      <c r="B728" s="61"/>
      <c r="C728" s="61"/>
      <c r="D728" s="61"/>
      <c r="E728" s="62"/>
      <c r="F728" s="62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spans="1:26" ht="15.75" customHeight="1" x14ac:dyDescent="0.3">
      <c r="A729" s="61"/>
      <c r="B729" s="61"/>
      <c r="C729" s="61"/>
      <c r="D729" s="61"/>
      <c r="E729" s="62"/>
      <c r="F729" s="62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spans="1:26" ht="15.75" customHeight="1" x14ac:dyDescent="0.3">
      <c r="A730" s="61"/>
      <c r="B730" s="61"/>
      <c r="C730" s="61"/>
      <c r="D730" s="61"/>
      <c r="E730" s="62"/>
      <c r="F730" s="62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spans="1:26" ht="15.75" customHeight="1" x14ac:dyDescent="0.3">
      <c r="A731" s="61"/>
      <c r="B731" s="61"/>
      <c r="C731" s="61"/>
      <c r="D731" s="61"/>
      <c r="E731" s="62"/>
      <c r="F731" s="62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spans="1:26" ht="15.75" customHeight="1" x14ac:dyDescent="0.3">
      <c r="A732" s="61"/>
      <c r="B732" s="61"/>
      <c r="C732" s="61"/>
      <c r="D732" s="61"/>
      <c r="E732" s="62"/>
      <c r="F732" s="62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spans="1:26" ht="15.75" customHeight="1" x14ac:dyDescent="0.3">
      <c r="A733" s="61"/>
      <c r="B733" s="61"/>
      <c r="C733" s="61"/>
      <c r="D733" s="61"/>
      <c r="E733" s="62"/>
      <c r="F733" s="62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spans="1:26" ht="15.75" customHeight="1" x14ac:dyDescent="0.3">
      <c r="A734" s="61"/>
      <c r="B734" s="61"/>
      <c r="C734" s="61"/>
      <c r="D734" s="61"/>
      <c r="E734" s="62"/>
      <c r="F734" s="62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spans="1:26" ht="15.75" customHeight="1" x14ac:dyDescent="0.3">
      <c r="A735" s="61"/>
      <c r="B735" s="61"/>
      <c r="C735" s="61"/>
      <c r="D735" s="61"/>
      <c r="E735" s="62"/>
      <c r="F735" s="62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spans="1:26" ht="15.75" customHeight="1" x14ac:dyDescent="0.3">
      <c r="A736" s="61"/>
      <c r="B736" s="61"/>
      <c r="C736" s="61"/>
      <c r="D736" s="61"/>
      <c r="E736" s="62"/>
      <c r="F736" s="62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spans="1:26" ht="15.75" customHeight="1" x14ac:dyDescent="0.3">
      <c r="A737" s="61"/>
      <c r="B737" s="61"/>
      <c r="C737" s="61"/>
      <c r="D737" s="61"/>
      <c r="E737" s="62"/>
      <c r="F737" s="62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spans="1:26" ht="15.75" customHeight="1" x14ac:dyDescent="0.3">
      <c r="A738" s="61"/>
      <c r="B738" s="61"/>
      <c r="C738" s="61"/>
      <c r="D738" s="61"/>
      <c r="E738" s="62"/>
      <c r="F738" s="62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spans="1:26" ht="15.75" customHeight="1" x14ac:dyDescent="0.3">
      <c r="A739" s="61"/>
      <c r="B739" s="61"/>
      <c r="C739" s="61"/>
      <c r="D739" s="61"/>
      <c r="E739" s="62"/>
      <c r="F739" s="62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spans="1:26" ht="15.75" customHeight="1" x14ac:dyDescent="0.3">
      <c r="A740" s="61"/>
      <c r="B740" s="61"/>
      <c r="C740" s="61"/>
      <c r="D740" s="61"/>
      <c r="E740" s="62"/>
      <c r="F740" s="62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spans="1:26" ht="15.75" customHeight="1" x14ac:dyDescent="0.3">
      <c r="A741" s="61"/>
      <c r="B741" s="61"/>
      <c r="C741" s="61"/>
      <c r="D741" s="61"/>
      <c r="E741" s="62"/>
      <c r="F741" s="62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spans="1:26" ht="15.75" customHeight="1" x14ac:dyDescent="0.3">
      <c r="A742" s="61"/>
      <c r="B742" s="61"/>
      <c r="C742" s="61"/>
      <c r="D742" s="61"/>
      <c r="E742" s="62"/>
      <c r="F742" s="62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spans="1:26" ht="15.75" customHeight="1" x14ac:dyDescent="0.3">
      <c r="A743" s="61"/>
      <c r="B743" s="61"/>
      <c r="C743" s="61"/>
      <c r="D743" s="61"/>
      <c r="E743" s="62"/>
      <c r="F743" s="62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spans="1:26" ht="15.75" customHeight="1" x14ac:dyDescent="0.3">
      <c r="A744" s="61"/>
      <c r="B744" s="61"/>
      <c r="C744" s="61"/>
      <c r="D744" s="61"/>
      <c r="E744" s="62"/>
      <c r="F744" s="62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spans="1:26" ht="15.75" customHeight="1" x14ac:dyDescent="0.3">
      <c r="A745" s="61"/>
      <c r="B745" s="61"/>
      <c r="C745" s="61"/>
      <c r="D745" s="61"/>
      <c r="E745" s="62"/>
      <c r="F745" s="62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spans="1:26" ht="15.75" customHeight="1" x14ac:dyDescent="0.3">
      <c r="A746" s="61"/>
      <c r="B746" s="61"/>
      <c r="C746" s="61"/>
      <c r="D746" s="61"/>
      <c r="E746" s="62"/>
      <c r="F746" s="62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spans="1:26" ht="15.75" customHeight="1" x14ac:dyDescent="0.3">
      <c r="A747" s="61"/>
      <c r="B747" s="61"/>
      <c r="C747" s="61"/>
      <c r="D747" s="61"/>
      <c r="E747" s="62"/>
      <c r="F747" s="62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spans="1:26" ht="15.75" customHeight="1" x14ac:dyDescent="0.3">
      <c r="A748" s="61"/>
      <c r="B748" s="61"/>
      <c r="C748" s="61"/>
      <c r="D748" s="61"/>
      <c r="E748" s="62"/>
      <c r="F748" s="62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spans="1:26" ht="15.75" customHeight="1" x14ac:dyDescent="0.3">
      <c r="A749" s="61"/>
      <c r="B749" s="61"/>
      <c r="C749" s="61"/>
      <c r="D749" s="61"/>
      <c r="E749" s="62"/>
      <c r="F749" s="62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spans="1:26" ht="15.75" customHeight="1" x14ac:dyDescent="0.3">
      <c r="A750" s="61"/>
      <c r="B750" s="61"/>
      <c r="C750" s="61"/>
      <c r="D750" s="61"/>
      <c r="E750" s="62"/>
      <c r="F750" s="62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spans="1:26" ht="15.75" customHeight="1" x14ac:dyDescent="0.3">
      <c r="A751" s="61"/>
      <c r="B751" s="61"/>
      <c r="C751" s="61"/>
      <c r="D751" s="61"/>
      <c r="E751" s="62"/>
      <c r="F751" s="62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spans="1:26" ht="15.75" customHeight="1" x14ac:dyDescent="0.3">
      <c r="A752" s="61"/>
      <c r="B752" s="61"/>
      <c r="C752" s="61"/>
      <c r="D752" s="61"/>
      <c r="E752" s="62"/>
      <c r="F752" s="62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spans="1:26" ht="15.75" customHeight="1" x14ac:dyDescent="0.3">
      <c r="A753" s="61"/>
      <c r="B753" s="61"/>
      <c r="C753" s="61"/>
      <c r="D753" s="61"/>
      <c r="E753" s="62"/>
      <c r="F753" s="62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spans="1:26" ht="15.75" customHeight="1" x14ac:dyDescent="0.3">
      <c r="A754" s="61"/>
      <c r="B754" s="61"/>
      <c r="C754" s="61"/>
      <c r="D754" s="61"/>
      <c r="E754" s="62"/>
      <c r="F754" s="62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spans="1:26" ht="15.75" customHeight="1" x14ac:dyDescent="0.3">
      <c r="A755" s="61"/>
      <c r="B755" s="61"/>
      <c r="C755" s="61"/>
      <c r="D755" s="61"/>
      <c r="E755" s="62"/>
      <c r="F755" s="62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spans="1:26" ht="15.75" customHeight="1" x14ac:dyDescent="0.3">
      <c r="A756" s="61"/>
      <c r="B756" s="61"/>
      <c r="C756" s="61"/>
      <c r="D756" s="61"/>
      <c r="E756" s="62"/>
      <c r="F756" s="62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spans="1:26" ht="15.75" customHeight="1" x14ac:dyDescent="0.3">
      <c r="A757" s="61"/>
      <c r="B757" s="61"/>
      <c r="C757" s="61"/>
      <c r="D757" s="61"/>
      <c r="E757" s="62"/>
      <c r="F757" s="62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spans="1:26" ht="15.75" customHeight="1" x14ac:dyDescent="0.3">
      <c r="A758" s="61"/>
      <c r="B758" s="61"/>
      <c r="C758" s="61"/>
      <c r="D758" s="61"/>
      <c r="E758" s="62"/>
      <c r="F758" s="62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spans="1:26" ht="15.75" customHeight="1" x14ac:dyDescent="0.3">
      <c r="A759" s="61"/>
      <c r="B759" s="61"/>
      <c r="C759" s="61"/>
      <c r="D759" s="61"/>
      <c r="E759" s="62"/>
      <c r="F759" s="62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spans="1:26" ht="15.75" customHeight="1" x14ac:dyDescent="0.3">
      <c r="A760" s="61"/>
      <c r="B760" s="61"/>
      <c r="C760" s="61"/>
      <c r="D760" s="61"/>
      <c r="E760" s="62"/>
      <c r="F760" s="62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spans="1:26" ht="15.75" customHeight="1" x14ac:dyDescent="0.3">
      <c r="A761" s="61"/>
      <c r="B761" s="61"/>
      <c r="C761" s="61"/>
      <c r="D761" s="61"/>
      <c r="E761" s="62"/>
      <c r="F761" s="62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spans="1:26" ht="15.75" customHeight="1" x14ac:dyDescent="0.3">
      <c r="A762" s="61"/>
      <c r="B762" s="61"/>
      <c r="C762" s="61"/>
      <c r="D762" s="61"/>
      <c r="E762" s="62"/>
      <c r="F762" s="62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spans="1:26" ht="15.75" customHeight="1" x14ac:dyDescent="0.3">
      <c r="A763" s="61"/>
      <c r="B763" s="61"/>
      <c r="C763" s="61"/>
      <c r="D763" s="61"/>
      <c r="E763" s="62"/>
      <c r="F763" s="62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spans="1:26" ht="15.75" customHeight="1" x14ac:dyDescent="0.3">
      <c r="A764" s="61"/>
      <c r="B764" s="61"/>
      <c r="C764" s="61"/>
      <c r="D764" s="61"/>
      <c r="E764" s="62"/>
      <c r="F764" s="62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spans="1:26" ht="15.75" customHeight="1" x14ac:dyDescent="0.3">
      <c r="A765" s="61"/>
      <c r="B765" s="61"/>
      <c r="C765" s="61"/>
      <c r="D765" s="61"/>
      <c r="E765" s="62"/>
      <c r="F765" s="62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spans="1:26" ht="15.75" customHeight="1" x14ac:dyDescent="0.3">
      <c r="A766" s="61"/>
      <c r="B766" s="61"/>
      <c r="C766" s="61"/>
      <c r="D766" s="61"/>
      <c r="E766" s="62"/>
      <c r="F766" s="62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spans="1:26" ht="15.75" customHeight="1" x14ac:dyDescent="0.3">
      <c r="A767" s="61"/>
      <c r="B767" s="61"/>
      <c r="C767" s="61"/>
      <c r="D767" s="61"/>
      <c r="E767" s="62"/>
      <c r="F767" s="62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spans="1:26" ht="15.75" customHeight="1" x14ac:dyDescent="0.3">
      <c r="A768" s="61"/>
      <c r="B768" s="61"/>
      <c r="C768" s="61"/>
      <c r="D768" s="61"/>
      <c r="E768" s="62"/>
      <c r="F768" s="62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spans="1:26" ht="15.75" customHeight="1" x14ac:dyDescent="0.3">
      <c r="A769" s="61"/>
      <c r="B769" s="61"/>
      <c r="C769" s="61"/>
      <c r="D769" s="61"/>
      <c r="E769" s="62"/>
      <c r="F769" s="62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spans="1:26" ht="15.75" customHeight="1" x14ac:dyDescent="0.3">
      <c r="A770" s="61"/>
      <c r="B770" s="61"/>
      <c r="C770" s="61"/>
      <c r="D770" s="61"/>
      <c r="E770" s="62"/>
      <c r="F770" s="62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spans="1:26" ht="15.75" customHeight="1" x14ac:dyDescent="0.3">
      <c r="A771" s="61"/>
      <c r="B771" s="61"/>
      <c r="C771" s="61"/>
      <c r="D771" s="61"/>
      <c r="E771" s="62"/>
      <c r="F771" s="62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spans="1:26" ht="15.75" customHeight="1" x14ac:dyDescent="0.3">
      <c r="A772" s="61"/>
      <c r="B772" s="61"/>
      <c r="C772" s="61"/>
      <c r="D772" s="61"/>
      <c r="E772" s="62"/>
      <c r="F772" s="62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spans="1:26" ht="15.75" customHeight="1" x14ac:dyDescent="0.3">
      <c r="A773" s="61"/>
      <c r="B773" s="61"/>
      <c r="C773" s="61"/>
      <c r="D773" s="61"/>
      <c r="E773" s="62"/>
      <c r="F773" s="62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spans="1:26" ht="15.75" customHeight="1" x14ac:dyDescent="0.3">
      <c r="A774" s="61"/>
      <c r="B774" s="61"/>
      <c r="C774" s="61"/>
      <c r="D774" s="61"/>
      <c r="E774" s="62"/>
      <c r="F774" s="62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spans="1:26" ht="15.75" customHeight="1" x14ac:dyDescent="0.3">
      <c r="A775" s="61"/>
      <c r="B775" s="61"/>
      <c r="C775" s="61"/>
      <c r="D775" s="61"/>
      <c r="E775" s="62"/>
      <c r="F775" s="62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spans="1:26" ht="15.75" customHeight="1" x14ac:dyDescent="0.3">
      <c r="A776" s="61"/>
      <c r="B776" s="61"/>
      <c r="C776" s="61"/>
      <c r="D776" s="61"/>
      <c r="E776" s="62"/>
      <c r="F776" s="62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spans="1:26" ht="15.75" customHeight="1" x14ac:dyDescent="0.3">
      <c r="A777" s="61"/>
      <c r="B777" s="61"/>
      <c r="C777" s="61"/>
      <c r="D777" s="61"/>
      <c r="E777" s="62"/>
      <c r="F777" s="62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spans="1:26" ht="15.75" customHeight="1" x14ac:dyDescent="0.3">
      <c r="A778" s="61"/>
      <c r="B778" s="61"/>
      <c r="C778" s="61"/>
      <c r="D778" s="61"/>
      <c r="E778" s="62"/>
      <c r="F778" s="62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spans="1:26" ht="15.75" customHeight="1" x14ac:dyDescent="0.3">
      <c r="A779" s="61"/>
      <c r="B779" s="61"/>
      <c r="C779" s="61"/>
      <c r="D779" s="61"/>
      <c r="E779" s="62"/>
      <c r="F779" s="62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spans="1:26" ht="15.75" customHeight="1" x14ac:dyDescent="0.3">
      <c r="A780" s="61"/>
      <c r="B780" s="61"/>
      <c r="C780" s="61"/>
      <c r="D780" s="61"/>
      <c r="E780" s="62"/>
      <c r="F780" s="62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spans="1:26" ht="15.75" customHeight="1" x14ac:dyDescent="0.3">
      <c r="A781" s="61"/>
      <c r="B781" s="61"/>
      <c r="C781" s="61"/>
      <c r="D781" s="61"/>
      <c r="E781" s="62"/>
      <c r="F781" s="62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spans="1:26" ht="15.75" customHeight="1" x14ac:dyDescent="0.3">
      <c r="A782" s="61"/>
      <c r="B782" s="61"/>
      <c r="C782" s="61"/>
      <c r="D782" s="61"/>
      <c r="E782" s="62"/>
      <c r="F782" s="62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spans="1:26" ht="15.75" customHeight="1" x14ac:dyDescent="0.3">
      <c r="A783" s="61"/>
      <c r="B783" s="61"/>
      <c r="C783" s="61"/>
      <c r="D783" s="61"/>
      <c r="E783" s="62"/>
      <c r="F783" s="62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spans="1:26" ht="15.75" customHeight="1" x14ac:dyDescent="0.3">
      <c r="A784" s="61"/>
      <c r="B784" s="61"/>
      <c r="C784" s="61"/>
      <c r="D784" s="61"/>
      <c r="E784" s="62"/>
      <c r="F784" s="62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spans="1:26" ht="15.75" customHeight="1" x14ac:dyDescent="0.3">
      <c r="A785" s="61"/>
      <c r="B785" s="61"/>
      <c r="C785" s="61"/>
      <c r="D785" s="61"/>
      <c r="E785" s="62"/>
      <c r="F785" s="62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spans="1:26" ht="15.75" customHeight="1" x14ac:dyDescent="0.3">
      <c r="A786" s="61"/>
      <c r="B786" s="61"/>
      <c r="C786" s="61"/>
      <c r="D786" s="61"/>
      <c r="E786" s="62"/>
      <c r="F786" s="62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spans="1:26" ht="15.75" customHeight="1" x14ac:dyDescent="0.3">
      <c r="A787" s="61"/>
      <c r="B787" s="61"/>
      <c r="C787" s="61"/>
      <c r="D787" s="61"/>
      <c r="E787" s="62"/>
      <c r="F787" s="62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spans="1:26" ht="15.75" customHeight="1" x14ac:dyDescent="0.3">
      <c r="A788" s="61"/>
      <c r="B788" s="61"/>
      <c r="C788" s="61"/>
      <c r="D788" s="61"/>
      <c r="E788" s="62"/>
      <c r="F788" s="62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spans="1:26" ht="15.75" customHeight="1" x14ac:dyDescent="0.3">
      <c r="A789" s="61"/>
      <c r="B789" s="61"/>
      <c r="C789" s="61"/>
      <c r="D789" s="61"/>
      <c r="E789" s="62"/>
      <c r="F789" s="62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spans="1:26" ht="15.75" customHeight="1" x14ac:dyDescent="0.3">
      <c r="A790" s="61"/>
      <c r="B790" s="61"/>
      <c r="C790" s="61"/>
      <c r="D790" s="61"/>
      <c r="E790" s="62"/>
      <c r="F790" s="62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spans="1:26" ht="15.75" customHeight="1" x14ac:dyDescent="0.3">
      <c r="A791" s="61"/>
      <c r="B791" s="61"/>
      <c r="C791" s="61"/>
      <c r="D791" s="61"/>
      <c r="E791" s="62"/>
      <c r="F791" s="62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spans="1:26" ht="15.75" customHeight="1" x14ac:dyDescent="0.3">
      <c r="A792" s="61"/>
      <c r="B792" s="61"/>
      <c r="C792" s="61"/>
      <c r="D792" s="61"/>
      <c r="E792" s="62"/>
      <c r="F792" s="62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spans="1:26" ht="15.75" customHeight="1" x14ac:dyDescent="0.3">
      <c r="A793" s="61"/>
      <c r="B793" s="61"/>
      <c r="C793" s="61"/>
      <c r="D793" s="61"/>
      <c r="E793" s="62"/>
      <c r="F793" s="62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spans="1:26" ht="15.75" customHeight="1" x14ac:dyDescent="0.3">
      <c r="A794" s="61"/>
      <c r="B794" s="61"/>
      <c r="C794" s="61"/>
      <c r="D794" s="61"/>
      <c r="E794" s="62"/>
      <c r="F794" s="62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spans="1:26" ht="15.75" customHeight="1" x14ac:dyDescent="0.3">
      <c r="A795" s="61"/>
      <c r="B795" s="61"/>
      <c r="C795" s="61"/>
      <c r="D795" s="61"/>
      <c r="E795" s="62"/>
      <c r="F795" s="62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spans="1:26" ht="15.75" customHeight="1" x14ac:dyDescent="0.3">
      <c r="A796" s="61"/>
      <c r="B796" s="61"/>
      <c r="C796" s="61"/>
      <c r="D796" s="61"/>
      <c r="E796" s="62"/>
      <c r="F796" s="62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spans="1:26" ht="15.75" customHeight="1" x14ac:dyDescent="0.3">
      <c r="A797" s="61"/>
      <c r="B797" s="61"/>
      <c r="C797" s="61"/>
      <c r="D797" s="61"/>
      <c r="E797" s="62"/>
      <c r="F797" s="62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spans="1:26" ht="15.75" customHeight="1" x14ac:dyDescent="0.3">
      <c r="A798" s="61"/>
      <c r="B798" s="61"/>
      <c r="C798" s="61"/>
      <c r="D798" s="61"/>
      <c r="E798" s="62"/>
      <c r="F798" s="62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spans="1:26" ht="15.75" customHeight="1" x14ac:dyDescent="0.3">
      <c r="A799" s="61"/>
      <c r="B799" s="61"/>
      <c r="C799" s="61"/>
      <c r="D799" s="61"/>
      <c r="E799" s="62"/>
      <c r="F799" s="62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spans="1:26" ht="15.75" customHeight="1" x14ac:dyDescent="0.3">
      <c r="A800" s="61"/>
      <c r="B800" s="61"/>
      <c r="C800" s="61"/>
      <c r="D800" s="61"/>
      <c r="E800" s="62"/>
      <c r="F800" s="62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spans="1:26" ht="15.75" customHeight="1" x14ac:dyDescent="0.3">
      <c r="A801" s="61"/>
      <c r="B801" s="61"/>
      <c r="C801" s="61"/>
      <c r="D801" s="61"/>
      <c r="E801" s="62"/>
      <c r="F801" s="62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spans="1:26" ht="15.75" customHeight="1" x14ac:dyDescent="0.3">
      <c r="A802" s="61"/>
      <c r="B802" s="61"/>
      <c r="C802" s="61"/>
      <c r="D802" s="61"/>
      <c r="E802" s="62"/>
      <c r="F802" s="62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spans="1:26" ht="15.75" customHeight="1" x14ac:dyDescent="0.3">
      <c r="A803" s="61"/>
      <c r="B803" s="61"/>
      <c r="C803" s="61"/>
      <c r="D803" s="61"/>
      <c r="E803" s="62"/>
      <c r="F803" s="62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spans="1:26" ht="15.75" customHeight="1" x14ac:dyDescent="0.3">
      <c r="A804" s="61"/>
      <c r="B804" s="61"/>
      <c r="C804" s="61"/>
      <c r="D804" s="61"/>
      <c r="E804" s="62"/>
      <c r="F804" s="62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spans="1:26" ht="15.75" customHeight="1" x14ac:dyDescent="0.3">
      <c r="A805" s="61"/>
      <c r="B805" s="61"/>
      <c r="C805" s="61"/>
      <c r="D805" s="61"/>
      <c r="E805" s="62"/>
      <c r="F805" s="62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spans="1:26" ht="15.75" customHeight="1" x14ac:dyDescent="0.3">
      <c r="A806" s="61"/>
      <c r="B806" s="61"/>
      <c r="C806" s="61"/>
      <c r="D806" s="61"/>
      <c r="E806" s="62"/>
      <c r="F806" s="62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spans="1:26" ht="15.75" customHeight="1" x14ac:dyDescent="0.3">
      <c r="A807" s="61"/>
      <c r="B807" s="61"/>
      <c r="C807" s="61"/>
      <c r="D807" s="61"/>
      <c r="E807" s="62"/>
      <c r="F807" s="62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spans="1:26" ht="15.75" customHeight="1" x14ac:dyDescent="0.3">
      <c r="A808" s="61"/>
      <c r="B808" s="61"/>
      <c r="C808" s="61"/>
      <c r="D808" s="61"/>
      <c r="E808" s="62"/>
      <c r="F808" s="62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spans="1:26" ht="15.75" customHeight="1" x14ac:dyDescent="0.3">
      <c r="A809" s="61"/>
      <c r="B809" s="61"/>
      <c r="C809" s="61"/>
      <c r="D809" s="61"/>
      <c r="E809" s="62"/>
      <c r="F809" s="62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spans="1:26" ht="15.75" customHeight="1" x14ac:dyDescent="0.3">
      <c r="A810" s="61"/>
      <c r="B810" s="61"/>
      <c r="C810" s="61"/>
      <c r="D810" s="61"/>
      <c r="E810" s="62"/>
      <c r="F810" s="62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spans="1:26" ht="15.75" customHeight="1" x14ac:dyDescent="0.3">
      <c r="A811" s="61"/>
      <c r="B811" s="61"/>
      <c r="C811" s="61"/>
      <c r="D811" s="61"/>
      <c r="E811" s="62"/>
      <c r="F811" s="62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spans="1:26" ht="15.75" customHeight="1" x14ac:dyDescent="0.3">
      <c r="A812" s="61"/>
      <c r="B812" s="61"/>
      <c r="C812" s="61"/>
      <c r="D812" s="61"/>
      <c r="E812" s="62"/>
      <c r="F812" s="62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spans="1:26" ht="15.75" customHeight="1" x14ac:dyDescent="0.3">
      <c r="A813" s="61"/>
      <c r="B813" s="61"/>
      <c r="C813" s="61"/>
      <c r="D813" s="61"/>
      <c r="E813" s="62"/>
      <c r="F813" s="62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spans="1:26" ht="15.75" customHeight="1" x14ac:dyDescent="0.3">
      <c r="A814" s="61"/>
      <c r="B814" s="61"/>
      <c r="C814" s="61"/>
      <c r="D814" s="61"/>
      <c r="E814" s="62"/>
      <c r="F814" s="62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spans="1:26" ht="15.75" customHeight="1" x14ac:dyDescent="0.3">
      <c r="A815" s="61"/>
      <c r="B815" s="61"/>
      <c r="C815" s="61"/>
      <c r="D815" s="61"/>
      <c r="E815" s="62"/>
      <c r="F815" s="62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spans="1:26" ht="15.75" customHeight="1" x14ac:dyDescent="0.3">
      <c r="A816" s="61"/>
      <c r="B816" s="61"/>
      <c r="C816" s="61"/>
      <c r="D816" s="61"/>
      <c r="E816" s="62"/>
      <c r="F816" s="62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spans="1:26" ht="15.75" customHeight="1" x14ac:dyDescent="0.3">
      <c r="A817" s="61"/>
      <c r="B817" s="61"/>
      <c r="C817" s="61"/>
      <c r="D817" s="61"/>
      <c r="E817" s="62"/>
      <c r="F817" s="62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spans="1:26" ht="15.75" customHeight="1" x14ac:dyDescent="0.3">
      <c r="A818" s="61"/>
      <c r="B818" s="61"/>
      <c r="C818" s="61"/>
      <c r="D818" s="61"/>
      <c r="E818" s="62"/>
      <c r="F818" s="62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spans="1:26" ht="15.75" customHeight="1" x14ac:dyDescent="0.3">
      <c r="A819" s="61"/>
      <c r="B819" s="61"/>
      <c r="C819" s="61"/>
      <c r="D819" s="61"/>
      <c r="E819" s="62"/>
      <c r="F819" s="62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spans="1:26" ht="15.75" customHeight="1" x14ac:dyDescent="0.3">
      <c r="A820" s="61"/>
      <c r="B820" s="61"/>
      <c r="C820" s="61"/>
      <c r="D820" s="61"/>
      <c r="E820" s="62"/>
      <c r="F820" s="62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spans="1:26" ht="15.75" customHeight="1" x14ac:dyDescent="0.3">
      <c r="A821" s="61"/>
      <c r="B821" s="61"/>
      <c r="C821" s="61"/>
      <c r="D821" s="61"/>
      <c r="E821" s="62"/>
      <c r="F821" s="62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spans="1:26" ht="15.75" customHeight="1" x14ac:dyDescent="0.3">
      <c r="A822" s="61"/>
      <c r="B822" s="61"/>
      <c r="C822" s="61"/>
      <c r="D822" s="61"/>
      <c r="E822" s="62"/>
      <c r="F822" s="62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spans="1:26" ht="15.75" customHeight="1" x14ac:dyDescent="0.3">
      <c r="A823" s="61"/>
      <c r="B823" s="61"/>
      <c r="C823" s="61"/>
      <c r="D823" s="61"/>
      <c r="E823" s="62"/>
      <c r="F823" s="62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spans="1:26" ht="15.75" customHeight="1" x14ac:dyDescent="0.3">
      <c r="A824" s="61"/>
      <c r="B824" s="61"/>
      <c r="C824" s="61"/>
      <c r="D824" s="61"/>
      <c r="E824" s="62"/>
      <c r="F824" s="62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spans="1:26" ht="15.75" customHeight="1" x14ac:dyDescent="0.3">
      <c r="A825" s="61"/>
      <c r="B825" s="61"/>
      <c r="C825" s="61"/>
      <c r="D825" s="61"/>
      <c r="E825" s="62"/>
      <c r="F825" s="62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spans="1:26" ht="15.75" customHeight="1" x14ac:dyDescent="0.3">
      <c r="A826" s="61"/>
      <c r="B826" s="61"/>
      <c r="C826" s="61"/>
      <c r="D826" s="61"/>
      <c r="E826" s="62"/>
      <c r="F826" s="62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spans="1:26" ht="15.75" customHeight="1" x14ac:dyDescent="0.3">
      <c r="A827" s="61"/>
      <c r="B827" s="61"/>
      <c r="C827" s="61"/>
      <c r="D827" s="61"/>
      <c r="E827" s="62"/>
      <c r="F827" s="62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spans="1:26" ht="15.75" customHeight="1" x14ac:dyDescent="0.3">
      <c r="A828" s="61"/>
      <c r="B828" s="61"/>
      <c r="C828" s="61"/>
      <c r="D828" s="61"/>
      <c r="E828" s="62"/>
      <c r="F828" s="62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spans="1:26" ht="15.75" customHeight="1" x14ac:dyDescent="0.3">
      <c r="A829" s="61"/>
      <c r="B829" s="61"/>
      <c r="C829" s="61"/>
      <c r="D829" s="61"/>
      <c r="E829" s="62"/>
      <c r="F829" s="62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spans="1:26" ht="15.75" customHeight="1" x14ac:dyDescent="0.3">
      <c r="A830" s="61"/>
      <c r="B830" s="61"/>
      <c r="C830" s="61"/>
      <c r="D830" s="61"/>
      <c r="E830" s="62"/>
      <c r="F830" s="62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spans="1:26" ht="15.75" customHeight="1" x14ac:dyDescent="0.3">
      <c r="A831" s="61"/>
      <c r="B831" s="61"/>
      <c r="C831" s="61"/>
      <c r="D831" s="61"/>
      <c r="E831" s="62"/>
      <c r="F831" s="62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spans="1:26" ht="15.75" customHeight="1" x14ac:dyDescent="0.3">
      <c r="A832" s="61"/>
      <c r="B832" s="61"/>
      <c r="C832" s="61"/>
      <c r="D832" s="61"/>
      <c r="E832" s="62"/>
      <c r="F832" s="62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spans="1:26" ht="15.75" customHeight="1" x14ac:dyDescent="0.3">
      <c r="A833" s="61"/>
      <c r="B833" s="61"/>
      <c r="C833" s="61"/>
      <c r="D833" s="61"/>
      <c r="E833" s="62"/>
      <c r="F833" s="62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spans="1:26" ht="15.75" customHeight="1" x14ac:dyDescent="0.3">
      <c r="A834" s="61"/>
      <c r="B834" s="61"/>
      <c r="C834" s="61"/>
      <c r="D834" s="61"/>
      <c r="E834" s="62"/>
      <c r="F834" s="62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spans="1:26" ht="15.75" customHeight="1" x14ac:dyDescent="0.3">
      <c r="A835" s="61"/>
      <c r="B835" s="61"/>
      <c r="C835" s="61"/>
      <c r="D835" s="61"/>
      <c r="E835" s="62"/>
      <c r="F835" s="62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spans="1:26" ht="15.75" customHeight="1" x14ac:dyDescent="0.3">
      <c r="A836" s="61"/>
      <c r="B836" s="61"/>
      <c r="C836" s="61"/>
      <c r="D836" s="61"/>
      <c r="E836" s="62"/>
      <c r="F836" s="62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spans="1:26" ht="15.75" customHeight="1" x14ac:dyDescent="0.3">
      <c r="A837" s="61"/>
      <c r="B837" s="61"/>
      <c r="C837" s="61"/>
      <c r="D837" s="61"/>
      <c r="E837" s="62"/>
      <c r="F837" s="62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spans="1:26" ht="15.75" customHeight="1" x14ac:dyDescent="0.3">
      <c r="A838" s="61"/>
      <c r="B838" s="61"/>
      <c r="C838" s="61"/>
      <c r="D838" s="61"/>
      <c r="E838" s="62"/>
      <c r="F838" s="62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spans="1:26" ht="15.75" customHeight="1" x14ac:dyDescent="0.3">
      <c r="A839" s="61"/>
      <c r="B839" s="61"/>
      <c r="C839" s="61"/>
      <c r="D839" s="61"/>
      <c r="E839" s="62"/>
      <c r="F839" s="62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spans="1:26" ht="15.75" customHeight="1" x14ac:dyDescent="0.3">
      <c r="A840" s="61"/>
      <c r="B840" s="61"/>
      <c r="C840" s="61"/>
      <c r="D840" s="61"/>
      <c r="E840" s="62"/>
      <c r="F840" s="62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spans="1:26" ht="15.75" customHeight="1" x14ac:dyDescent="0.3">
      <c r="A841" s="61"/>
      <c r="B841" s="61"/>
      <c r="C841" s="61"/>
      <c r="D841" s="61"/>
      <c r="E841" s="62"/>
      <c r="F841" s="62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spans="1:26" ht="15.75" customHeight="1" x14ac:dyDescent="0.3">
      <c r="A842" s="61"/>
      <c r="B842" s="61"/>
      <c r="C842" s="61"/>
      <c r="D842" s="61"/>
      <c r="E842" s="62"/>
      <c r="F842" s="62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spans="1:26" ht="15.75" customHeight="1" x14ac:dyDescent="0.3">
      <c r="A843" s="61"/>
      <c r="B843" s="61"/>
      <c r="C843" s="61"/>
      <c r="D843" s="61"/>
      <c r="E843" s="62"/>
      <c r="F843" s="62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spans="1:26" ht="15.75" customHeight="1" x14ac:dyDescent="0.3">
      <c r="A844" s="61"/>
      <c r="B844" s="61"/>
      <c r="C844" s="61"/>
      <c r="D844" s="61"/>
      <c r="E844" s="62"/>
      <c r="F844" s="62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spans="1:26" ht="15.75" customHeight="1" x14ac:dyDescent="0.3">
      <c r="A845" s="61"/>
      <c r="B845" s="61"/>
      <c r="C845" s="61"/>
      <c r="D845" s="61"/>
      <c r="E845" s="62"/>
      <c r="F845" s="62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spans="1:26" ht="15.75" customHeight="1" x14ac:dyDescent="0.3">
      <c r="A846" s="61"/>
      <c r="B846" s="61"/>
      <c r="C846" s="61"/>
      <c r="D846" s="61"/>
      <c r="E846" s="62"/>
      <c r="F846" s="62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spans="1:26" ht="15.75" customHeight="1" x14ac:dyDescent="0.3">
      <c r="A847" s="61"/>
      <c r="B847" s="61"/>
      <c r="C847" s="61"/>
      <c r="D847" s="61"/>
      <c r="E847" s="62"/>
      <c r="F847" s="62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spans="1:26" ht="15.75" customHeight="1" x14ac:dyDescent="0.3">
      <c r="A848" s="61"/>
      <c r="B848" s="61"/>
      <c r="C848" s="61"/>
      <c r="D848" s="61"/>
      <c r="E848" s="62"/>
      <c r="F848" s="62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spans="1:26" ht="15.75" customHeight="1" x14ac:dyDescent="0.3">
      <c r="A849" s="61"/>
      <c r="B849" s="61"/>
      <c r="C849" s="61"/>
      <c r="D849" s="61"/>
      <c r="E849" s="62"/>
      <c r="F849" s="62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spans="1:26" ht="15.75" customHeight="1" x14ac:dyDescent="0.3">
      <c r="A850" s="61"/>
      <c r="B850" s="61"/>
      <c r="C850" s="61"/>
      <c r="D850" s="61"/>
      <c r="E850" s="62"/>
      <c r="F850" s="62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spans="1:26" ht="15.75" customHeight="1" x14ac:dyDescent="0.3">
      <c r="A851" s="61"/>
      <c r="B851" s="61"/>
      <c r="C851" s="61"/>
      <c r="D851" s="61"/>
      <c r="E851" s="62"/>
      <c r="F851" s="62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spans="1:26" ht="15.75" customHeight="1" x14ac:dyDescent="0.3">
      <c r="A852" s="61"/>
      <c r="B852" s="61"/>
      <c r="C852" s="61"/>
      <c r="D852" s="61"/>
      <c r="E852" s="62"/>
      <c r="F852" s="62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spans="1:26" ht="15.75" customHeight="1" x14ac:dyDescent="0.3">
      <c r="A853" s="61"/>
      <c r="B853" s="61"/>
      <c r="C853" s="61"/>
      <c r="D853" s="61"/>
      <c r="E853" s="62"/>
      <c r="F853" s="62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spans="1:26" ht="15.75" customHeight="1" x14ac:dyDescent="0.3">
      <c r="A854" s="61"/>
      <c r="B854" s="61"/>
      <c r="C854" s="61"/>
      <c r="D854" s="61"/>
      <c r="E854" s="62"/>
      <c r="F854" s="62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spans="1:26" ht="15.75" customHeight="1" x14ac:dyDescent="0.3">
      <c r="A855" s="61"/>
      <c r="B855" s="61"/>
      <c r="C855" s="61"/>
      <c r="D855" s="61"/>
      <c r="E855" s="62"/>
      <c r="F855" s="62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spans="1:26" ht="15.75" customHeight="1" x14ac:dyDescent="0.3">
      <c r="A856" s="61"/>
      <c r="B856" s="61"/>
      <c r="C856" s="61"/>
      <c r="D856" s="61"/>
      <c r="E856" s="62"/>
      <c r="F856" s="62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spans="1:26" ht="15.75" customHeight="1" x14ac:dyDescent="0.3">
      <c r="A857" s="61"/>
      <c r="B857" s="61"/>
      <c r="C857" s="61"/>
      <c r="D857" s="61"/>
      <c r="E857" s="62"/>
      <c r="F857" s="62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spans="1:26" ht="15.75" customHeight="1" x14ac:dyDescent="0.3">
      <c r="A858" s="61"/>
      <c r="B858" s="61"/>
      <c r="C858" s="61"/>
      <c r="D858" s="61"/>
      <c r="E858" s="62"/>
      <c r="F858" s="62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spans="1:26" ht="15.75" customHeight="1" x14ac:dyDescent="0.3">
      <c r="A859" s="61"/>
      <c r="B859" s="61"/>
      <c r="C859" s="61"/>
      <c r="D859" s="61"/>
      <c r="E859" s="62"/>
      <c r="F859" s="62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spans="1:26" ht="15.75" customHeight="1" x14ac:dyDescent="0.3">
      <c r="A860" s="61"/>
      <c r="B860" s="61"/>
      <c r="C860" s="61"/>
      <c r="D860" s="61"/>
      <c r="E860" s="62"/>
      <c r="F860" s="62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spans="1:26" ht="15.75" customHeight="1" x14ac:dyDescent="0.3">
      <c r="A861" s="61"/>
      <c r="B861" s="61"/>
      <c r="C861" s="61"/>
      <c r="D861" s="61"/>
      <c r="E861" s="62"/>
      <c r="F861" s="62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spans="1:26" ht="15.75" customHeight="1" x14ac:dyDescent="0.3">
      <c r="A862" s="61"/>
      <c r="B862" s="61"/>
      <c r="C862" s="61"/>
      <c r="D862" s="61"/>
      <c r="E862" s="62"/>
      <c r="F862" s="62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spans="1:26" ht="15.75" customHeight="1" x14ac:dyDescent="0.3">
      <c r="A863" s="61"/>
      <c r="B863" s="61"/>
      <c r="C863" s="61"/>
      <c r="D863" s="61"/>
      <c r="E863" s="62"/>
      <c r="F863" s="62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spans="1:26" ht="15.75" customHeight="1" x14ac:dyDescent="0.3">
      <c r="A864" s="61"/>
      <c r="B864" s="61"/>
      <c r="C864" s="61"/>
      <c r="D864" s="61"/>
      <c r="E864" s="62"/>
      <c r="F864" s="62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spans="1:26" ht="15.75" customHeight="1" x14ac:dyDescent="0.3">
      <c r="A865" s="61"/>
      <c r="B865" s="61"/>
      <c r="C865" s="61"/>
      <c r="D865" s="61"/>
      <c r="E865" s="62"/>
      <c r="F865" s="62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spans="1:26" ht="15.75" customHeight="1" x14ac:dyDescent="0.3">
      <c r="A866" s="61"/>
      <c r="B866" s="61"/>
      <c r="C866" s="61"/>
      <c r="D866" s="61"/>
      <c r="E866" s="62"/>
      <c r="F866" s="62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spans="1:26" ht="15.75" customHeight="1" x14ac:dyDescent="0.3">
      <c r="A867" s="61"/>
      <c r="B867" s="61"/>
      <c r="C867" s="61"/>
      <c r="D867" s="61"/>
      <c r="E867" s="62"/>
      <c r="F867" s="62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spans="1:26" ht="15.75" customHeight="1" x14ac:dyDescent="0.3">
      <c r="A868" s="61"/>
      <c r="B868" s="61"/>
      <c r="C868" s="61"/>
      <c r="D868" s="61"/>
      <c r="E868" s="62"/>
      <c r="F868" s="62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spans="1:26" ht="15.75" customHeight="1" x14ac:dyDescent="0.3">
      <c r="A869" s="61"/>
      <c r="B869" s="61"/>
      <c r="C869" s="61"/>
      <c r="D869" s="61"/>
      <c r="E869" s="62"/>
      <c r="F869" s="62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spans="1:26" ht="15.75" customHeight="1" x14ac:dyDescent="0.3">
      <c r="A870" s="61"/>
      <c r="B870" s="61"/>
      <c r="C870" s="61"/>
      <c r="D870" s="61"/>
      <c r="E870" s="62"/>
      <c r="F870" s="62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spans="1:26" ht="15.75" customHeight="1" x14ac:dyDescent="0.3">
      <c r="A871" s="61"/>
      <c r="B871" s="61"/>
      <c r="C871" s="61"/>
      <c r="D871" s="61"/>
      <c r="E871" s="62"/>
      <c r="F871" s="62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spans="1:26" ht="15.75" customHeight="1" x14ac:dyDescent="0.3">
      <c r="A872" s="61"/>
      <c r="B872" s="61"/>
      <c r="C872" s="61"/>
      <c r="D872" s="61"/>
      <c r="E872" s="62"/>
      <c r="F872" s="62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spans="1:26" ht="15.75" customHeight="1" x14ac:dyDescent="0.3">
      <c r="A873" s="61"/>
      <c r="B873" s="61"/>
      <c r="C873" s="61"/>
      <c r="D873" s="61"/>
      <c r="E873" s="62"/>
      <c r="F873" s="62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spans="1:26" ht="15.75" customHeight="1" x14ac:dyDescent="0.3">
      <c r="A874" s="61"/>
      <c r="B874" s="61"/>
      <c r="C874" s="61"/>
      <c r="D874" s="61"/>
      <c r="E874" s="62"/>
      <c r="F874" s="62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spans="1:26" ht="15.75" customHeight="1" x14ac:dyDescent="0.3">
      <c r="A875" s="61"/>
      <c r="B875" s="61"/>
      <c r="C875" s="61"/>
      <c r="D875" s="61"/>
      <c r="E875" s="62"/>
      <c r="F875" s="62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spans="1:26" ht="15.75" customHeight="1" x14ac:dyDescent="0.3">
      <c r="A876" s="61"/>
      <c r="B876" s="61"/>
      <c r="C876" s="61"/>
      <c r="D876" s="61"/>
      <c r="E876" s="62"/>
      <c r="F876" s="62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spans="1:26" ht="15.75" customHeight="1" x14ac:dyDescent="0.3">
      <c r="A877" s="61"/>
      <c r="B877" s="61"/>
      <c r="C877" s="61"/>
      <c r="D877" s="61"/>
      <c r="E877" s="62"/>
      <c r="F877" s="62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spans="1:26" ht="15.75" customHeight="1" x14ac:dyDescent="0.3">
      <c r="A878" s="61"/>
      <c r="B878" s="61"/>
      <c r="C878" s="61"/>
      <c r="D878" s="61"/>
      <c r="E878" s="62"/>
      <c r="F878" s="62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spans="1:26" ht="15.75" customHeight="1" x14ac:dyDescent="0.3">
      <c r="A879" s="61"/>
      <c r="B879" s="61"/>
      <c r="C879" s="61"/>
      <c r="D879" s="61"/>
      <c r="E879" s="62"/>
      <c r="F879" s="62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spans="1:26" ht="15.75" customHeight="1" x14ac:dyDescent="0.3">
      <c r="A880" s="61"/>
      <c r="B880" s="61"/>
      <c r="C880" s="61"/>
      <c r="D880" s="61"/>
      <c r="E880" s="62"/>
      <c r="F880" s="62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spans="1:26" ht="15.75" customHeight="1" x14ac:dyDescent="0.3">
      <c r="A881" s="61"/>
      <c r="B881" s="61"/>
      <c r="C881" s="61"/>
      <c r="D881" s="61"/>
      <c r="E881" s="62"/>
      <c r="F881" s="62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spans="1:26" ht="15.75" customHeight="1" x14ac:dyDescent="0.3">
      <c r="A882" s="61"/>
      <c r="B882" s="61"/>
      <c r="C882" s="61"/>
      <c r="D882" s="61"/>
      <c r="E882" s="62"/>
      <c r="F882" s="62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spans="1:26" ht="15.75" customHeight="1" x14ac:dyDescent="0.3">
      <c r="A883" s="61"/>
      <c r="B883" s="61"/>
      <c r="C883" s="61"/>
      <c r="D883" s="61"/>
      <c r="E883" s="62"/>
      <c r="F883" s="62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spans="1:26" ht="15.75" customHeight="1" x14ac:dyDescent="0.3">
      <c r="A884" s="61"/>
      <c r="B884" s="61"/>
      <c r="C884" s="61"/>
      <c r="D884" s="61"/>
      <c r="E884" s="62"/>
      <c r="F884" s="62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spans="1:26" ht="15.75" customHeight="1" x14ac:dyDescent="0.3">
      <c r="A885" s="61"/>
      <c r="B885" s="61"/>
      <c r="C885" s="61"/>
      <c r="D885" s="61"/>
      <c r="E885" s="62"/>
      <c r="F885" s="62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spans="1:26" ht="15.75" customHeight="1" x14ac:dyDescent="0.3">
      <c r="A886" s="61"/>
      <c r="B886" s="61"/>
      <c r="C886" s="61"/>
      <c r="D886" s="61"/>
      <c r="E886" s="62"/>
      <c r="F886" s="62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spans="1:26" ht="15.75" customHeight="1" x14ac:dyDescent="0.3">
      <c r="A887" s="61"/>
      <c r="B887" s="61"/>
      <c r="C887" s="61"/>
      <c r="D887" s="61"/>
      <c r="E887" s="62"/>
      <c r="F887" s="62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spans="1:26" ht="15.75" customHeight="1" x14ac:dyDescent="0.3">
      <c r="A888" s="61"/>
      <c r="B888" s="61"/>
      <c r="C888" s="61"/>
      <c r="D888" s="61"/>
      <c r="E888" s="62"/>
      <c r="F888" s="62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spans="1:26" ht="15.75" customHeight="1" x14ac:dyDescent="0.3">
      <c r="A889" s="61"/>
      <c r="B889" s="61"/>
      <c r="C889" s="61"/>
      <c r="D889" s="61"/>
      <c r="E889" s="62"/>
      <c r="F889" s="62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spans="1:26" ht="15.75" customHeight="1" x14ac:dyDescent="0.3">
      <c r="A890" s="61"/>
      <c r="B890" s="61"/>
      <c r="C890" s="61"/>
      <c r="D890" s="61"/>
      <c r="E890" s="62"/>
      <c r="F890" s="62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spans="1:26" ht="15.75" customHeight="1" x14ac:dyDescent="0.3">
      <c r="A891" s="61"/>
      <c r="B891" s="61"/>
      <c r="C891" s="61"/>
      <c r="D891" s="61"/>
      <c r="E891" s="62"/>
      <c r="F891" s="62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spans="1:26" ht="15.75" customHeight="1" x14ac:dyDescent="0.3">
      <c r="A892" s="61"/>
      <c r="B892" s="61"/>
      <c r="C892" s="61"/>
      <c r="D892" s="61"/>
      <c r="E892" s="62"/>
      <c r="F892" s="62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spans="1:26" ht="15.75" customHeight="1" x14ac:dyDescent="0.3">
      <c r="A893" s="61"/>
      <c r="B893" s="61"/>
      <c r="C893" s="61"/>
      <c r="D893" s="61"/>
      <c r="E893" s="62"/>
      <c r="F893" s="62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spans="1:26" ht="15.75" customHeight="1" x14ac:dyDescent="0.3">
      <c r="A894" s="61"/>
      <c r="B894" s="61"/>
      <c r="C894" s="61"/>
      <c r="D894" s="61"/>
      <c r="E894" s="62"/>
      <c r="F894" s="62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spans="1:26" ht="15.75" customHeight="1" x14ac:dyDescent="0.3">
      <c r="A895" s="61"/>
      <c r="B895" s="61"/>
      <c r="C895" s="61"/>
      <c r="D895" s="61"/>
      <c r="E895" s="62"/>
      <c r="F895" s="62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spans="1:26" ht="15.75" customHeight="1" x14ac:dyDescent="0.3">
      <c r="A896" s="61"/>
      <c r="B896" s="61"/>
      <c r="C896" s="61"/>
      <c r="D896" s="61"/>
      <c r="E896" s="62"/>
      <c r="F896" s="62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spans="1:26" ht="15.75" customHeight="1" x14ac:dyDescent="0.3">
      <c r="A897" s="61"/>
      <c r="B897" s="61"/>
      <c r="C897" s="61"/>
      <c r="D897" s="61"/>
      <c r="E897" s="62"/>
      <c r="F897" s="62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spans="1:26" ht="15.75" customHeight="1" x14ac:dyDescent="0.3">
      <c r="A898" s="61"/>
      <c r="B898" s="61"/>
      <c r="C898" s="61"/>
      <c r="D898" s="61"/>
      <c r="E898" s="62"/>
      <c r="F898" s="62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spans="1:26" ht="15.75" customHeight="1" x14ac:dyDescent="0.3">
      <c r="A899" s="61"/>
      <c r="B899" s="61"/>
      <c r="C899" s="61"/>
      <c r="D899" s="61"/>
      <c r="E899" s="62"/>
      <c r="F899" s="62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spans="1:26" ht="15.75" customHeight="1" x14ac:dyDescent="0.3">
      <c r="A900" s="61"/>
      <c r="B900" s="61"/>
      <c r="C900" s="61"/>
      <c r="D900" s="61"/>
      <c r="E900" s="62"/>
      <c r="F900" s="62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spans="1:26" ht="15.75" customHeight="1" x14ac:dyDescent="0.3">
      <c r="A901" s="61"/>
      <c r="B901" s="61"/>
      <c r="C901" s="61"/>
      <c r="D901" s="61"/>
      <c r="E901" s="62"/>
      <c r="F901" s="62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spans="1:26" ht="15.75" customHeight="1" x14ac:dyDescent="0.3">
      <c r="A902" s="61"/>
      <c r="B902" s="61"/>
      <c r="C902" s="61"/>
      <c r="D902" s="61"/>
      <c r="E902" s="62"/>
      <c r="F902" s="62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spans="1:26" ht="15.75" customHeight="1" x14ac:dyDescent="0.3">
      <c r="A903" s="61"/>
      <c r="B903" s="61"/>
      <c r="C903" s="61"/>
      <c r="D903" s="61"/>
      <c r="E903" s="62"/>
      <c r="F903" s="62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spans="1:26" ht="15.75" customHeight="1" x14ac:dyDescent="0.3">
      <c r="A904" s="61"/>
      <c r="B904" s="61"/>
      <c r="C904" s="61"/>
      <c r="D904" s="61"/>
      <c r="E904" s="62"/>
      <c r="F904" s="62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spans="1:26" ht="15.75" customHeight="1" x14ac:dyDescent="0.3">
      <c r="A905" s="61"/>
      <c r="B905" s="61"/>
      <c r="C905" s="61"/>
      <c r="D905" s="61"/>
      <c r="E905" s="62"/>
      <c r="F905" s="62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spans="1:26" ht="15.75" customHeight="1" x14ac:dyDescent="0.3">
      <c r="A906" s="61"/>
      <c r="B906" s="61"/>
      <c r="C906" s="61"/>
      <c r="D906" s="61"/>
      <c r="E906" s="62"/>
      <c r="F906" s="62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spans="1:26" ht="15.75" customHeight="1" x14ac:dyDescent="0.3">
      <c r="A907" s="61"/>
      <c r="B907" s="61"/>
      <c r="C907" s="61"/>
      <c r="D907" s="61"/>
      <c r="E907" s="62"/>
      <c r="F907" s="62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spans="1:26" ht="15.75" customHeight="1" x14ac:dyDescent="0.3">
      <c r="A908" s="61"/>
      <c r="B908" s="61"/>
      <c r="C908" s="61"/>
      <c r="D908" s="61"/>
      <c r="E908" s="62"/>
      <c r="F908" s="62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spans="1:26" ht="15.75" customHeight="1" x14ac:dyDescent="0.3">
      <c r="A909" s="61"/>
      <c r="B909" s="61"/>
      <c r="C909" s="61"/>
      <c r="D909" s="61"/>
      <c r="E909" s="62"/>
      <c r="F909" s="62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spans="1:26" ht="15.75" customHeight="1" x14ac:dyDescent="0.3">
      <c r="A910" s="61"/>
      <c r="B910" s="61"/>
      <c r="C910" s="61"/>
      <c r="D910" s="61"/>
      <c r="E910" s="62"/>
      <c r="F910" s="62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spans="1:26" ht="15.75" customHeight="1" x14ac:dyDescent="0.3">
      <c r="A911" s="61"/>
      <c r="B911" s="61"/>
      <c r="C911" s="61"/>
      <c r="D911" s="61"/>
      <c r="E911" s="62"/>
      <c r="F911" s="62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spans="1:26" ht="15.75" customHeight="1" x14ac:dyDescent="0.3">
      <c r="A912" s="61"/>
      <c r="B912" s="61"/>
      <c r="C912" s="61"/>
      <c r="D912" s="61"/>
      <c r="E912" s="62"/>
      <c r="F912" s="62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spans="1:26" ht="15.75" customHeight="1" x14ac:dyDescent="0.3">
      <c r="A913" s="61"/>
      <c r="B913" s="61"/>
      <c r="C913" s="61"/>
      <c r="D913" s="61"/>
      <c r="E913" s="62"/>
      <c r="F913" s="62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spans="1:26" ht="15.75" customHeight="1" x14ac:dyDescent="0.3">
      <c r="A914" s="61"/>
      <c r="B914" s="61"/>
      <c r="C914" s="61"/>
      <c r="D914" s="61"/>
      <c r="E914" s="62"/>
      <c r="F914" s="62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spans="1:26" ht="15.75" customHeight="1" x14ac:dyDescent="0.3">
      <c r="A915" s="61"/>
      <c r="B915" s="61"/>
      <c r="C915" s="61"/>
      <c r="D915" s="61"/>
      <c r="E915" s="62"/>
      <c r="F915" s="62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spans="1:26" ht="15.75" customHeight="1" x14ac:dyDescent="0.3">
      <c r="A916" s="61"/>
      <c r="B916" s="61"/>
      <c r="C916" s="61"/>
      <c r="D916" s="61"/>
      <c r="E916" s="62"/>
      <c r="F916" s="62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spans="1:26" ht="15.75" customHeight="1" x14ac:dyDescent="0.3">
      <c r="A917" s="61"/>
      <c r="B917" s="61"/>
      <c r="C917" s="61"/>
      <c r="D917" s="61"/>
      <c r="E917" s="62"/>
      <c r="F917" s="62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spans="1:26" ht="15.75" customHeight="1" x14ac:dyDescent="0.3">
      <c r="A918" s="61"/>
      <c r="B918" s="61"/>
      <c r="C918" s="61"/>
      <c r="D918" s="61"/>
      <c r="E918" s="62"/>
      <c r="F918" s="62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spans="1:26" ht="15.75" customHeight="1" x14ac:dyDescent="0.3">
      <c r="A919" s="61"/>
      <c r="B919" s="61"/>
      <c r="C919" s="61"/>
      <c r="D919" s="61"/>
      <c r="E919" s="62"/>
      <c r="F919" s="62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spans="1:26" ht="15.75" customHeight="1" x14ac:dyDescent="0.3">
      <c r="A920" s="61"/>
      <c r="B920" s="61"/>
      <c r="C920" s="61"/>
      <c r="D920" s="61"/>
      <c r="E920" s="62"/>
      <c r="F920" s="62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spans="1:26" ht="15.75" customHeight="1" x14ac:dyDescent="0.3">
      <c r="A921" s="61"/>
      <c r="B921" s="61"/>
      <c r="C921" s="61"/>
      <c r="D921" s="61"/>
      <c r="E921" s="62"/>
      <c r="F921" s="62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spans="1:26" ht="15.75" customHeight="1" x14ac:dyDescent="0.3">
      <c r="A922" s="61"/>
      <c r="B922" s="61"/>
      <c r="C922" s="61"/>
      <c r="D922" s="61"/>
      <c r="E922" s="62"/>
      <c r="F922" s="62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spans="1:26" ht="15.75" customHeight="1" x14ac:dyDescent="0.3">
      <c r="A923" s="61"/>
      <c r="B923" s="61"/>
      <c r="C923" s="61"/>
      <c r="D923" s="61"/>
      <c r="E923" s="62"/>
      <c r="F923" s="62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spans="1:26" ht="15.75" customHeight="1" x14ac:dyDescent="0.3">
      <c r="A924" s="61"/>
      <c r="B924" s="61"/>
      <c r="C924" s="61"/>
      <c r="D924" s="61"/>
      <c r="E924" s="62"/>
      <c r="F924" s="62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spans="1:26" ht="15.75" customHeight="1" x14ac:dyDescent="0.3">
      <c r="A925" s="61"/>
      <c r="B925" s="61"/>
      <c r="C925" s="61"/>
      <c r="D925" s="61"/>
      <c r="E925" s="62"/>
      <c r="F925" s="62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spans="1:26" ht="15.75" customHeight="1" x14ac:dyDescent="0.3">
      <c r="A926" s="61"/>
      <c r="B926" s="61"/>
      <c r="C926" s="61"/>
      <c r="D926" s="61"/>
      <c r="E926" s="62"/>
      <c r="F926" s="62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spans="1:26" ht="15.75" customHeight="1" x14ac:dyDescent="0.3">
      <c r="A927" s="61"/>
      <c r="B927" s="61"/>
      <c r="C927" s="61"/>
      <c r="D927" s="61"/>
      <c r="E927" s="62"/>
      <c r="F927" s="62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spans="1:26" ht="15.75" customHeight="1" x14ac:dyDescent="0.3">
      <c r="A928" s="61"/>
      <c r="B928" s="61"/>
      <c r="C928" s="61"/>
      <c r="D928" s="61"/>
      <c r="E928" s="62"/>
      <c r="F928" s="62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spans="1:26" ht="15.75" customHeight="1" x14ac:dyDescent="0.3">
      <c r="A929" s="61"/>
      <c r="B929" s="61"/>
      <c r="C929" s="61"/>
      <c r="D929" s="61"/>
      <c r="E929" s="62"/>
      <c r="F929" s="62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spans="1:26" ht="15.75" customHeight="1" x14ac:dyDescent="0.3">
      <c r="A930" s="61"/>
      <c r="B930" s="61"/>
      <c r="C930" s="61"/>
      <c r="D930" s="61"/>
      <c r="E930" s="62"/>
      <c r="F930" s="62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spans="1:26" ht="15.75" customHeight="1" x14ac:dyDescent="0.3">
      <c r="A931" s="61"/>
      <c r="B931" s="61"/>
      <c r="C931" s="61"/>
      <c r="D931" s="61"/>
      <c r="E931" s="62"/>
      <c r="F931" s="62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spans="1:26" ht="15.75" customHeight="1" x14ac:dyDescent="0.3">
      <c r="A932" s="61"/>
      <c r="B932" s="61"/>
      <c r="C932" s="61"/>
      <c r="D932" s="61"/>
      <c r="E932" s="62"/>
      <c r="F932" s="62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spans="1:26" ht="15.75" customHeight="1" x14ac:dyDescent="0.3">
      <c r="A933" s="61"/>
      <c r="B933" s="61"/>
      <c r="C933" s="61"/>
      <c r="D933" s="61"/>
      <c r="E933" s="62"/>
      <c r="F933" s="62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spans="1:26" ht="15.75" customHeight="1" x14ac:dyDescent="0.3">
      <c r="A934" s="61"/>
      <c r="B934" s="61"/>
      <c r="C934" s="61"/>
      <c r="D934" s="61"/>
      <c r="E934" s="62"/>
      <c r="F934" s="62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spans="1:26" ht="15.75" customHeight="1" x14ac:dyDescent="0.3">
      <c r="A935" s="61"/>
      <c r="B935" s="61"/>
      <c r="C935" s="61"/>
      <c r="D935" s="61"/>
      <c r="E935" s="62"/>
      <c r="F935" s="62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spans="1:26" ht="15.75" customHeight="1" x14ac:dyDescent="0.3">
      <c r="A936" s="61"/>
      <c r="B936" s="61"/>
      <c r="C936" s="61"/>
      <c r="D936" s="61"/>
      <c r="E936" s="62"/>
      <c r="F936" s="62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spans="1:26" ht="15.75" customHeight="1" x14ac:dyDescent="0.3">
      <c r="A937" s="61"/>
      <c r="B937" s="61"/>
      <c r="C937" s="61"/>
      <c r="D937" s="61"/>
      <c r="E937" s="62"/>
      <c r="F937" s="62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spans="1:26" ht="15.75" customHeight="1" x14ac:dyDescent="0.3">
      <c r="A938" s="61"/>
      <c r="B938" s="61"/>
      <c r="C938" s="61"/>
      <c r="D938" s="61"/>
      <c r="E938" s="62"/>
      <c r="F938" s="62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spans="1:26" ht="15.75" customHeight="1" x14ac:dyDescent="0.3">
      <c r="A939" s="61"/>
      <c r="B939" s="61"/>
      <c r="C939" s="61"/>
      <c r="D939" s="61"/>
      <c r="E939" s="62"/>
      <c r="F939" s="62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spans="1:26" ht="15.75" customHeight="1" x14ac:dyDescent="0.3">
      <c r="A940" s="61"/>
      <c r="B940" s="61"/>
      <c r="C940" s="61"/>
      <c r="D940" s="61"/>
      <c r="E940" s="62"/>
      <c r="F940" s="62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spans="1:26" ht="15.75" customHeight="1" x14ac:dyDescent="0.3">
      <c r="A941" s="61"/>
      <c r="B941" s="61"/>
      <c r="C941" s="61"/>
      <c r="D941" s="61"/>
      <c r="E941" s="62"/>
      <c r="F941" s="62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spans="1:26" ht="15.75" customHeight="1" x14ac:dyDescent="0.3">
      <c r="A942" s="61"/>
      <c r="B942" s="61"/>
      <c r="C942" s="61"/>
      <c r="D942" s="61"/>
      <c r="E942" s="62"/>
      <c r="F942" s="62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spans="1:26" ht="15.75" customHeight="1" x14ac:dyDescent="0.3">
      <c r="A943" s="61"/>
      <c r="B943" s="61"/>
      <c r="C943" s="61"/>
      <c r="D943" s="61"/>
      <c r="E943" s="62"/>
      <c r="F943" s="62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spans="1:26" ht="15.75" customHeight="1" x14ac:dyDescent="0.3">
      <c r="A944" s="61"/>
      <c r="B944" s="61"/>
      <c r="C944" s="61"/>
      <c r="D944" s="61"/>
      <c r="E944" s="62"/>
      <c r="F944" s="62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spans="1:26" ht="15.75" customHeight="1" x14ac:dyDescent="0.3">
      <c r="A945" s="61"/>
      <c r="B945" s="61"/>
      <c r="C945" s="61"/>
      <c r="D945" s="61"/>
      <c r="E945" s="62"/>
      <c r="F945" s="62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spans="1:26" ht="15.75" customHeight="1" x14ac:dyDescent="0.3">
      <c r="A946" s="61"/>
      <c r="B946" s="61"/>
      <c r="C946" s="61"/>
      <c r="D946" s="61"/>
      <c r="E946" s="62"/>
      <c r="F946" s="62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spans="1:26" ht="15.75" customHeight="1" x14ac:dyDescent="0.3">
      <c r="A947" s="61"/>
      <c r="B947" s="61"/>
      <c r="C947" s="61"/>
      <c r="D947" s="61"/>
      <c r="E947" s="62"/>
      <c r="F947" s="62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spans="1:26" ht="15.75" customHeight="1" x14ac:dyDescent="0.3">
      <c r="A948" s="61"/>
      <c r="B948" s="61"/>
      <c r="C948" s="61"/>
      <c r="D948" s="61"/>
      <c r="E948" s="62"/>
      <c r="F948" s="62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spans="1:26" ht="15.75" customHeight="1" x14ac:dyDescent="0.3">
      <c r="A949" s="61"/>
      <c r="B949" s="61"/>
      <c r="C949" s="61"/>
      <c r="D949" s="61"/>
      <c r="E949" s="62"/>
      <c r="F949" s="62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spans="1:26" ht="15.75" customHeight="1" x14ac:dyDescent="0.3">
      <c r="A950" s="61"/>
      <c r="B950" s="61"/>
      <c r="C950" s="61"/>
      <c r="D950" s="61"/>
      <c r="E950" s="62"/>
      <c r="F950" s="62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spans="1:26" ht="15.75" customHeight="1" x14ac:dyDescent="0.3">
      <c r="A951" s="61"/>
      <c r="B951" s="61"/>
      <c r="C951" s="61"/>
      <c r="D951" s="61"/>
      <c r="E951" s="62"/>
      <c r="F951" s="62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spans="1:26" ht="15.75" customHeight="1" x14ac:dyDescent="0.3">
      <c r="A952" s="61"/>
      <c r="B952" s="61"/>
      <c r="C952" s="61"/>
      <c r="D952" s="61"/>
      <c r="E952" s="62"/>
      <c r="F952" s="62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spans="1:26" ht="15.75" customHeight="1" x14ac:dyDescent="0.3">
      <c r="A953" s="61"/>
      <c r="B953" s="61"/>
      <c r="C953" s="61"/>
      <c r="D953" s="61"/>
      <c r="E953" s="62"/>
      <c r="F953" s="62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spans="1:26" ht="15.75" customHeight="1" x14ac:dyDescent="0.3">
      <c r="A954" s="61"/>
      <c r="B954" s="61"/>
      <c r="C954" s="61"/>
      <c r="D954" s="61"/>
      <c r="E954" s="62"/>
      <c r="F954" s="62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spans="1:26" ht="15.75" customHeight="1" x14ac:dyDescent="0.3">
      <c r="A955" s="61"/>
      <c r="B955" s="61"/>
      <c r="C955" s="61"/>
      <c r="D955" s="61"/>
      <c r="E955" s="62"/>
      <c r="F955" s="62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spans="1:26" ht="15.75" customHeight="1" x14ac:dyDescent="0.3">
      <c r="A956" s="61"/>
      <c r="B956" s="61"/>
      <c r="C956" s="61"/>
      <c r="D956" s="61"/>
      <c r="E956" s="62"/>
      <c r="F956" s="62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spans="1:26" ht="15.75" customHeight="1" x14ac:dyDescent="0.3">
      <c r="A957" s="61"/>
      <c r="B957" s="61"/>
      <c r="C957" s="61"/>
      <c r="D957" s="61"/>
      <c r="E957" s="62"/>
      <c r="F957" s="62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spans="1:26" ht="15.75" customHeight="1" x14ac:dyDescent="0.3">
      <c r="A958" s="61"/>
      <c r="B958" s="61"/>
      <c r="C958" s="61"/>
      <c r="D958" s="61"/>
      <c r="E958" s="62"/>
      <c r="F958" s="62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spans="1:26" ht="15.75" customHeight="1" x14ac:dyDescent="0.3">
      <c r="A959" s="61"/>
      <c r="B959" s="61"/>
      <c r="C959" s="61"/>
      <c r="D959" s="61"/>
      <c r="E959" s="62"/>
      <c r="F959" s="62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spans="1:26" ht="15.75" customHeight="1" x14ac:dyDescent="0.3">
      <c r="A960" s="61"/>
      <c r="B960" s="61"/>
      <c r="C960" s="61"/>
      <c r="D960" s="61"/>
      <c r="E960" s="62"/>
      <c r="F960" s="62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spans="1:26" ht="15.75" customHeight="1" x14ac:dyDescent="0.3">
      <c r="A961" s="61"/>
      <c r="B961" s="61"/>
      <c r="C961" s="61"/>
      <c r="D961" s="61"/>
      <c r="E961" s="62"/>
      <c r="F961" s="62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spans="1:26" ht="15.75" customHeight="1" x14ac:dyDescent="0.3">
      <c r="A962" s="61"/>
      <c r="B962" s="61"/>
      <c r="C962" s="61"/>
      <c r="D962" s="61"/>
      <c r="E962" s="62"/>
      <c r="F962" s="62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spans="1:26" ht="15.75" customHeight="1" x14ac:dyDescent="0.3">
      <c r="A963" s="61"/>
      <c r="B963" s="61"/>
      <c r="C963" s="61"/>
      <c r="D963" s="61"/>
      <c r="E963" s="62"/>
      <c r="F963" s="62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spans="1:26" ht="15.75" customHeight="1" x14ac:dyDescent="0.3">
      <c r="A964" s="61"/>
      <c r="B964" s="61"/>
      <c r="C964" s="61"/>
      <c r="D964" s="61"/>
      <c r="E964" s="62"/>
      <c r="F964" s="62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spans="1:26" ht="15.75" customHeight="1" x14ac:dyDescent="0.3">
      <c r="A965" s="61"/>
      <c r="B965" s="61"/>
      <c r="C965" s="61"/>
      <c r="D965" s="61"/>
      <c r="E965" s="62"/>
      <c r="F965" s="62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spans="1:26" ht="15.75" customHeight="1" x14ac:dyDescent="0.3">
      <c r="A966" s="61"/>
      <c r="B966" s="61"/>
      <c r="C966" s="61"/>
      <c r="D966" s="61"/>
      <c r="E966" s="62"/>
      <c r="F966" s="62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spans="1:26" ht="15.75" customHeight="1" x14ac:dyDescent="0.3">
      <c r="A967" s="61"/>
      <c r="B967" s="61"/>
      <c r="C967" s="61"/>
      <c r="D967" s="61"/>
      <c r="E967" s="62"/>
      <c r="F967" s="62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spans="1:26" ht="15.75" customHeight="1" x14ac:dyDescent="0.3">
      <c r="A968" s="61"/>
      <c r="B968" s="61"/>
      <c r="C968" s="61"/>
      <c r="D968" s="61"/>
      <c r="E968" s="62"/>
      <c r="F968" s="62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spans="1:26" ht="15.75" customHeight="1" x14ac:dyDescent="0.3">
      <c r="A969" s="61"/>
      <c r="B969" s="61"/>
      <c r="C969" s="61"/>
      <c r="D969" s="61"/>
      <c r="E969" s="62"/>
      <c r="F969" s="62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spans="1:26" ht="15.75" customHeight="1" x14ac:dyDescent="0.3">
      <c r="A970" s="61"/>
      <c r="B970" s="61"/>
      <c r="C970" s="61"/>
      <c r="D970" s="61"/>
      <c r="E970" s="62"/>
      <c r="F970" s="62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spans="1:26" ht="15.75" customHeight="1" x14ac:dyDescent="0.3">
      <c r="A971" s="61"/>
      <c r="B971" s="61"/>
      <c r="C971" s="61"/>
      <c r="D971" s="61"/>
      <c r="E971" s="62"/>
      <c r="F971" s="62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spans="1:26" ht="15.75" customHeight="1" x14ac:dyDescent="0.3">
      <c r="A972" s="61"/>
      <c r="B972" s="61"/>
      <c r="C972" s="61"/>
      <c r="D972" s="61"/>
      <c r="E972" s="62"/>
      <c r="F972" s="62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spans="1:26" ht="15.75" customHeight="1" x14ac:dyDescent="0.3">
      <c r="A973" s="61"/>
      <c r="B973" s="61"/>
      <c r="C973" s="61"/>
      <c r="D973" s="61"/>
      <c r="E973" s="62"/>
      <c r="F973" s="62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spans="1:26" ht="15.75" customHeight="1" x14ac:dyDescent="0.3">
      <c r="A974" s="61"/>
      <c r="B974" s="61"/>
      <c r="C974" s="61"/>
      <c r="D974" s="61"/>
      <c r="E974" s="62"/>
      <c r="F974" s="62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spans="1:26" ht="15.75" customHeight="1" x14ac:dyDescent="0.3">
      <c r="A975" s="61"/>
      <c r="B975" s="61"/>
      <c r="C975" s="61"/>
      <c r="D975" s="61"/>
      <c r="E975" s="62"/>
      <c r="F975" s="62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spans="1:26" ht="15.75" customHeight="1" x14ac:dyDescent="0.3">
      <c r="A976" s="61"/>
      <c r="B976" s="61"/>
      <c r="C976" s="61"/>
      <c r="D976" s="61"/>
      <c r="E976" s="62"/>
      <c r="F976" s="62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spans="1:26" ht="15.75" customHeight="1" x14ac:dyDescent="0.3">
      <c r="A977" s="61"/>
      <c r="B977" s="61"/>
      <c r="C977" s="61"/>
      <c r="D977" s="61"/>
      <c r="E977" s="62"/>
      <c r="F977" s="62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spans="1:26" ht="15.75" customHeight="1" x14ac:dyDescent="0.3">
      <c r="A978" s="61"/>
      <c r="B978" s="61"/>
      <c r="C978" s="61"/>
      <c r="D978" s="61"/>
      <c r="E978" s="62"/>
      <c r="F978" s="62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spans="1:26" ht="15.75" customHeight="1" x14ac:dyDescent="0.3">
      <c r="A979" s="61"/>
      <c r="B979" s="61"/>
      <c r="C979" s="61"/>
      <c r="D979" s="61"/>
      <c r="E979" s="62"/>
      <c r="F979" s="62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spans="1:26" ht="15.75" customHeight="1" x14ac:dyDescent="0.3">
      <c r="A980" s="61"/>
      <c r="B980" s="61"/>
      <c r="C980" s="61"/>
      <c r="D980" s="61"/>
      <c r="E980" s="62"/>
      <c r="F980" s="62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spans="1:26" ht="15.75" customHeight="1" x14ac:dyDescent="0.3">
      <c r="A981" s="61"/>
      <c r="B981" s="61"/>
      <c r="C981" s="61"/>
      <c r="D981" s="61"/>
      <c r="E981" s="62"/>
      <c r="F981" s="62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spans="1:26" ht="15.75" customHeight="1" x14ac:dyDescent="0.3">
      <c r="A982" s="61"/>
      <c r="B982" s="61"/>
      <c r="C982" s="61"/>
      <c r="D982" s="61"/>
      <c r="E982" s="62"/>
      <c r="F982" s="62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spans="1:26" ht="15.75" customHeight="1" x14ac:dyDescent="0.3">
      <c r="A983" s="61"/>
      <c r="B983" s="61"/>
      <c r="C983" s="61"/>
      <c r="D983" s="61"/>
      <c r="E983" s="62"/>
      <c r="F983" s="62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spans="1:26" ht="15.75" customHeight="1" x14ac:dyDescent="0.3">
      <c r="A984" s="61"/>
      <c r="B984" s="61"/>
      <c r="C984" s="61"/>
      <c r="D984" s="61"/>
      <c r="E984" s="62"/>
      <c r="F984" s="62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spans="1:26" ht="15.75" customHeight="1" x14ac:dyDescent="0.3">
      <c r="A985" s="61"/>
      <c r="B985" s="61"/>
      <c r="C985" s="61"/>
      <c r="D985" s="61"/>
      <c r="E985" s="62"/>
      <c r="F985" s="62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spans="1:26" ht="15.75" customHeight="1" x14ac:dyDescent="0.3">
      <c r="A986" s="61"/>
      <c r="B986" s="61"/>
      <c r="C986" s="61"/>
      <c r="D986" s="61"/>
      <c r="E986" s="62"/>
      <c r="F986" s="62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spans="1:26" ht="15.75" customHeight="1" x14ac:dyDescent="0.3">
      <c r="A987" s="61"/>
      <c r="B987" s="61"/>
      <c r="C987" s="61"/>
      <c r="D987" s="61"/>
      <c r="E987" s="62"/>
      <c r="F987" s="62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spans="1:26" ht="15.75" customHeight="1" x14ac:dyDescent="0.3">
      <c r="A988" s="61"/>
      <c r="B988" s="61"/>
      <c r="C988" s="61"/>
      <c r="D988" s="61"/>
      <c r="E988" s="62"/>
      <c r="F988" s="62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spans="1:26" ht="15.75" customHeight="1" x14ac:dyDescent="0.3">
      <c r="A989" s="61"/>
      <c r="B989" s="61"/>
      <c r="C989" s="61"/>
      <c r="D989" s="61"/>
      <c r="E989" s="62"/>
      <c r="F989" s="62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spans="1:26" ht="15.75" customHeight="1" x14ac:dyDescent="0.3">
      <c r="A990" s="61"/>
      <c r="B990" s="61"/>
      <c r="C990" s="61"/>
      <c r="D990" s="61"/>
      <c r="E990" s="62"/>
      <c r="F990" s="62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spans="1:26" ht="15.75" customHeight="1" x14ac:dyDescent="0.3">
      <c r="A991" s="61"/>
      <c r="B991" s="61"/>
      <c r="C991" s="61"/>
      <c r="D991" s="61"/>
      <c r="E991" s="62"/>
      <c r="F991" s="62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spans="1:26" ht="15.75" customHeight="1" x14ac:dyDescent="0.3">
      <c r="A992" s="61"/>
      <c r="B992" s="61"/>
      <c r="C992" s="61"/>
      <c r="D992" s="61"/>
      <c r="E992" s="62"/>
      <c r="F992" s="62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spans="1:26" ht="15.75" customHeight="1" x14ac:dyDescent="0.3">
      <c r="A993" s="61"/>
      <c r="B993" s="61"/>
      <c r="C993" s="61"/>
      <c r="D993" s="61"/>
      <c r="E993" s="62"/>
      <c r="F993" s="62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spans="1:26" ht="15.75" customHeight="1" x14ac:dyDescent="0.3">
      <c r="A994" s="61"/>
      <c r="B994" s="61"/>
      <c r="C994" s="61"/>
      <c r="D994" s="61"/>
      <c r="E994" s="62"/>
      <c r="F994" s="62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spans="1:26" ht="15.75" customHeight="1" x14ac:dyDescent="0.3">
      <c r="A995" s="61"/>
      <c r="B995" s="61"/>
      <c r="C995" s="61"/>
      <c r="D995" s="61"/>
      <c r="E995" s="62"/>
      <c r="F995" s="62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spans="1:26" ht="15.75" customHeight="1" x14ac:dyDescent="0.3">
      <c r="A996" s="61"/>
      <c r="B996" s="61"/>
      <c r="C996" s="61"/>
      <c r="D996" s="61"/>
      <c r="E996" s="62"/>
      <c r="F996" s="62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spans="1:26" ht="15.75" customHeight="1" x14ac:dyDescent="0.3">
      <c r="A997" s="61"/>
      <c r="B997" s="61"/>
      <c r="C997" s="61"/>
      <c r="D997" s="61"/>
      <c r="E997" s="62"/>
      <c r="F997" s="62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spans="1:26" ht="15.75" customHeight="1" x14ac:dyDescent="0.3">
      <c r="A998" s="61"/>
      <c r="B998" s="61"/>
      <c r="C998" s="61"/>
      <c r="D998" s="61"/>
      <c r="E998" s="62"/>
      <c r="F998" s="62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J2" sqref="J2:J14"/>
    </sheetView>
  </sheetViews>
  <sheetFormatPr defaultColWidth="14.44140625" defaultRowHeight="15" customHeight="1" x14ac:dyDescent="0.3"/>
  <cols>
    <col min="1" max="1" width="14.6640625" customWidth="1"/>
    <col min="2" max="2" width="16.88671875" customWidth="1"/>
    <col min="3" max="3" width="92.109375" customWidth="1"/>
    <col min="4" max="4" width="5.44140625" customWidth="1"/>
    <col min="5" max="5" width="9.6640625" customWidth="1"/>
    <col min="6" max="7" width="12.109375" customWidth="1"/>
    <col min="8" max="8" width="7.5546875" customWidth="1"/>
    <col min="9" max="9" width="9.109375" customWidth="1"/>
    <col min="10" max="10" width="8.6640625" customWidth="1"/>
    <col min="11" max="11" width="7.6640625" customWidth="1"/>
    <col min="12" max="12" width="7.5546875" customWidth="1"/>
    <col min="13" max="26" width="8.6640625" customWidth="1"/>
  </cols>
  <sheetData>
    <row r="1" spans="1:26" ht="14.25" customHeight="1" x14ac:dyDescent="0.3">
      <c r="A1" s="1" t="s">
        <v>0</v>
      </c>
      <c r="B1" s="1" t="s">
        <v>803</v>
      </c>
      <c r="C1" s="1" t="s">
        <v>2</v>
      </c>
      <c r="D1" s="1" t="s">
        <v>3</v>
      </c>
      <c r="E1" s="2" t="s">
        <v>4</v>
      </c>
      <c r="F1" s="57" t="s">
        <v>162</v>
      </c>
      <c r="G1" s="57" t="s">
        <v>1816</v>
      </c>
      <c r="H1" s="3" t="s">
        <v>7</v>
      </c>
      <c r="I1" s="3"/>
      <c r="J1" s="3" t="s">
        <v>8</v>
      </c>
      <c r="K1" s="2" t="s">
        <v>9</v>
      </c>
      <c r="L1" s="3" t="s">
        <v>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 x14ac:dyDescent="0.3">
      <c r="A2" s="63" t="s">
        <v>1844</v>
      </c>
      <c r="B2" s="4" t="s">
        <v>1845</v>
      </c>
      <c r="C2" s="4" t="s">
        <v>1846</v>
      </c>
      <c r="D2" s="64" t="s">
        <v>1847</v>
      </c>
      <c r="E2" s="6">
        <v>129</v>
      </c>
      <c r="F2" s="6">
        <v>83.43</v>
      </c>
      <c r="G2" s="6">
        <v>76.33</v>
      </c>
      <c r="H2" s="7">
        <f t="shared" ref="H2:H7" si="0">1-(G2/E2)</f>
        <v>0.40829457364341082</v>
      </c>
      <c r="I2" s="7"/>
      <c r="J2" s="58">
        <v>0.35499999999999998</v>
      </c>
      <c r="K2" s="6">
        <f t="shared" ref="K2:K14" si="1">E2*(1-J2)</f>
        <v>83.204999999999998</v>
      </c>
      <c r="L2" s="7">
        <f t="shared" ref="L2:L14" si="2">1-(G2/K2)</f>
        <v>8.2627245958776463E-2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64"/>
      <c r="B3" s="61" t="s">
        <v>1848</v>
      </c>
      <c r="C3" s="61" t="s">
        <v>1849</v>
      </c>
      <c r="D3" s="64" t="s">
        <v>1847</v>
      </c>
      <c r="E3" s="65">
        <v>114</v>
      </c>
      <c r="F3" s="65"/>
      <c r="G3" s="65">
        <v>67.47</v>
      </c>
      <c r="H3" s="7">
        <f t="shared" si="0"/>
        <v>0.40815789473684216</v>
      </c>
      <c r="I3" s="7"/>
      <c r="J3" s="58">
        <v>0.35499999999999998</v>
      </c>
      <c r="K3" s="6">
        <f t="shared" si="1"/>
        <v>73.53</v>
      </c>
      <c r="L3" s="7">
        <f t="shared" si="2"/>
        <v>8.2415340677274629E-2</v>
      </c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 ht="14.25" customHeight="1" x14ac:dyDescent="0.3">
      <c r="A4" s="61"/>
      <c r="B4" s="66" t="s">
        <v>1850</v>
      </c>
      <c r="C4" s="61" t="s">
        <v>1851</v>
      </c>
      <c r="D4" s="64" t="s">
        <v>1847</v>
      </c>
      <c r="E4" s="65">
        <v>108</v>
      </c>
      <c r="F4" s="65">
        <v>69.709999999999994</v>
      </c>
      <c r="G4" s="65">
        <v>63.48</v>
      </c>
      <c r="H4" s="7">
        <f t="shared" si="0"/>
        <v>0.41222222222222227</v>
      </c>
      <c r="I4" s="7"/>
      <c r="J4" s="58">
        <v>0.35499999999999998</v>
      </c>
      <c r="K4" s="6">
        <f t="shared" si="1"/>
        <v>69.66</v>
      </c>
      <c r="L4" s="7">
        <f t="shared" si="2"/>
        <v>8.8716623600344491E-2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ht="14.25" customHeight="1" x14ac:dyDescent="0.3">
      <c r="A5" s="61"/>
      <c r="B5" s="4" t="s">
        <v>1852</v>
      </c>
      <c r="C5" s="61" t="s">
        <v>1853</v>
      </c>
      <c r="D5" s="64" t="s">
        <v>1847</v>
      </c>
      <c r="E5" s="65">
        <v>76</v>
      </c>
      <c r="F5" s="65">
        <v>50.29</v>
      </c>
      <c r="G5" s="65">
        <v>44.72</v>
      </c>
      <c r="H5" s="7">
        <f t="shared" si="0"/>
        <v>0.41157894736842104</v>
      </c>
      <c r="I5" s="7"/>
      <c r="J5" s="58">
        <v>0.35499999999999998</v>
      </c>
      <c r="K5" s="6">
        <f t="shared" si="1"/>
        <v>49.02</v>
      </c>
      <c r="L5" s="7">
        <f t="shared" si="2"/>
        <v>8.7719298245614086E-2</v>
      </c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ht="14.25" customHeight="1" x14ac:dyDescent="0.3">
      <c r="A6" s="61" t="s">
        <v>1854</v>
      </c>
      <c r="B6" s="61" t="s">
        <v>1855</v>
      </c>
      <c r="C6" s="61" t="s">
        <v>1856</v>
      </c>
      <c r="D6" s="63" t="s">
        <v>1847</v>
      </c>
      <c r="E6" s="65">
        <v>340</v>
      </c>
      <c r="F6" s="65">
        <v>222.86</v>
      </c>
      <c r="G6" s="65">
        <v>201.42</v>
      </c>
      <c r="H6" s="7">
        <f t="shared" si="0"/>
        <v>0.4075882352941177</v>
      </c>
      <c r="I6" s="7"/>
      <c r="J6" s="58">
        <v>0.35499999999999998</v>
      </c>
      <c r="K6" s="6">
        <f t="shared" si="1"/>
        <v>219.3</v>
      </c>
      <c r="L6" s="7">
        <f t="shared" si="2"/>
        <v>8.153214774281814E-2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ht="14.25" customHeight="1" x14ac:dyDescent="0.3">
      <c r="A7" s="61"/>
      <c r="B7" s="61" t="s">
        <v>1857</v>
      </c>
      <c r="C7" s="61" t="s">
        <v>1858</v>
      </c>
      <c r="D7" s="63" t="s">
        <v>1847</v>
      </c>
      <c r="E7" s="65">
        <v>359</v>
      </c>
      <c r="F7" s="65"/>
      <c r="G7" s="65">
        <v>212.3</v>
      </c>
      <c r="H7" s="7">
        <f t="shared" si="0"/>
        <v>0.40863509749303617</v>
      </c>
      <c r="I7" s="7"/>
      <c r="J7" s="58">
        <v>0.35499999999999998</v>
      </c>
      <c r="K7" s="6">
        <f t="shared" si="1"/>
        <v>231.55500000000001</v>
      </c>
      <c r="L7" s="7">
        <f t="shared" si="2"/>
        <v>8.3155189911684024E-2</v>
      </c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ht="14.25" customHeight="1" x14ac:dyDescent="0.3">
      <c r="A8" s="61"/>
      <c r="B8" s="61" t="s">
        <v>1859</v>
      </c>
      <c r="C8" s="61" t="s">
        <v>1860</v>
      </c>
      <c r="D8" s="63" t="s">
        <v>1847</v>
      </c>
      <c r="E8" s="65">
        <v>273</v>
      </c>
      <c r="F8" s="65">
        <v>179.43</v>
      </c>
      <c r="G8" s="65"/>
      <c r="H8" s="7">
        <f>1-(F8/E8)</f>
        <v>0.34274725274725271</v>
      </c>
      <c r="I8" s="7"/>
      <c r="J8" s="7">
        <v>0.31</v>
      </c>
      <c r="K8" s="6">
        <f t="shared" si="1"/>
        <v>188.36999999999998</v>
      </c>
      <c r="L8" s="7">
        <f t="shared" si="2"/>
        <v>1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4.25" customHeight="1" x14ac:dyDescent="0.3">
      <c r="A9" s="61"/>
      <c r="B9" s="61" t="s">
        <v>1861</v>
      </c>
      <c r="C9" s="61" t="s">
        <v>1862</v>
      </c>
      <c r="D9" s="63" t="s">
        <v>1847</v>
      </c>
      <c r="E9" s="65">
        <v>188</v>
      </c>
      <c r="F9" s="65"/>
      <c r="G9" s="65">
        <v>111.4</v>
      </c>
      <c r="H9" s="7">
        <f t="shared" ref="H9:H14" si="3">1-(G9/E9)</f>
        <v>0.4074468085106383</v>
      </c>
      <c r="I9" s="7"/>
      <c r="J9" s="58">
        <v>0.35499999999999998</v>
      </c>
      <c r="K9" s="6">
        <f t="shared" si="1"/>
        <v>121.26</v>
      </c>
      <c r="L9" s="7">
        <f t="shared" si="2"/>
        <v>8.1312881411842342E-2</v>
      </c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 ht="14.25" customHeight="1" x14ac:dyDescent="0.3">
      <c r="A10" s="61"/>
      <c r="B10" s="61" t="s">
        <v>1863</v>
      </c>
      <c r="C10" s="61" t="s">
        <v>1864</v>
      </c>
      <c r="D10" s="63" t="s">
        <v>1847</v>
      </c>
      <c r="E10" s="65">
        <v>239</v>
      </c>
      <c r="F10" s="65"/>
      <c r="G10" s="65">
        <v>141.46</v>
      </c>
      <c r="H10" s="7">
        <f t="shared" si="3"/>
        <v>0.4081171548117154</v>
      </c>
      <c r="I10" s="7"/>
      <c r="J10" s="58">
        <v>0.35499999999999998</v>
      </c>
      <c r="K10" s="6">
        <f t="shared" si="1"/>
        <v>154.155</v>
      </c>
      <c r="L10" s="7">
        <f t="shared" si="2"/>
        <v>8.2352178002659593E-2</v>
      </c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ht="14.25" customHeight="1" x14ac:dyDescent="0.3">
      <c r="A11" s="61"/>
      <c r="B11" s="61" t="s">
        <v>1865</v>
      </c>
      <c r="C11" s="61" t="s">
        <v>1866</v>
      </c>
      <c r="D11" s="63" t="s">
        <v>1847</v>
      </c>
      <c r="E11" s="65">
        <v>285</v>
      </c>
      <c r="F11" s="65"/>
      <c r="G11" s="65">
        <v>168.73</v>
      </c>
      <c r="H11" s="7">
        <f t="shared" si="3"/>
        <v>0.40796491228070175</v>
      </c>
      <c r="I11" s="7"/>
      <c r="J11" s="58">
        <v>0.35499999999999998</v>
      </c>
      <c r="K11" s="6">
        <f t="shared" si="1"/>
        <v>183.82500000000002</v>
      </c>
      <c r="L11" s="7">
        <f t="shared" si="2"/>
        <v>8.2116143070855574E-2</v>
      </c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 ht="14.25" customHeight="1" x14ac:dyDescent="0.3">
      <c r="A12" s="61"/>
      <c r="B12" s="61" t="s">
        <v>1867</v>
      </c>
      <c r="C12" s="61" t="s">
        <v>1856</v>
      </c>
      <c r="D12" s="63" t="s">
        <v>1847</v>
      </c>
      <c r="E12" s="65">
        <v>340</v>
      </c>
      <c r="F12" s="65"/>
      <c r="G12" s="65">
        <v>201.42</v>
      </c>
      <c r="H12" s="7">
        <f t="shared" si="3"/>
        <v>0.4075882352941177</v>
      </c>
      <c r="I12" s="7"/>
      <c r="J12" s="7">
        <v>0.31</v>
      </c>
      <c r="K12" s="6">
        <f t="shared" si="1"/>
        <v>234.6</v>
      </c>
      <c r="L12" s="7">
        <f t="shared" si="2"/>
        <v>0.1414322250639386</v>
      </c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 ht="14.25" customHeight="1" x14ac:dyDescent="0.3">
      <c r="A13" s="67"/>
      <c r="B13" s="67" t="s">
        <v>1868</v>
      </c>
      <c r="C13" s="67" t="s">
        <v>1869</v>
      </c>
      <c r="D13" s="68" t="s">
        <v>1847</v>
      </c>
      <c r="E13" s="69">
        <v>253</v>
      </c>
      <c r="F13" s="69"/>
      <c r="G13" s="69">
        <v>152.56</v>
      </c>
      <c r="H13" s="23">
        <f t="shared" si="3"/>
        <v>0.39699604743083006</v>
      </c>
      <c r="I13" s="23"/>
      <c r="J13" s="23">
        <v>0.31</v>
      </c>
      <c r="K13" s="22">
        <f t="shared" si="1"/>
        <v>174.57</v>
      </c>
      <c r="L13" s="23">
        <f t="shared" si="2"/>
        <v>0.12608122816062317</v>
      </c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 ht="14.25" customHeight="1" x14ac:dyDescent="0.3">
      <c r="A14" s="68" t="s">
        <v>1870</v>
      </c>
      <c r="B14" s="70" t="s">
        <v>1871</v>
      </c>
      <c r="C14" s="67" t="s">
        <v>1872</v>
      </c>
      <c r="D14" s="68" t="s">
        <v>1847</v>
      </c>
      <c r="E14" s="69">
        <v>12</v>
      </c>
      <c r="F14" s="69"/>
      <c r="G14" s="69">
        <v>7.18</v>
      </c>
      <c r="H14" s="23">
        <f t="shared" si="3"/>
        <v>0.40166666666666673</v>
      </c>
      <c r="I14" s="23"/>
      <c r="J14" s="23">
        <v>0.31</v>
      </c>
      <c r="K14" s="22">
        <f t="shared" si="1"/>
        <v>8.2799999999999994</v>
      </c>
      <c r="L14" s="23">
        <f t="shared" si="2"/>
        <v>0.13285024154589364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ht="14.25" customHeight="1" x14ac:dyDescent="0.3">
      <c r="A15" s="61"/>
      <c r="B15" s="61"/>
      <c r="C15" s="61"/>
      <c r="D15" s="63"/>
      <c r="E15" s="65"/>
      <c r="F15" s="65"/>
      <c r="G15" s="65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4.25" customHeight="1" x14ac:dyDescent="0.3">
      <c r="A16" s="61"/>
      <c r="B16" s="61"/>
      <c r="C16" s="61"/>
      <c r="D16" s="63"/>
      <c r="E16" s="65"/>
      <c r="F16" s="65"/>
      <c r="G16" s="65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4.25" customHeight="1" x14ac:dyDescent="0.3">
      <c r="A17" s="61"/>
      <c r="B17" s="61"/>
      <c r="C17" s="61"/>
      <c r="D17" s="63"/>
      <c r="E17" s="65"/>
      <c r="F17" s="65"/>
      <c r="G17" s="65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4.25" customHeight="1" x14ac:dyDescent="0.3">
      <c r="A18" s="61"/>
      <c r="B18" s="61"/>
      <c r="C18" s="61"/>
      <c r="D18" s="63"/>
      <c r="E18" s="65"/>
      <c r="F18" s="65"/>
      <c r="G18" s="65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4.25" customHeight="1" x14ac:dyDescent="0.3">
      <c r="A19" s="61"/>
      <c r="B19" s="61"/>
      <c r="C19" s="61"/>
      <c r="D19" s="61"/>
      <c r="E19" s="65"/>
      <c r="F19" s="65"/>
      <c r="G19" s="65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4.25" customHeight="1" x14ac:dyDescent="0.3">
      <c r="A20" s="61"/>
      <c r="B20" s="61"/>
      <c r="C20" s="61"/>
      <c r="D20" s="61"/>
      <c r="E20" s="65"/>
      <c r="F20" s="65"/>
      <c r="G20" s="65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4.25" customHeight="1" x14ac:dyDescent="0.3">
      <c r="A21" s="61"/>
      <c r="B21" s="61"/>
      <c r="C21" s="61"/>
      <c r="D21" s="61"/>
      <c r="E21" s="65"/>
      <c r="F21" s="65"/>
      <c r="G21" s="65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4.25" customHeight="1" x14ac:dyDescent="0.3">
      <c r="A22" s="61"/>
      <c r="B22" s="61"/>
      <c r="C22" s="61"/>
      <c r="D22" s="61"/>
      <c r="E22" s="65"/>
      <c r="F22" s="65"/>
      <c r="G22" s="65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4.25" customHeight="1" x14ac:dyDescent="0.3">
      <c r="A23" s="61"/>
      <c r="B23" s="61"/>
      <c r="C23" s="61"/>
      <c r="D23" s="61"/>
      <c r="E23" s="65"/>
      <c r="F23" s="65"/>
      <c r="G23" s="65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4.25" customHeight="1" x14ac:dyDescent="0.3">
      <c r="A24" s="61"/>
      <c r="B24" s="61"/>
      <c r="C24" s="61"/>
      <c r="D24" s="61"/>
      <c r="E24" s="65"/>
      <c r="F24" s="65"/>
      <c r="G24" s="65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4.25" customHeight="1" x14ac:dyDescent="0.3">
      <c r="A25" s="61"/>
      <c r="B25" s="61"/>
      <c r="C25" s="61"/>
      <c r="D25" s="61"/>
      <c r="E25" s="65"/>
      <c r="F25" s="65"/>
      <c r="G25" s="65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4.25" customHeight="1" x14ac:dyDescent="0.3">
      <c r="A26" s="61"/>
      <c r="B26" s="61"/>
      <c r="C26" s="61"/>
      <c r="D26" s="61"/>
      <c r="E26" s="65"/>
      <c r="F26" s="65"/>
      <c r="G26" s="65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4.25" customHeight="1" x14ac:dyDescent="0.3">
      <c r="A27" s="61"/>
      <c r="B27" s="61"/>
      <c r="C27" s="61"/>
      <c r="D27" s="61"/>
      <c r="E27" s="65"/>
      <c r="F27" s="65"/>
      <c r="G27" s="65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4.25" customHeight="1" x14ac:dyDescent="0.3">
      <c r="A28" s="61"/>
      <c r="B28" s="61"/>
      <c r="C28" s="61"/>
      <c r="D28" s="61"/>
      <c r="E28" s="65"/>
      <c r="F28" s="65"/>
      <c r="G28" s="65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4.25" customHeight="1" x14ac:dyDescent="0.3">
      <c r="A29" s="61"/>
      <c r="B29" s="61"/>
      <c r="C29" s="61"/>
      <c r="D29" s="61"/>
      <c r="E29" s="65"/>
      <c r="F29" s="65"/>
      <c r="G29" s="65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4.25" customHeight="1" x14ac:dyDescent="0.3">
      <c r="A30" s="61"/>
      <c r="B30" s="61"/>
      <c r="C30" s="61"/>
      <c r="D30" s="61"/>
      <c r="E30" s="65"/>
      <c r="F30" s="65"/>
      <c r="G30" s="65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4.25" customHeight="1" x14ac:dyDescent="0.3">
      <c r="A31" s="61"/>
      <c r="B31" s="61"/>
      <c r="C31" s="61"/>
      <c r="D31" s="61"/>
      <c r="E31" s="65"/>
      <c r="F31" s="65"/>
      <c r="G31" s="65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4.25" customHeight="1" x14ac:dyDescent="0.3">
      <c r="A32" s="61"/>
      <c r="B32" s="61"/>
      <c r="C32" s="61"/>
      <c r="D32" s="61"/>
      <c r="E32" s="65"/>
      <c r="F32" s="65"/>
      <c r="G32" s="65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ht="14.25" customHeight="1" x14ac:dyDescent="0.3">
      <c r="A33" s="61"/>
      <c r="B33" s="61"/>
      <c r="C33" s="61"/>
      <c r="D33" s="61"/>
      <c r="E33" s="65"/>
      <c r="F33" s="65"/>
      <c r="G33" s="65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 ht="14.25" customHeight="1" x14ac:dyDescent="0.3">
      <c r="A34" s="61"/>
      <c r="B34" s="61"/>
      <c r="C34" s="61"/>
      <c r="D34" s="61"/>
      <c r="E34" s="65"/>
      <c r="F34" s="65"/>
      <c r="G34" s="65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 ht="14.25" customHeight="1" x14ac:dyDescent="0.3">
      <c r="A35" s="61"/>
      <c r="B35" s="61"/>
      <c r="C35" s="61"/>
      <c r="D35" s="61"/>
      <c r="E35" s="65"/>
      <c r="F35" s="65"/>
      <c r="G35" s="65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 ht="14.25" customHeight="1" x14ac:dyDescent="0.3">
      <c r="A36" s="61"/>
      <c r="B36" s="61"/>
      <c r="C36" s="61"/>
      <c r="D36" s="61"/>
      <c r="E36" s="65"/>
      <c r="F36" s="65"/>
      <c r="G36" s="65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 ht="14.25" customHeight="1" x14ac:dyDescent="0.3">
      <c r="A37" s="61"/>
      <c r="B37" s="61"/>
      <c r="C37" s="61"/>
      <c r="D37" s="61"/>
      <c r="E37" s="65"/>
      <c r="F37" s="65"/>
      <c r="G37" s="65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 ht="14.25" customHeight="1" x14ac:dyDescent="0.3">
      <c r="A38" s="61"/>
      <c r="B38" s="61"/>
      <c r="C38" s="61"/>
      <c r="D38" s="61"/>
      <c r="E38" s="65"/>
      <c r="F38" s="65"/>
      <c r="G38" s="65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 ht="14.25" customHeight="1" x14ac:dyDescent="0.3">
      <c r="A39" s="61"/>
      <c r="B39" s="61"/>
      <c r="C39" s="61"/>
      <c r="D39" s="61"/>
      <c r="E39" s="65"/>
      <c r="F39" s="65"/>
      <c r="G39" s="65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 ht="14.25" customHeight="1" x14ac:dyDescent="0.3">
      <c r="A40" s="61"/>
      <c r="B40" s="61"/>
      <c r="C40" s="61"/>
      <c r="D40" s="61"/>
      <c r="E40" s="65"/>
      <c r="F40" s="65"/>
      <c r="G40" s="65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 ht="14.25" customHeight="1" x14ac:dyDescent="0.3">
      <c r="A41" s="61"/>
      <c r="B41" s="61"/>
      <c r="C41" s="61"/>
      <c r="D41" s="61"/>
      <c r="E41" s="65"/>
      <c r="F41" s="65"/>
      <c r="G41" s="65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 ht="14.25" customHeight="1" x14ac:dyDescent="0.3">
      <c r="A42" s="61"/>
      <c r="B42" s="61"/>
      <c r="C42" s="61"/>
      <c r="D42" s="61"/>
      <c r="E42" s="65"/>
      <c r="F42" s="65"/>
      <c r="G42" s="65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 ht="14.25" customHeight="1" x14ac:dyDescent="0.3">
      <c r="A43" s="61"/>
      <c r="B43" s="61"/>
      <c r="C43" s="61"/>
      <c r="D43" s="61"/>
      <c r="E43" s="65"/>
      <c r="F43" s="65"/>
      <c r="G43" s="65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ht="14.25" customHeight="1" x14ac:dyDescent="0.3">
      <c r="A44" s="61"/>
      <c r="B44" s="61"/>
      <c r="C44" s="61"/>
      <c r="D44" s="61"/>
      <c r="E44" s="65"/>
      <c r="F44" s="65"/>
      <c r="G44" s="65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4.25" customHeight="1" x14ac:dyDescent="0.3">
      <c r="A45" s="61"/>
      <c r="B45" s="61"/>
      <c r="C45" s="61"/>
      <c r="D45" s="61"/>
      <c r="E45" s="65"/>
      <c r="F45" s="65"/>
      <c r="G45" s="65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 ht="14.25" customHeight="1" x14ac:dyDescent="0.3">
      <c r="A46" s="61"/>
      <c r="B46" s="61"/>
      <c r="C46" s="61"/>
      <c r="D46" s="61"/>
      <c r="E46" s="65"/>
      <c r="F46" s="65"/>
      <c r="G46" s="65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 ht="14.25" customHeight="1" x14ac:dyDescent="0.3">
      <c r="A47" s="61"/>
      <c r="B47" s="61"/>
      <c r="C47" s="61"/>
      <c r="D47" s="61"/>
      <c r="E47" s="65"/>
      <c r="F47" s="65"/>
      <c r="G47" s="65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 ht="14.25" customHeight="1" x14ac:dyDescent="0.3">
      <c r="A48" s="61"/>
      <c r="B48" s="61"/>
      <c r="C48" s="61"/>
      <c r="D48" s="61"/>
      <c r="E48" s="65"/>
      <c r="F48" s="65"/>
      <c r="G48" s="65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 ht="14.25" customHeight="1" x14ac:dyDescent="0.3">
      <c r="A49" s="61"/>
      <c r="B49" s="61"/>
      <c r="C49" s="61"/>
      <c r="D49" s="61"/>
      <c r="E49" s="65"/>
      <c r="F49" s="65"/>
      <c r="G49" s="65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 ht="14.25" customHeight="1" x14ac:dyDescent="0.3">
      <c r="A50" s="61"/>
      <c r="B50" s="61"/>
      <c r="C50" s="61"/>
      <c r="D50" s="61"/>
      <c r="E50" s="65"/>
      <c r="F50" s="65"/>
      <c r="G50" s="65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 ht="14.25" customHeight="1" x14ac:dyDescent="0.3">
      <c r="A51" s="61"/>
      <c r="B51" s="61"/>
      <c r="C51" s="61"/>
      <c r="D51" s="61"/>
      <c r="E51" s="65"/>
      <c r="F51" s="65"/>
      <c r="G51" s="65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 ht="14.25" customHeight="1" x14ac:dyDescent="0.3">
      <c r="A52" s="61"/>
      <c r="B52" s="61"/>
      <c r="C52" s="61"/>
      <c r="D52" s="61"/>
      <c r="E52" s="65"/>
      <c r="F52" s="65"/>
      <c r="G52" s="65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 ht="14.25" customHeight="1" x14ac:dyDescent="0.3">
      <c r="A53" s="61"/>
      <c r="B53" s="61"/>
      <c r="C53" s="61"/>
      <c r="D53" s="61"/>
      <c r="E53" s="65"/>
      <c r="F53" s="65"/>
      <c r="G53" s="65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 ht="14.25" customHeight="1" x14ac:dyDescent="0.3">
      <c r="A54" s="61"/>
      <c r="B54" s="61"/>
      <c r="C54" s="61"/>
      <c r="D54" s="61"/>
      <c r="E54" s="65"/>
      <c r="F54" s="65"/>
      <c r="G54" s="65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 ht="14.25" customHeight="1" x14ac:dyDescent="0.3">
      <c r="A55" s="61"/>
      <c r="B55" s="61"/>
      <c r="C55" s="61"/>
      <c r="D55" s="61"/>
      <c r="E55" s="65"/>
      <c r="F55" s="65"/>
      <c r="G55" s="65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 ht="14.25" customHeight="1" x14ac:dyDescent="0.3">
      <c r="A56" s="61"/>
      <c r="B56" s="61"/>
      <c r="C56" s="61"/>
      <c r="D56" s="61"/>
      <c r="E56" s="65"/>
      <c r="F56" s="65"/>
      <c r="G56" s="65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 ht="14.25" customHeight="1" x14ac:dyDescent="0.3">
      <c r="A57" s="61"/>
      <c r="B57" s="61"/>
      <c r="C57" s="61"/>
      <c r="D57" s="61"/>
      <c r="E57" s="65"/>
      <c r="F57" s="65"/>
      <c r="G57" s="65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 ht="14.25" customHeight="1" x14ac:dyDescent="0.3">
      <c r="A58" s="61"/>
      <c r="B58" s="61"/>
      <c r="C58" s="61"/>
      <c r="D58" s="61"/>
      <c r="E58" s="65"/>
      <c r="F58" s="65"/>
      <c r="G58" s="65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 ht="14.25" customHeight="1" x14ac:dyDescent="0.3">
      <c r="A59" s="61"/>
      <c r="B59" s="61"/>
      <c r="C59" s="61"/>
      <c r="D59" s="61"/>
      <c r="E59" s="65"/>
      <c r="F59" s="65"/>
      <c r="G59" s="65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4.25" customHeight="1" x14ac:dyDescent="0.3">
      <c r="A60" s="61"/>
      <c r="B60" s="61"/>
      <c r="C60" s="61"/>
      <c r="D60" s="61"/>
      <c r="E60" s="65"/>
      <c r="F60" s="65"/>
      <c r="G60" s="65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 ht="14.25" customHeight="1" x14ac:dyDescent="0.3">
      <c r="A61" s="61"/>
      <c r="B61" s="61"/>
      <c r="C61" s="61"/>
      <c r="D61" s="61"/>
      <c r="E61" s="65"/>
      <c r="F61" s="65"/>
      <c r="G61" s="65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 ht="14.25" customHeight="1" x14ac:dyDescent="0.3">
      <c r="A62" s="61"/>
      <c r="B62" s="61"/>
      <c r="C62" s="61"/>
      <c r="D62" s="61"/>
      <c r="E62" s="65"/>
      <c r="F62" s="65"/>
      <c r="G62" s="65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 ht="14.25" customHeight="1" x14ac:dyDescent="0.3">
      <c r="A63" s="61"/>
      <c r="B63" s="61"/>
      <c r="C63" s="61"/>
      <c r="D63" s="61"/>
      <c r="E63" s="65"/>
      <c r="F63" s="65"/>
      <c r="G63" s="65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 ht="14.25" customHeight="1" x14ac:dyDescent="0.3">
      <c r="A64" s="61"/>
      <c r="B64" s="61"/>
      <c r="C64" s="61"/>
      <c r="D64" s="61"/>
      <c r="E64" s="65"/>
      <c r="F64" s="65"/>
      <c r="G64" s="65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 ht="14.25" customHeight="1" x14ac:dyDescent="0.3">
      <c r="A65" s="61"/>
      <c r="B65" s="61"/>
      <c r="C65" s="61"/>
      <c r="D65" s="61"/>
      <c r="E65" s="65"/>
      <c r="F65" s="65"/>
      <c r="G65" s="65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 ht="14.25" customHeight="1" x14ac:dyDescent="0.3">
      <c r="A66" s="61"/>
      <c r="B66" s="61"/>
      <c r="C66" s="61"/>
      <c r="D66" s="61"/>
      <c r="E66" s="65"/>
      <c r="F66" s="65"/>
      <c r="G66" s="65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 ht="14.25" customHeight="1" x14ac:dyDescent="0.3">
      <c r="A67" s="61"/>
      <c r="B67" s="61"/>
      <c r="C67" s="61"/>
      <c r="D67" s="61"/>
      <c r="E67" s="65"/>
      <c r="F67" s="65"/>
      <c r="G67" s="65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 ht="14.25" customHeight="1" x14ac:dyDescent="0.3">
      <c r="A68" s="61"/>
      <c r="B68" s="61"/>
      <c r="C68" s="61"/>
      <c r="D68" s="61"/>
      <c r="E68" s="65"/>
      <c r="F68" s="65"/>
      <c r="G68" s="65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 ht="14.25" customHeight="1" x14ac:dyDescent="0.3">
      <c r="A69" s="61"/>
      <c r="B69" s="61"/>
      <c r="C69" s="61"/>
      <c r="D69" s="61"/>
      <c r="E69" s="65"/>
      <c r="F69" s="65"/>
      <c r="G69" s="65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 ht="14.25" customHeight="1" x14ac:dyDescent="0.3">
      <c r="A70" s="61"/>
      <c r="B70" s="61"/>
      <c r="C70" s="61"/>
      <c r="D70" s="61"/>
      <c r="E70" s="65"/>
      <c r="F70" s="65"/>
      <c r="G70" s="65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 ht="14.25" customHeight="1" x14ac:dyDescent="0.3">
      <c r="A71" s="61"/>
      <c r="B71" s="61"/>
      <c r="C71" s="61"/>
      <c r="D71" s="61"/>
      <c r="E71" s="65"/>
      <c r="F71" s="65"/>
      <c r="G71" s="65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 ht="14.25" customHeight="1" x14ac:dyDescent="0.3">
      <c r="A72" s="61"/>
      <c r="B72" s="61"/>
      <c r="C72" s="61"/>
      <c r="D72" s="61"/>
      <c r="E72" s="65"/>
      <c r="F72" s="65"/>
      <c r="G72" s="65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 ht="14.25" customHeight="1" x14ac:dyDescent="0.3">
      <c r="A73" s="61"/>
      <c r="B73" s="61"/>
      <c r="C73" s="61"/>
      <c r="D73" s="61"/>
      <c r="E73" s="65"/>
      <c r="F73" s="65"/>
      <c r="G73" s="65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 ht="14.25" customHeight="1" x14ac:dyDescent="0.3">
      <c r="A74" s="61"/>
      <c r="B74" s="61"/>
      <c r="C74" s="61"/>
      <c r="D74" s="61"/>
      <c r="E74" s="65"/>
      <c r="F74" s="65"/>
      <c r="G74" s="65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 ht="14.25" customHeight="1" x14ac:dyDescent="0.3">
      <c r="A75" s="61"/>
      <c r="B75" s="61"/>
      <c r="C75" s="61"/>
      <c r="D75" s="61"/>
      <c r="E75" s="65"/>
      <c r="F75" s="65"/>
      <c r="G75" s="65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 ht="14.25" customHeight="1" x14ac:dyDescent="0.3">
      <c r="A76" s="61"/>
      <c r="B76" s="61"/>
      <c r="C76" s="61"/>
      <c r="D76" s="61"/>
      <c r="E76" s="65"/>
      <c r="F76" s="65"/>
      <c r="G76" s="65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 ht="14.25" customHeight="1" x14ac:dyDescent="0.3">
      <c r="A77" s="61"/>
      <c r="B77" s="61"/>
      <c r="C77" s="61"/>
      <c r="D77" s="61"/>
      <c r="E77" s="65"/>
      <c r="F77" s="65"/>
      <c r="G77" s="65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 ht="14.25" customHeight="1" x14ac:dyDescent="0.3">
      <c r="A78" s="61"/>
      <c r="B78" s="61"/>
      <c r="C78" s="61"/>
      <c r="D78" s="61"/>
      <c r="E78" s="65"/>
      <c r="F78" s="65"/>
      <c r="G78" s="65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 ht="14.25" customHeight="1" x14ac:dyDescent="0.3">
      <c r="A79" s="61"/>
      <c r="B79" s="61"/>
      <c r="C79" s="61"/>
      <c r="D79" s="61"/>
      <c r="E79" s="65"/>
      <c r="F79" s="65"/>
      <c r="G79" s="65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 ht="14.25" customHeight="1" x14ac:dyDescent="0.3">
      <c r="A80" s="61"/>
      <c r="B80" s="61"/>
      <c r="C80" s="61"/>
      <c r="D80" s="61"/>
      <c r="E80" s="65"/>
      <c r="F80" s="65"/>
      <c r="G80" s="65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 ht="14.25" customHeight="1" x14ac:dyDescent="0.3">
      <c r="A81" s="61"/>
      <c r="B81" s="61"/>
      <c r="C81" s="61"/>
      <c r="D81" s="61"/>
      <c r="E81" s="65"/>
      <c r="F81" s="65"/>
      <c r="G81" s="65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 ht="14.25" customHeight="1" x14ac:dyDescent="0.3">
      <c r="A82" s="61"/>
      <c r="B82" s="61"/>
      <c r="C82" s="61"/>
      <c r="D82" s="61"/>
      <c r="E82" s="65"/>
      <c r="F82" s="65"/>
      <c r="G82" s="65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 ht="14.25" customHeight="1" x14ac:dyDescent="0.3">
      <c r="A83" s="61"/>
      <c r="B83" s="61"/>
      <c r="C83" s="61"/>
      <c r="D83" s="61"/>
      <c r="E83" s="65"/>
      <c r="F83" s="65"/>
      <c r="G83" s="65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 ht="14.25" customHeight="1" x14ac:dyDescent="0.3">
      <c r="A84" s="61"/>
      <c r="B84" s="61"/>
      <c r="C84" s="61"/>
      <c r="D84" s="61"/>
      <c r="E84" s="65"/>
      <c r="F84" s="65"/>
      <c r="G84" s="65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 ht="14.25" customHeight="1" x14ac:dyDescent="0.3">
      <c r="A85" s="61"/>
      <c r="B85" s="61"/>
      <c r="C85" s="61"/>
      <c r="D85" s="61"/>
      <c r="E85" s="65"/>
      <c r="F85" s="65"/>
      <c r="G85" s="65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 ht="14.25" customHeight="1" x14ac:dyDescent="0.3">
      <c r="A86" s="61"/>
      <c r="B86" s="61"/>
      <c r="C86" s="61"/>
      <c r="D86" s="61"/>
      <c r="E86" s="65"/>
      <c r="F86" s="65"/>
      <c r="G86" s="65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 ht="14.25" customHeight="1" x14ac:dyDescent="0.3">
      <c r="A87" s="61"/>
      <c r="B87" s="61"/>
      <c r="C87" s="61"/>
      <c r="D87" s="61"/>
      <c r="E87" s="65"/>
      <c r="F87" s="65"/>
      <c r="G87" s="65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 ht="14.25" customHeight="1" x14ac:dyDescent="0.3">
      <c r="A88" s="61"/>
      <c r="B88" s="61"/>
      <c r="C88" s="61"/>
      <c r="D88" s="61"/>
      <c r="E88" s="65"/>
      <c r="F88" s="65"/>
      <c r="G88" s="65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 ht="14.25" customHeight="1" x14ac:dyDescent="0.3">
      <c r="A89" s="61"/>
      <c r="B89" s="61"/>
      <c r="C89" s="61"/>
      <c r="D89" s="61"/>
      <c r="E89" s="65"/>
      <c r="F89" s="65"/>
      <c r="G89" s="65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 ht="14.25" customHeight="1" x14ac:dyDescent="0.3">
      <c r="A90" s="61"/>
      <c r="B90" s="61"/>
      <c r="C90" s="61"/>
      <c r="D90" s="61"/>
      <c r="E90" s="65"/>
      <c r="F90" s="65"/>
      <c r="G90" s="65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 ht="14.25" customHeight="1" x14ac:dyDescent="0.3">
      <c r="A91" s="61"/>
      <c r="B91" s="61"/>
      <c r="C91" s="61"/>
      <c r="D91" s="61"/>
      <c r="E91" s="65"/>
      <c r="F91" s="65"/>
      <c r="G91" s="65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 ht="14.25" customHeight="1" x14ac:dyDescent="0.3">
      <c r="A92" s="61"/>
      <c r="B92" s="61"/>
      <c r="C92" s="61"/>
      <c r="D92" s="61"/>
      <c r="E92" s="65"/>
      <c r="F92" s="65"/>
      <c r="G92" s="65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 ht="14.25" customHeight="1" x14ac:dyDescent="0.3">
      <c r="A93" s="61"/>
      <c r="B93" s="61"/>
      <c r="C93" s="61"/>
      <c r="D93" s="61"/>
      <c r="E93" s="65"/>
      <c r="F93" s="65"/>
      <c r="G93" s="65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 ht="14.25" customHeight="1" x14ac:dyDescent="0.3">
      <c r="A94" s="61"/>
      <c r="B94" s="61"/>
      <c r="C94" s="61"/>
      <c r="D94" s="61"/>
      <c r="E94" s="65"/>
      <c r="F94" s="65"/>
      <c r="G94" s="65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 ht="14.25" customHeight="1" x14ac:dyDescent="0.3">
      <c r="A95" s="61"/>
      <c r="B95" s="61"/>
      <c r="C95" s="61"/>
      <c r="D95" s="61"/>
      <c r="E95" s="65"/>
      <c r="F95" s="65"/>
      <c r="G95" s="65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 ht="14.25" customHeight="1" x14ac:dyDescent="0.3">
      <c r="A96" s="61"/>
      <c r="B96" s="61"/>
      <c r="C96" s="61"/>
      <c r="D96" s="61"/>
      <c r="E96" s="65"/>
      <c r="F96" s="65"/>
      <c r="G96" s="65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4.25" customHeight="1" x14ac:dyDescent="0.3">
      <c r="A97" s="61"/>
      <c r="B97" s="61"/>
      <c r="C97" s="61"/>
      <c r="D97" s="61"/>
      <c r="E97" s="65"/>
      <c r="F97" s="65"/>
      <c r="G97" s="65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 ht="14.25" customHeight="1" x14ac:dyDescent="0.3">
      <c r="A98" s="61"/>
      <c r="B98" s="61"/>
      <c r="C98" s="61"/>
      <c r="D98" s="61"/>
      <c r="E98" s="65"/>
      <c r="F98" s="65"/>
      <c r="G98" s="65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 ht="14.25" customHeight="1" x14ac:dyDescent="0.3">
      <c r="A99" s="61"/>
      <c r="B99" s="61"/>
      <c r="C99" s="61"/>
      <c r="D99" s="61"/>
      <c r="E99" s="65"/>
      <c r="F99" s="65"/>
      <c r="G99" s="65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spans="1:26" ht="14.25" customHeight="1" x14ac:dyDescent="0.3">
      <c r="A100" s="61"/>
      <c r="B100" s="61"/>
      <c r="C100" s="61"/>
      <c r="D100" s="61"/>
      <c r="E100" s="65"/>
      <c r="F100" s="65"/>
      <c r="G100" s="65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 ht="14.25" customHeight="1" x14ac:dyDescent="0.3">
      <c r="A101" s="61"/>
      <c r="B101" s="61"/>
      <c r="C101" s="61"/>
      <c r="D101" s="61"/>
      <c r="E101" s="65"/>
      <c r="F101" s="65"/>
      <c r="G101" s="65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spans="1:26" ht="14.25" customHeight="1" x14ac:dyDescent="0.3">
      <c r="A102" s="61"/>
      <c r="B102" s="61"/>
      <c r="C102" s="61"/>
      <c r="D102" s="61"/>
      <c r="E102" s="65"/>
      <c r="F102" s="65"/>
      <c r="G102" s="65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spans="1:26" ht="14.25" customHeight="1" x14ac:dyDescent="0.3">
      <c r="A103" s="61"/>
      <c r="B103" s="61"/>
      <c r="C103" s="61"/>
      <c r="D103" s="61"/>
      <c r="E103" s="65"/>
      <c r="F103" s="65"/>
      <c r="G103" s="65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spans="1:26" ht="14.25" customHeight="1" x14ac:dyDescent="0.3">
      <c r="A104" s="61"/>
      <c r="B104" s="61"/>
      <c r="C104" s="61"/>
      <c r="D104" s="61"/>
      <c r="E104" s="65"/>
      <c r="F104" s="65"/>
      <c r="G104" s="65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spans="1:26" ht="14.25" customHeight="1" x14ac:dyDescent="0.3">
      <c r="A105" s="61"/>
      <c r="B105" s="61"/>
      <c r="C105" s="61"/>
      <c r="D105" s="61"/>
      <c r="E105" s="65"/>
      <c r="F105" s="65"/>
      <c r="G105" s="65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spans="1:26" ht="14.25" customHeight="1" x14ac:dyDescent="0.3">
      <c r="A106" s="61"/>
      <c r="B106" s="61"/>
      <c r="C106" s="61"/>
      <c r="D106" s="61"/>
      <c r="E106" s="65"/>
      <c r="F106" s="65"/>
      <c r="G106" s="65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spans="1:26" ht="14.25" customHeight="1" x14ac:dyDescent="0.3">
      <c r="A107" s="61"/>
      <c r="B107" s="61"/>
      <c r="C107" s="61"/>
      <c r="D107" s="61"/>
      <c r="E107" s="65"/>
      <c r="F107" s="65"/>
      <c r="G107" s="65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spans="1:26" ht="14.25" customHeight="1" x14ac:dyDescent="0.3">
      <c r="A108" s="61"/>
      <c r="B108" s="61"/>
      <c r="C108" s="61"/>
      <c r="D108" s="61"/>
      <c r="E108" s="65"/>
      <c r="F108" s="65"/>
      <c r="G108" s="65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4.25" customHeight="1" x14ac:dyDescent="0.3">
      <c r="A109" s="61"/>
      <c r="B109" s="61"/>
      <c r="C109" s="61"/>
      <c r="D109" s="61"/>
      <c r="E109" s="65"/>
      <c r="F109" s="65"/>
      <c r="G109" s="65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spans="1:26" ht="14.25" customHeight="1" x14ac:dyDescent="0.3">
      <c r="A110" s="61"/>
      <c r="B110" s="61"/>
      <c r="C110" s="61"/>
      <c r="D110" s="61"/>
      <c r="E110" s="65"/>
      <c r="F110" s="65"/>
      <c r="G110" s="65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spans="1:26" ht="14.25" customHeight="1" x14ac:dyDescent="0.3">
      <c r="A111" s="61"/>
      <c r="B111" s="61"/>
      <c r="C111" s="61"/>
      <c r="D111" s="61"/>
      <c r="E111" s="65"/>
      <c r="F111" s="65"/>
      <c r="G111" s="65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spans="1:26" ht="14.25" customHeight="1" x14ac:dyDescent="0.3">
      <c r="A112" s="61"/>
      <c r="B112" s="61"/>
      <c r="C112" s="61"/>
      <c r="D112" s="61"/>
      <c r="E112" s="65"/>
      <c r="F112" s="65"/>
      <c r="G112" s="65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spans="1:26" ht="14.25" customHeight="1" x14ac:dyDescent="0.3">
      <c r="A113" s="61"/>
      <c r="B113" s="61"/>
      <c r="C113" s="61"/>
      <c r="D113" s="61"/>
      <c r="E113" s="65"/>
      <c r="F113" s="65"/>
      <c r="G113" s="65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spans="1:26" ht="14.25" customHeight="1" x14ac:dyDescent="0.3">
      <c r="A114" s="61"/>
      <c r="B114" s="61"/>
      <c r="C114" s="61"/>
      <c r="D114" s="61"/>
      <c r="E114" s="65"/>
      <c r="F114" s="65"/>
      <c r="G114" s="65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spans="1:26" ht="14.25" customHeight="1" x14ac:dyDescent="0.3">
      <c r="A115" s="61"/>
      <c r="B115" s="61"/>
      <c r="C115" s="61"/>
      <c r="D115" s="61"/>
      <c r="E115" s="65"/>
      <c r="F115" s="65"/>
      <c r="G115" s="65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spans="1:26" ht="14.25" customHeight="1" x14ac:dyDescent="0.3">
      <c r="A116" s="61"/>
      <c r="B116" s="61"/>
      <c r="C116" s="61"/>
      <c r="D116" s="61"/>
      <c r="E116" s="65"/>
      <c r="F116" s="65"/>
      <c r="G116" s="65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spans="1:26" ht="14.25" customHeight="1" x14ac:dyDescent="0.3">
      <c r="A117" s="61"/>
      <c r="B117" s="61"/>
      <c r="C117" s="61"/>
      <c r="D117" s="61"/>
      <c r="E117" s="65"/>
      <c r="F117" s="65"/>
      <c r="G117" s="65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spans="1:26" ht="14.25" customHeight="1" x14ac:dyDescent="0.3">
      <c r="A118" s="61"/>
      <c r="B118" s="61"/>
      <c r="C118" s="61"/>
      <c r="D118" s="61"/>
      <c r="E118" s="65"/>
      <c r="F118" s="65"/>
      <c r="G118" s="65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spans="1:26" ht="14.25" customHeight="1" x14ac:dyDescent="0.3">
      <c r="A119" s="61"/>
      <c r="B119" s="61"/>
      <c r="C119" s="61"/>
      <c r="D119" s="61"/>
      <c r="E119" s="65"/>
      <c r="F119" s="65"/>
      <c r="G119" s="65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spans="1:26" ht="14.25" customHeight="1" x14ac:dyDescent="0.3">
      <c r="A120" s="61"/>
      <c r="B120" s="61"/>
      <c r="C120" s="61"/>
      <c r="D120" s="61"/>
      <c r="E120" s="65"/>
      <c r="F120" s="65"/>
      <c r="G120" s="65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spans="1:26" ht="14.25" customHeight="1" x14ac:dyDescent="0.3">
      <c r="A121" s="61"/>
      <c r="B121" s="61"/>
      <c r="C121" s="61"/>
      <c r="D121" s="61"/>
      <c r="E121" s="65"/>
      <c r="F121" s="65"/>
      <c r="G121" s="65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spans="1:26" ht="14.25" customHeight="1" x14ac:dyDescent="0.3">
      <c r="A122" s="61"/>
      <c r="B122" s="61"/>
      <c r="C122" s="61"/>
      <c r="D122" s="61"/>
      <c r="E122" s="65"/>
      <c r="F122" s="65"/>
      <c r="G122" s="65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spans="1:26" ht="14.25" customHeight="1" x14ac:dyDescent="0.3">
      <c r="A123" s="61"/>
      <c r="B123" s="61"/>
      <c r="C123" s="61"/>
      <c r="D123" s="61"/>
      <c r="E123" s="65"/>
      <c r="F123" s="65"/>
      <c r="G123" s="65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spans="1:26" ht="14.25" customHeight="1" x14ac:dyDescent="0.3">
      <c r="A124" s="61"/>
      <c r="B124" s="61"/>
      <c r="C124" s="61"/>
      <c r="D124" s="61"/>
      <c r="E124" s="65"/>
      <c r="F124" s="65"/>
      <c r="G124" s="65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spans="1:26" ht="14.25" customHeight="1" x14ac:dyDescent="0.3">
      <c r="A125" s="61"/>
      <c r="B125" s="61"/>
      <c r="C125" s="61"/>
      <c r="D125" s="61"/>
      <c r="E125" s="65"/>
      <c r="F125" s="65"/>
      <c r="G125" s="65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spans="1:26" ht="14.25" customHeight="1" x14ac:dyDescent="0.3">
      <c r="A126" s="61"/>
      <c r="B126" s="61"/>
      <c r="C126" s="61"/>
      <c r="D126" s="61"/>
      <c r="E126" s="65"/>
      <c r="F126" s="65"/>
      <c r="G126" s="65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spans="1:26" ht="14.25" customHeight="1" x14ac:dyDescent="0.3">
      <c r="A127" s="61"/>
      <c r="B127" s="61"/>
      <c r="C127" s="61"/>
      <c r="D127" s="61"/>
      <c r="E127" s="65"/>
      <c r="F127" s="65"/>
      <c r="G127" s="65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spans="1:26" ht="14.25" customHeight="1" x14ac:dyDescent="0.3">
      <c r="A128" s="61"/>
      <c r="B128" s="61"/>
      <c r="C128" s="61"/>
      <c r="D128" s="61"/>
      <c r="E128" s="65"/>
      <c r="F128" s="65"/>
      <c r="G128" s="65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spans="1:26" ht="14.25" customHeight="1" x14ac:dyDescent="0.3">
      <c r="A129" s="61"/>
      <c r="B129" s="61"/>
      <c r="C129" s="61"/>
      <c r="D129" s="61"/>
      <c r="E129" s="65"/>
      <c r="F129" s="65"/>
      <c r="G129" s="65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spans="1:26" ht="14.25" customHeight="1" x14ac:dyDescent="0.3">
      <c r="A130" s="61"/>
      <c r="B130" s="61"/>
      <c r="C130" s="61"/>
      <c r="D130" s="61"/>
      <c r="E130" s="65"/>
      <c r="F130" s="65"/>
      <c r="G130" s="65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spans="1:26" ht="14.25" customHeight="1" x14ac:dyDescent="0.3">
      <c r="A131" s="61"/>
      <c r="B131" s="61"/>
      <c r="C131" s="61"/>
      <c r="D131" s="61"/>
      <c r="E131" s="65"/>
      <c r="F131" s="65"/>
      <c r="G131" s="65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spans="1:26" ht="14.25" customHeight="1" x14ac:dyDescent="0.3">
      <c r="A132" s="61"/>
      <c r="B132" s="61"/>
      <c r="C132" s="61"/>
      <c r="D132" s="61"/>
      <c r="E132" s="65"/>
      <c r="F132" s="65"/>
      <c r="G132" s="65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spans="1:26" ht="14.25" customHeight="1" x14ac:dyDescent="0.3">
      <c r="A133" s="61"/>
      <c r="B133" s="61"/>
      <c r="C133" s="61"/>
      <c r="D133" s="61"/>
      <c r="E133" s="65"/>
      <c r="F133" s="65"/>
      <c r="G133" s="65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spans="1:26" ht="14.25" customHeight="1" x14ac:dyDescent="0.3">
      <c r="A134" s="61"/>
      <c r="B134" s="61"/>
      <c r="C134" s="61"/>
      <c r="D134" s="61"/>
      <c r="E134" s="65"/>
      <c r="F134" s="65"/>
      <c r="G134" s="65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spans="1:26" ht="14.25" customHeight="1" x14ac:dyDescent="0.3">
      <c r="A135" s="61"/>
      <c r="B135" s="61"/>
      <c r="C135" s="61"/>
      <c r="D135" s="61"/>
      <c r="E135" s="65"/>
      <c r="F135" s="65"/>
      <c r="G135" s="65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spans="1:26" ht="14.25" customHeight="1" x14ac:dyDescent="0.3">
      <c r="A136" s="61"/>
      <c r="B136" s="61"/>
      <c r="C136" s="61"/>
      <c r="D136" s="61"/>
      <c r="E136" s="65"/>
      <c r="F136" s="65"/>
      <c r="G136" s="65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spans="1:26" ht="14.25" customHeight="1" x14ac:dyDescent="0.3">
      <c r="A137" s="61"/>
      <c r="B137" s="61"/>
      <c r="C137" s="61"/>
      <c r="D137" s="61"/>
      <c r="E137" s="65"/>
      <c r="F137" s="65"/>
      <c r="G137" s="65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spans="1:26" ht="14.25" customHeight="1" x14ac:dyDescent="0.3">
      <c r="A138" s="61"/>
      <c r="B138" s="61"/>
      <c r="C138" s="61"/>
      <c r="D138" s="61"/>
      <c r="E138" s="65"/>
      <c r="F138" s="65"/>
      <c r="G138" s="65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spans="1:26" ht="14.25" customHeight="1" x14ac:dyDescent="0.3">
      <c r="A139" s="61"/>
      <c r="B139" s="61"/>
      <c r="C139" s="61"/>
      <c r="D139" s="61"/>
      <c r="E139" s="65"/>
      <c r="F139" s="65"/>
      <c r="G139" s="65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spans="1:26" ht="14.25" customHeight="1" x14ac:dyDescent="0.3">
      <c r="A140" s="61"/>
      <c r="B140" s="61"/>
      <c r="C140" s="61"/>
      <c r="D140" s="61"/>
      <c r="E140" s="65"/>
      <c r="F140" s="65"/>
      <c r="G140" s="65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4.25" customHeight="1" x14ac:dyDescent="0.3">
      <c r="A141" s="61"/>
      <c r="B141" s="61"/>
      <c r="C141" s="61"/>
      <c r="D141" s="61"/>
      <c r="E141" s="65"/>
      <c r="F141" s="65"/>
      <c r="G141" s="65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spans="1:26" ht="14.25" customHeight="1" x14ac:dyDescent="0.3">
      <c r="A142" s="61"/>
      <c r="B142" s="61"/>
      <c r="C142" s="61"/>
      <c r="D142" s="61"/>
      <c r="E142" s="65"/>
      <c r="F142" s="65"/>
      <c r="G142" s="65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26" ht="14.25" customHeight="1" x14ac:dyDescent="0.3">
      <c r="A143" s="61"/>
      <c r="B143" s="61"/>
      <c r="C143" s="61"/>
      <c r="D143" s="61"/>
      <c r="E143" s="65"/>
      <c r="F143" s="65"/>
      <c r="G143" s="65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spans="1:26" ht="14.25" customHeight="1" x14ac:dyDescent="0.3">
      <c r="A144" s="61"/>
      <c r="B144" s="61"/>
      <c r="C144" s="61"/>
      <c r="D144" s="61"/>
      <c r="E144" s="65"/>
      <c r="F144" s="65"/>
      <c r="G144" s="65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spans="1:26" ht="14.25" customHeight="1" x14ac:dyDescent="0.3">
      <c r="A145" s="61"/>
      <c r="B145" s="61"/>
      <c r="C145" s="61"/>
      <c r="D145" s="61"/>
      <c r="E145" s="65"/>
      <c r="F145" s="65"/>
      <c r="G145" s="65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spans="1:26" ht="14.25" customHeight="1" x14ac:dyDescent="0.3">
      <c r="A146" s="61"/>
      <c r="B146" s="61"/>
      <c r="C146" s="61"/>
      <c r="D146" s="61"/>
      <c r="E146" s="65"/>
      <c r="F146" s="65"/>
      <c r="G146" s="65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spans="1:26" ht="14.25" customHeight="1" x14ac:dyDescent="0.3">
      <c r="A147" s="61"/>
      <c r="B147" s="61"/>
      <c r="C147" s="61"/>
      <c r="D147" s="61"/>
      <c r="E147" s="65"/>
      <c r="F147" s="65"/>
      <c r="G147" s="65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spans="1:26" ht="14.25" customHeight="1" x14ac:dyDescent="0.3">
      <c r="A148" s="61"/>
      <c r="B148" s="61"/>
      <c r="C148" s="61"/>
      <c r="D148" s="61"/>
      <c r="E148" s="65"/>
      <c r="F148" s="65"/>
      <c r="G148" s="65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spans="1:26" ht="14.25" customHeight="1" x14ac:dyDescent="0.3">
      <c r="A149" s="61"/>
      <c r="B149" s="61"/>
      <c r="C149" s="61"/>
      <c r="D149" s="61"/>
      <c r="E149" s="65"/>
      <c r="F149" s="65"/>
      <c r="G149" s="65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spans="1:26" ht="14.25" customHeight="1" x14ac:dyDescent="0.3">
      <c r="A150" s="61"/>
      <c r="B150" s="61"/>
      <c r="C150" s="61"/>
      <c r="D150" s="61"/>
      <c r="E150" s="65"/>
      <c r="F150" s="65"/>
      <c r="G150" s="65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spans="1:26" ht="14.25" customHeight="1" x14ac:dyDescent="0.3">
      <c r="A151" s="61"/>
      <c r="B151" s="61"/>
      <c r="C151" s="61"/>
      <c r="D151" s="61"/>
      <c r="E151" s="65"/>
      <c r="F151" s="65"/>
      <c r="G151" s="65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spans="1:26" ht="14.25" customHeight="1" x14ac:dyDescent="0.3">
      <c r="A152" s="61"/>
      <c r="B152" s="61"/>
      <c r="C152" s="61"/>
      <c r="D152" s="61"/>
      <c r="E152" s="65"/>
      <c r="F152" s="65"/>
      <c r="G152" s="65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spans="1:26" ht="14.25" customHeight="1" x14ac:dyDescent="0.3">
      <c r="A153" s="61"/>
      <c r="B153" s="61"/>
      <c r="C153" s="61"/>
      <c r="D153" s="61"/>
      <c r="E153" s="65"/>
      <c r="F153" s="65"/>
      <c r="G153" s="65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spans="1:26" ht="14.25" customHeight="1" x14ac:dyDescent="0.3">
      <c r="A154" s="61"/>
      <c r="B154" s="61"/>
      <c r="C154" s="61"/>
      <c r="D154" s="61"/>
      <c r="E154" s="65"/>
      <c r="F154" s="65"/>
      <c r="G154" s="65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spans="1:26" ht="14.25" customHeight="1" x14ac:dyDescent="0.3">
      <c r="A155" s="61"/>
      <c r="B155" s="61"/>
      <c r="C155" s="61"/>
      <c r="D155" s="61"/>
      <c r="E155" s="65"/>
      <c r="F155" s="65"/>
      <c r="G155" s="65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spans="1:26" ht="14.25" customHeight="1" x14ac:dyDescent="0.3">
      <c r="A156" s="61"/>
      <c r="B156" s="61"/>
      <c r="C156" s="61"/>
      <c r="D156" s="61"/>
      <c r="E156" s="65"/>
      <c r="F156" s="65"/>
      <c r="G156" s="65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spans="1:26" ht="14.25" customHeight="1" x14ac:dyDescent="0.3">
      <c r="A157" s="61"/>
      <c r="B157" s="61"/>
      <c r="C157" s="61"/>
      <c r="D157" s="61"/>
      <c r="E157" s="65"/>
      <c r="F157" s="65"/>
      <c r="G157" s="65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 ht="14.25" customHeight="1" x14ac:dyDescent="0.3">
      <c r="A158" s="61"/>
      <c r="B158" s="61"/>
      <c r="C158" s="61"/>
      <c r="D158" s="61"/>
      <c r="E158" s="65"/>
      <c r="F158" s="65"/>
      <c r="G158" s="65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spans="1:26" ht="14.25" customHeight="1" x14ac:dyDescent="0.3">
      <c r="A159" s="61"/>
      <c r="B159" s="61"/>
      <c r="C159" s="61"/>
      <c r="D159" s="61"/>
      <c r="E159" s="65"/>
      <c r="F159" s="65"/>
      <c r="G159" s="65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spans="1:26" ht="14.25" customHeight="1" x14ac:dyDescent="0.3">
      <c r="A160" s="61"/>
      <c r="B160" s="61"/>
      <c r="C160" s="61"/>
      <c r="D160" s="61"/>
      <c r="E160" s="65"/>
      <c r="F160" s="65"/>
      <c r="G160" s="65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spans="1:26" ht="14.25" customHeight="1" x14ac:dyDescent="0.3">
      <c r="A161" s="61"/>
      <c r="B161" s="61"/>
      <c r="C161" s="61"/>
      <c r="D161" s="61"/>
      <c r="E161" s="65"/>
      <c r="F161" s="65"/>
      <c r="G161" s="65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spans="1:26" ht="14.25" customHeight="1" x14ac:dyDescent="0.3">
      <c r="A162" s="61"/>
      <c r="B162" s="61"/>
      <c r="C162" s="61"/>
      <c r="D162" s="61"/>
      <c r="E162" s="65"/>
      <c r="F162" s="65"/>
      <c r="G162" s="65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4.25" customHeight="1" x14ac:dyDescent="0.3">
      <c r="A163" s="61"/>
      <c r="B163" s="61"/>
      <c r="C163" s="61"/>
      <c r="D163" s="61"/>
      <c r="E163" s="65"/>
      <c r="F163" s="65"/>
      <c r="G163" s="65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spans="1:26" ht="14.25" customHeight="1" x14ac:dyDescent="0.3">
      <c r="A164" s="61"/>
      <c r="B164" s="61"/>
      <c r="C164" s="61"/>
      <c r="D164" s="61"/>
      <c r="E164" s="65"/>
      <c r="F164" s="65"/>
      <c r="G164" s="65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spans="1:26" ht="14.25" customHeight="1" x14ac:dyDescent="0.3">
      <c r="A165" s="61"/>
      <c r="B165" s="61"/>
      <c r="C165" s="61"/>
      <c r="D165" s="61"/>
      <c r="E165" s="65"/>
      <c r="F165" s="65"/>
      <c r="G165" s="65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spans="1:26" ht="14.25" customHeight="1" x14ac:dyDescent="0.3">
      <c r="A166" s="61"/>
      <c r="B166" s="61"/>
      <c r="C166" s="61"/>
      <c r="D166" s="61"/>
      <c r="E166" s="65"/>
      <c r="F166" s="65"/>
      <c r="G166" s="65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spans="1:26" ht="14.25" customHeight="1" x14ac:dyDescent="0.3">
      <c r="A167" s="61"/>
      <c r="B167" s="61"/>
      <c r="C167" s="61"/>
      <c r="D167" s="61"/>
      <c r="E167" s="65"/>
      <c r="F167" s="65"/>
      <c r="G167" s="65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spans="1:26" ht="14.25" customHeight="1" x14ac:dyDescent="0.3">
      <c r="A168" s="61"/>
      <c r="B168" s="61"/>
      <c r="C168" s="61"/>
      <c r="D168" s="61"/>
      <c r="E168" s="65"/>
      <c r="F168" s="65"/>
      <c r="G168" s="65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spans="1:26" ht="14.25" customHeight="1" x14ac:dyDescent="0.3">
      <c r="A169" s="61"/>
      <c r="B169" s="61"/>
      <c r="C169" s="61"/>
      <c r="D169" s="61"/>
      <c r="E169" s="65"/>
      <c r="F169" s="65"/>
      <c r="G169" s="65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 ht="14.25" customHeight="1" x14ac:dyDescent="0.3">
      <c r="A170" s="61"/>
      <c r="B170" s="61"/>
      <c r="C170" s="61"/>
      <c r="D170" s="61"/>
      <c r="E170" s="65"/>
      <c r="F170" s="65"/>
      <c r="G170" s="65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spans="1:26" ht="14.25" customHeight="1" x14ac:dyDescent="0.3">
      <c r="A171" s="61"/>
      <c r="B171" s="61"/>
      <c r="C171" s="61"/>
      <c r="D171" s="61"/>
      <c r="E171" s="65"/>
      <c r="F171" s="65"/>
      <c r="G171" s="65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spans="1:26" ht="14.25" customHeight="1" x14ac:dyDescent="0.3">
      <c r="A172" s="61"/>
      <c r="B172" s="61"/>
      <c r="C172" s="61"/>
      <c r="D172" s="61"/>
      <c r="E172" s="65"/>
      <c r="F172" s="65"/>
      <c r="G172" s="65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spans="1:26" ht="14.25" customHeight="1" x14ac:dyDescent="0.3">
      <c r="A173" s="61"/>
      <c r="B173" s="61"/>
      <c r="C173" s="61"/>
      <c r="D173" s="61"/>
      <c r="E173" s="65"/>
      <c r="F173" s="65"/>
      <c r="G173" s="65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spans="1:26" ht="14.25" customHeight="1" x14ac:dyDescent="0.3">
      <c r="A174" s="61"/>
      <c r="B174" s="61"/>
      <c r="C174" s="61"/>
      <c r="D174" s="61"/>
      <c r="E174" s="65"/>
      <c r="F174" s="65"/>
      <c r="G174" s="65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spans="1:26" ht="14.25" customHeight="1" x14ac:dyDescent="0.3">
      <c r="A175" s="61"/>
      <c r="B175" s="61"/>
      <c r="C175" s="61"/>
      <c r="D175" s="61"/>
      <c r="E175" s="65"/>
      <c r="F175" s="65"/>
      <c r="G175" s="65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spans="1:26" ht="14.25" customHeight="1" x14ac:dyDescent="0.3">
      <c r="A176" s="61"/>
      <c r="B176" s="61"/>
      <c r="C176" s="61"/>
      <c r="D176" s="61"/>
      <c r="E176" s="65"/>
      <c r="F176" s="65"/>
      <c r="G176" s="65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spans="1:26" ht="14.25" customHeight="1" x14ac:dyDescent="0.3">
      <c r="A177" s="61"/>
      <c r="B177" s="61"/>
      <c r="C177" s="61"/>
      <c r="D177" s="61"/>
      <c r="E177" s="65"/>
      <c r="F177" s="65"/>
      <c r="G177" s="65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spans="1:26" ht="14.25" customHeight="1" x14ac:dyDescent="0.3">
      <c r="A178" s="61"/>
      <c r="B178" s="61"/>
      <c r="C178" s="61"/>
      <c r="D178" s="61"/>
      <c r="E178" s="65"/>
      <c r="F178" s="65"/>
      <c r="G178" s="65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spans="1:26" ht="14.25" customHeight="1" x14ac:dyDescent="0.3">
      <c r="A179" s="61"/>
      <c r="B179" s="61"/>
      <c r="C179" s="61"/>
      <c r="D179" s="61"/>
      <c r="E179" s="65"/>
      <c r="F179" s="65"/>
      <c r="G179" s="65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spans="1:26" ht="14.25" customHeight="1" x14ac:dyDescent="0.3">
      <c r="A180" s="61"/>
      <c r="B180" s="61"/>
      <c r="C180" s="61"/>
      <c r="D180" s="61"/>
      <c r="E180" s="65"/>
      <c r="F180" s="65"/>
      <c r="G180" s="65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spans="1:26" ht="14.25" customHeight="1" x14ac:dyDescent="0.3">
      <c r="A181" s="61"/>
      <c r="B181" s="61"/>
      <c r="C181" s="61"/>
      <c r="D181" s="61"/>
      <c r="E181" s="65"/>
      <c r="F181" s="65"/>
      <c r="G181" s="65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spans="1:26" ht="14.25" customHeight="1" x14ac:dyDescent="0.3">
      <c r="A182" s="61"/>
      <c r="B182" s="61"/>
      <c r="C182" s="61"/>
      <c r="D182" s="61"/>
      <c r="E182" s="65"/>
      <c r="F182" s="65"/>
      <c r="G182" s="65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spans="1:26" ht="14.25" customHeight="1" x14ac:dyDescent="0.3">
      <c r="A183" s="61"/>
      <c r="B183" s="61"/>
      <c r="C183" s="61"/>
      <c r="D183" s="61"/>
      <c r="E183" s="65"/>
      <c r="F183" s="65"/>
      <c r="G183" s="65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spans="1:26" ht="14.25" customHeight="1" x14ac:dyDescent="0.3">
      <c r="A184" s="61"/>
      <c r="B184" s="61"/>
      <c r="C184" s="61"/>
      <c r="D184" s="61"/>
      <c r="E184" s="65"/>
      <c r="F184" s="65"/>
      <c r="G184" s="65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spans="1:26" ht="14.25" customHeight="1" x14ac:dyDescent="0.3">
      <c r="A185" s="61"/>
      <c r="B185" s="61"/>
      <c r="C185" s="61"/>
      <c r="D185" s="61"/>
      <c r="E185" s="65"/>
      <c r="F185" s="65"/>
      <c r="G185" s="65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spans="1:26" ht="14.25" customHeight="1" x14ac:dyDescent="0.3">
      <c r="A186" s="61"/>
      <c r="B186" s="61"/>
      <c r="C186" s="61"/>
      <c r="D186" s="61"/>
      <c r="E186" s="65"/>
      <c r="F186" s="65"/>
      <c r="G186" s="65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spans="1:26" ht="14.25" customHeight="1" x14ac:dyDescent="0.3">
      <c r="A187" s="61"/>
      <c r="B187" s="61"/>
      <c r="C187" s="61"/>
      <c r="D187" s="61"/>
      <c r="E187" s="65"/>
      <c r="F187" s="65"/>
      <c r="G187" s="65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spans="1:26" ht="14.25" customHeight="1" x14ac:dyDescent="0.3">
      <c r="A188" s="61"/>
      <c r="B188" s="61"/>
      <c r="C188" s="61"/>
      <c r="D188" s="61"/>
      <c r="E188" s="65"/>
      <c r="F188" s="65"/>
      <c r="G188" s="65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spans="1:26" ht="14.25" customHeight="1" x14ac:dyDescent="0.3">
      <c r="A189" s="61"/>
      <c r="B189" s="61"/>
      <c r="C189" s="61"/>
      <c r="D189" s="61"/>
      <c r="E189" s="65"/>
      <c r="F189" s="65"/>
      <c r="G189" s="65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spans="1:26" ht="14.25" customHeight="1" x14ac:dyDescent="0.3">
      <c r="A190" s="61"/>
      <c r="B190" s="61"/>
      <c r="C190" s="61"/>
      <c r="D190" s="61"/>
      <c r="E190" s="65"/>
      <c r="F190" s="65"/>
      <c r="G190" s="65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spans="1:26" ht="14.25" customHeight="1" x14ac:dyDescent="0.3">
      <c r="A191" s="61"/>
      <c r="B191" s="61"/>
      <c r="C191" s="61"/>
      <c r="D191" s="61"/>
      <c r="E191" s="65"/>
      <c r="F191" s="65"/>
      <c r="G191" s="65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spans="1:26" ht="14.25" customHeight="1" x14ac:dyDescent="0.3">
      <c r="A192" s="61"/>
      <c r="B192" s="61"/>
      <c r="C192" s="61"/>
      <c r="D192" s="61"/>
      <c r="E192" s="65"/>
      <c r="F192" s="65"/>
      <c r="G192" s="65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spans="1:26" ht="14.25" customHeight="1" x14ac:dyDescent="0.3">
      <c r="A193" s="61"/>
      <c r="B193" s="61"/>
      <c r="C193" s="61"/>
      <c r="D193" s="61"/>
      <c r="E193" s="65"/>
      <c r="F193" s="65"/>
      <c r="G193" s="65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spans="1:26" ht="14.25" customHeight="1" x14ac:dyDescent="0.3">
      <c r="A194" s="61"/>
      <c r="B194" s="61"/>
      <c r="C194" s="61"/>
      <c r="D194" s="61"/>
      <c r="E194" s="65"/>
      <c r="F194" s="65"/>
      <c r="G194" s="65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spans="1:26" ht="14.25" customHeight="1" x14ac:dyDescent="0.3">
      <c r="A195" s="61"/>
      <c r="B195" s="61"/>
      <c r="C195" s="61"/>
      <c r="D195" s="61"/>
      <c r="E195" s="65"/>
      <c r="F195" s="65"/>
      <c r="G195" s="65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spans="1:26" ht="14.25" customHeight="1" x14ac:dyDescent="0.3">
      <c r="A196" s="61"/>
      <c r="B196" s="61"/>
      <c r="C196" s="61"/>
      <c r="D196" s="61"/>
      <c r="E196" s="65"/>
      <c r="F196" s="65"/>
      <c r="G196" s="65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spans="1:26" ht="14.25" customHeight="1" x14ac:dyDescent="0.3">
      <c r="A197" s="61"/>
      <c r="B197" s="61"/>
      <c r="C197" s="61"/>
      <c r="D197" s="61"/>
      <c r="E197" s="65"/>
      <c r="F197" s="65"/>
      <c r="G197" s="65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spans="1:26" ht="14.25" customHeight="1" x14ac:dyDescent="0.3">
      <c r="A198" s="61"/>
      <c r="B198" s="61"/>
      <c r="C198" s="61"/>
      <c r="D198" s="61"/>
      <c r="E198" s="65"/>
      <c r="F198" s="65"/>
      <c r="G198" s="65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spans="1:26" ht="14.25" customHeight="1" x14ac:dyDescent="0.3">
      <c r="A199" s="61"/>
      <c r="B199" s="61"/>
      <c r="C199" s="61"/>
      <c r="D199" s="61"/>
      <c r="E199" s="65"/>
      <c r="F199" s="65"/>
      <c r="G199" s="65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spans="1:26" ht="14.25" customHeight="1" x14ac:dyDescent="0.3">
      <c r="A200" s="61"/>
      <c r="B200" s="61"/>
      <c r="C200" s="61"/>
      <c r="D200" s="61"/>
      <c r="E200" s="65"/>
      <c r="F200" s="65"/>
      <c r="G200" s="65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spans="1:26" ht="14.25" customHeight="1" x14ac:dyDescent="0.3">
      <c r="A201" s="61"/>
      <c r="B201" s="61"/>
      <c r="C201" s="61"/>
      <c r="D201" s="61"/>
      <c r="E201" s="65"/>
      <c r="F201" s="65"/>
      <c r="G201" s="65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spans="1:26" ht="14.25" customHeight="1" x14ac:dyDescent="0.3">
      <c r="A202" s="61"/>
      <c r="B202" s="61"/>
      <c r="C202" s="61"/>
      <c r="D202" s="61"/>
      <c r="E202" s="65"/>
      <c r="F202" s="65"/>
      <c r="G202" s="65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spans="1:26" ht="14.25" customHeight="1" x14ac:dyDescent="0.3">
      <c r="A203" s="61"/>
      <c r="B203" s="61"/>
      <c r="C203" s="61"/>
      <c r="D203" s="61"/>
      <c r="E203" s="65"/>
      <c r="F203" s="65"/>
      <c r="G203" s="65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spans="1:26" ht="14.25" customHeight="1" x14ac:dyDescent="0.3">
      <c r="A204" s="61"/>
      <c r="B204" s="61"/>
      <c r="C204" s="61"/>
      <c r="D204" s="61"/>
      <c r="E204" s="65"/>
      <c r="F204" s="65"/>
      <c r="G204" s="65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spans="1:26" ht="14.25" customHeight="1" x14ac:dyDescent="0.3">
      <c r="A205" s="61"/>
      <c r="B205" s="61"/>
      <c r="C205" s="61"/>
      <c r="D205" s="61"/>
      <c r="E205" s="65"/>
      <c r="F205" s="65"/>
      <c r="G205" s="65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spans="1:26" ht="14.25" customHeight="1" x14ac:dyDescent="0.3">
      <c r="A206" s="61"/>
      <c r="B206" s="61"/>
      <c r="C206" s="61"/>
      <c r="D206" s="61"/>
      <c r="E206" s="65"/>
      <c r="F206" s="65"/>
      <c r="G206" s="65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spans="1:26" ht="14.25" customHeight="1" x14ac:dyDescent="0.3">
      <c r="A207" s="61"/>
      <c r="B207" s="61"/>
      <c r="C207" s="61"/>
      <c r="D207" s="61"/>
      <c r="E207" s="65"/>
      <c r="F207" s="65"/>
      <c r="G207" s="65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spans="1:26" ht="14.25" customHeight="1" x14ac:dyDescent="0.3">
      <c r="A208" s="61"/>
      <c r="B208" s="61"/>
      <c r="C208" s="61"/>
      <c r="D208" s="61"/>
      <c r="E208" s="65"/>
      <c r="F208" s="65"/>
      <c r="G208" s="65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spans="1:26" ht="14.25" customHeight="1" x14ac:dyDescent="0.3">
      <c r="A209" s="61"/>
      <c r="B209" s="61"/>
      <c r="C209" s="61"/>
      <c r="D209" s="61"/>
      <c r="E209" s="65"/>
      <c r="F209" s="65"/>
      <c r="G209" s="65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spans="1:26" ht="14.25" customHeight="1" x14ac:dyDescent="0.3">
      <c r="A210" s="61"/>
      <c r="B210" s="61"/>
      <c r="C210" s="61"/>
      <c r="D210" s="61"/>
      <c r="E210" s="65"/>
      <c r="F210" s="65"/>
      <c r="G210" s="65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spans="1:26" ht="14.25" customHeight="1" x14ac:dyDescent="0.3">
      <c r="A211" s="61"/>
      <c r="B211" s="61"/>
      <c r="C211" s="61"/>
      <c r="D211" s="61"/>
      <c r="E211" s="65"/>
      <c r="F211" s="65"/>
      <c r="G211" s="65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spans="1:26" ht="14.25" customHeight="1" x14ac:dyDescent="0.3">
      <c r="A212" s="61"/>
      <c r="B212" s="61"/>
      <c r="C212" s="61"/>
      <c r="D212" s="61"/>
      <c r="E212" s="65"/>
      <c r="F212" s="65"/>
      <c r="G212" s="65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spans="1:26" ht="14.25" customHeight="1" x14ac:dyDescent="0.3">
      <c r="A213" s="61"/>
      <c r="B213" s="61"/>
      <c r="C213" s="61"/>
      <c r="D213" s="61"/>
      <c r="E213" s="65"/>
      <c r="F213" s="65"/>
      <c r="G213" s="65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spans="1:26" ht="14.25" customHeight="1" x14ac:dyDescent="0.3">
      <c r="A214" s="61"/>
      <c r="B214" s="61"/>
      <c r="C214" s="61"/>
      <c r="D214" s="61"/>
      <c r="E214" s="65"/>
      <c r="F214" s="65"/>
      <c r="G214" s="65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spans="1:26" ht="14.25" customHeight="1" x14ac:dyDescent="0.3">
      <c r="A215" s="61"/>
      <c r="B215" s="61"/>
      <c r="C215" s="61"/>
      <c r="D215" s="61"/>
      <c r="E215" s="65"/>
      <c r="F215" s="65"/>
      <c r="G215" s="65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spans="1:26" ht="14.25" customHeight="1" x14ac:dyDescent="0.3">
      <c r="A216" s="61"/>
      <c r="B216" s="61"/>
      <c r="C216" s="61"/>
      <c r="D216" s="61"/>
      <c r="E216" s="65"/>
      <c r="F216" s="65"/>
      <c r="G216" s="65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spans="1:26" ht="14.25" customHeight="1" x14ac:dyDescent="0.3">
      <c r="A217" s="61"/>
      <c r="B217" s="61"/>
      <c r="C217" s="61"/>
      <c r="D217" s="61"/>
      <c r="E217" s="65"/>
      <c r="F217" s="65"/>
      <c r="G217" s="65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spans="1:26" ht="14.25" customHeight="1" x14ac:dyDescent="0.3">
      <c r="A218" s="61"/>
      <c r="B218" s="61"/>
      <c r="C218" s="61"/>
      <c r="D218" s="61"/>
      <c r="E218" s="65"/>
      <c r="F218" s="65"/>
      <c r="G218" s="65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spans="1:26" ht="14.25" customHeight="1" x14ac:dyDescent="0.3">
      <c r="A219" s="61"/>
      <c r="B219" s="61"/>
      <c r="C219" s="61"/>
      <c r="D219" s="61"/>
      <c r="E219" s="65"/>
      <c r="F219" s="65"/>
      <c r="G219" s="65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spans="1:26" ht="14.25" customHeight="1" x14ac:dyDescent="0.3">
      <c r="A220" s="61"/>
      <c r="B220" s="61"/>
      <c r="C220" s="61"/>
      <c r="D220" s="61"/>
      <c r="E220" s="65"/>
      <c r="F220" s="65"/>
      <c r="G220" s="65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spans="1:26" ht="14.25" customHeight="1" x14ac:dyDescent="0.3">
      <c r="A221" s="61"/>
      <c r="B221" s="61"/>
      <c r="C221" s="61"/>
      <c r="D221" s="61"/>
      <c r="E221" s="65"/>
      <c r="F221" s="65"/>
      <c r="G221" s="65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spans="1:26" ht="14.25" customHeight="1" x14ac:dyDescent="0.3">
      <c r="A222" s="61"/>
      <c r="B222" s="61"/>
      <c r="C222" s="61"/>
      <c r="D222" s="61"/>
      <c r="E222" s="65"/>
      <c r="F222" s="65"/>
      <c r="G222" s="65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spans="1:26" ht="14.25" customHeight="1" x14ac:dyDescent="0.3">
      <c r="A223" s="61"/>
      <c r="B223" s="61"/>
      <c r="C223" s="61"/>
      <c r="D223" s="61"/>
      <c r="E223" s="65"/>
      <c r="F223" s="65"/>
      <c r="G223" s="65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spans="1:26" ht="14.25" customHeight="1" x14ac:dyDescent="0.3">
      <c r="A224" s="61"/>
      <c r="B224" s="61"/>
      <c r="C224" s="61"/>
      <c r="D224" s="61"/>
      <c r="E224" s="65"/>
      <c r="F224" s="65"/>
      <c r="G224" s="65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spans="1:26" ht="14.25" customHeight="1" x14ac:dyDescent="0.3">
      <c r="A225" s="61"/>
      <c r="B225" s="61"/>
      <c r="C225" s="61"/>
      <c r="D225" s="61"/>
      <c r="E225" s="65"/>
      <c r="F225" s="65"/>
      <c r="G225" s="65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spans="1:26" ht="14.25" customHeight="1" x14ac:dyDescent="0.3">
      <c r="A226" s="61"/>
      <c r="B226" s="61"/>
      <c r="C226" s="61"/>
      <c r="D226" s="61"/>
      <c r="E226" s="65"/>
      <c r="F226" s="65"/>
      <c r="G226" s="65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spans="1:26" ht="14.25" customHeight="1" x14ac:dyDescent="0.3">
      <c r="A227" s="61"/>
      <c r="B227" s="61"/>
      <c r="C227" s="61"/>
      <c r="D227" s="61"/>
      <c r="E227" s="65"/>
      <c r="F227" s="65"/>
      <c r="G227" s="65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spans="1:26" ht="14.25" customHeight="1" x14ac:dyDescent="0.3">
      <c r="A228" s="61"/>
      <c r="B228" s="61"/>
      <c r="C228" s="61"/>
      <c r="D228" s="61"/>
      <c r="E228" s="65"/>
      <c r="F228" s="65"/>
      <c r="G228" s="65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spans="1:26" ht="14.25" customHeight="1" x14ac:dyDescent="0.3">
      <c r="A229" s="61"/>
      <c r="B229" s="61"/>
      <c r="C229" s="61"/>
      <c r="D229" s="61"/>
      <c r="E229" s="65"/>
      <c r="F229" s="65"/>
      <c r="G229" s="65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spans="1:26" ht="14.25" customHeight="1" x14ac:dyDescent="0.3">
      <c r="A230" s="61"/>
      <c r="B230" s="61"/>
      <c r="C230" s="61"/>
      <c r="D230" s="61"/>
      <c r="E230" s="65"/>
      <c r="F230" s="65"/>
      <c r="G230" s="65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spans="1:26" ht="14.25" customHeight="1" x14ac:dyDescent="0.3">
      <c r="A231" s="61"/>
      <c r="B231" s="61"/>
      <c r="C231" s="61"/>
      <c r="D231" s="61"/>
      <c r="E231" s="65"/>
      <c r="F231" s="65"/>
      <c r="G231" s="65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spans="1:26" ht="14.25" customHeight="1" x14ac:dyDescent="0.3">
      <c r="A232" s="61"/>
      <c r="B232" s="61"/>
      <c r="C232" s="61"/>
      <c r="D232" s="61"/>
      <c r="E232" s="65"/>
      <c r="F232" s="65"/>
      <c r="G232" s="65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spans="1:26" ht="14.25" customHeight="1" x14ac:dyDescent="0.3">
      <c r="A233" s="61"/>
      <c r="B233" s="61"/>
      <c r="C233" s="61"/>
      <c r="D233" s="61"/>
      <c r="E233" s="65"/>
      <c r="F233" s="65"/>
      <c r="G233" s="65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spans="1:26" ht="14.25" customHeight="1" x14ac:dyDescent="0.3">
      <c r="A234" s="61"/>
      <c r="B234" s="61"/>
      <c r="C234" s="61"/>
      <c r="D234" s="61"/>
      <c r="E234" s="65"/>
      <c r="F234" s="65"/>
      <c r="G234" s="65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spans="1:26" ht="14.25" customHeight="1" x14ac:dyDescent="0.3">
      <c r="A235" s="61"/>
      <c r="B235" s="61"/>
      <c r="C235" s="61"/>
      <c r="D235" s="61"/>
      <c r="E235" s="65"/>
      <c r="F235" s="65"/>
      <c r="G235" s="65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spans="1:26" ht="14.25" customHeight="1" x14ac:dyDescent="0.3">
      <c r="A236" s="61"/>
      <c r="B236" s="61"/>
      <c r="C236" s="61"/>
      <c r="D236" s="61"/>
      <c r="E236" s="65"/>
      <c r="F236" s="65"/>
      <c r="G236" s="65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spans="1:26" ht="14.25" customHeight="1" x14ac:dyDescent="0.3">
      <c r="A237" s="61"/>
      <c r="B237" s="61"/>
      <c r="C237" s="61"/>
      <c r="D237" s="61"/>
      <c r="E237" s="65"/>
      <c r="F237" s="65"/>
      <c r="G237" s="65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spans="1:26" ht="14.25" customHeight="1" x14ac:dyDescent="0.3">
      <c r="A238" s="61"/>
      <c r="B238" s="61"/>
      <c r="C238" s="61"/>
      <c r="D238" s="61"/>
      <c r="E238" s="65"/>
      <c r="F238" s="65"/>
      <c r="G238" s="65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spans="1:26" ht="14.25" customHeight="1" x14ac:dyDescent="0.3">
      <c r="A239" s="61"/>
      <c r="B239" s="61"/>
      <c r="C239" s="61"/>
      <c r="D239" s="61"/>
      <c r="E239" s="65"/>
      <c r="F239" s="65"/>
      <c r="G239" s="65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spans="1:26" ht="14.25" customHeight="1" x14ac:dyDescent="0.3">
      <c r="A240" s="61"/>
      <c r="B240" s="61"/>
      <c r="C240" s="61"/>
      <c r="D240" s="61"/>
      <c r="E240" s="65"/>
      <c r="F240" s="65"/>
      <c r="G240" s="65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spans="1:26" ht="14.25" customHeight="1" x14ac:dyDescent="0.3">
      <c r="A241" s="61"/>
      <c r="B241" s="61"/>
      <c r="C241" s="61"/>
      <c r="D241" s="61"/>
      <c r="E241" s="65"/>
      <c r="F241" s="65"/>
      <c r="G241" s="65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spans="1:26" ht="14.25" customHeight="1" x14ac:dyDescent="0.3">
      <c r="A242" s="61"/>
      <c r="B242" s="61"/>
      <c r="C242" s="61"/>
      <c r="D242" s="61"/>
      <c r="E242" s="65"/>
      <c r="F242" s="65"/>
      <c r="G242" s="65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spans="1:26" ht="14.25" customHeight="1" x14ac:dyDescent="0.3">
      <c r="A243" s="61"/>
      <c r="B243" s="61"/>
      <c r="C243" s="61"/>
      <c r="D243" s="61"/>
      <c r="E243" s="65"/>
      <c r="F243" s="65"/>
      <c r="G243" s="65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spans="1:26" ht="14.25" customHeight="1" x14ac:dyDescent="0.3">
      <c r="A244" s="61"/>
      <c r="B244" s="61"/>
      <c r="C244" s="61"/>
      <c r="D244" s="61"/>
      <c r="E244" s="65"/>
      <c r="F244" s="65"/>
      <c r="G244" s="65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spans="1:26" ht="14.25" customHeight="1" x14ac:dyDescent="0.3">
      <c r="A245" s="61"/>
      <c r="B245" s="61"/>
      <c r="C245" s="61"/>
      <c r="D245" s="61"/>
      <c r="E245" s="65"/>
      <c r="F245" s="65"/>
      <c r="G245" s="65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spans="1:26" ht="14.25" customHeight="1" x14ac:dyDescent="0.3">
      <c r="A246" s="61"/>
      <c r="B246" s="61"/>
      <c r="C246" s="61"/>
      <c r="D246" s="61"/>
      <c r="E246" s="65"/>
      <c r="F246" s="65"/>
      <c r="G246" s="65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spans="1:26" ht="14.25" customHeight="1" x14ac:dyDescent="0.3">
      <c r="A247" s="61"/>
      <c r="B247" s="61"/>
      <c r="C247" s="61"/>
      <c r="D247" s="61"/>
      <c r="E247" s="65"/>
      <c r="F247" s="65"/>
      <c r="G247" s="65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spans="1:26" ht="14.25" customHeight="1" x14ac:dyDescent="0.3">
      <c r="A248" s="61"/>
      <c r="B248" s="61"/>
      <c r="C248" s="61"/>
      <c r="D248" s="61"/>
      <c r="E248" s="65"/>
      <c r="F248" s="65"/>
      <c r="G248" s="65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spans="1:26" ht="14.25" customHeight="1" x14ac:dyDescent="0.3">
      <c r="A249" s="61"/>
      <c r="B249" s="61"/>
      <c r="C249" s="61"/>
      <c r="D249" s="61"/>
      <c r="E249" s="65"/>
      <c r="F249" s="65"/>
      <c r="G249" s="65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spans="1:26" ht="14.25" customHeight="1" x14ac:dyDescent="0.3">
      <c r="A250" s="61"/>
      <c r="B250" s="61"/>
      <c r="C250" s="61"/>
      <c r="D250" s="61"/>
      <c r="E250" s="65"/>
      <c r="F250" s="65"/>
      <c r="G250" s="65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spans="1:26" ht="14.25" customHeight="1" x14ac:dyDescent="0.3">
      <c r="A251" s="61"/>
      <c r="B251" s="61"/>
      <c r="C251" s="61"/>
      <c r="D251" s="61"/>
      <c r="E251" s="65"/>
      <c r="F251" s="65"/>
      <c r="G251" s="65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spans="1:26" ht="14.25" customHeight="1" x14ac:dyDescent="0.3">
      <c r="A252" s="61"/>
      <c r="B252" s="61"/>
      <c r="C252" s="61"/>
      <c r="D252" s="61"/>
      <c r="E252" s="65"/>
      <c r="F252" s="65"/>
      <c r="G252" s="65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spans="1:26" ht="14.25" customHeight="1" x14ac:dyDescent="0.3">
      <c r="A253" s="61"/>
      <c r="B253" s="61"/>
      <c r="C253" s="61"/>
      <c r="D253" s="61"/>
      <c r="E253" s="65"/>
      <c r="F253" s="65"/>
      <c r="G253" s="65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spans="1:26" ht="14.25" customHeight="1" x14ac:dyDescent="0.3">
      <c r="A254" s="61"/>
      <c r="B254" s="61"/>
      <c r="C254" s="61"/>
      <c r="D254" s="61"/>
      <c r="E254" s="65"/>
      <c r="F254" s="65"/>
      <c r="G254" s="65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spans="1:26" ht="14.25" customHeight="1" x14ac:dyDescent="0.3">
      <c r="A255" s="61"/>
      <c r="B255" s="61"/>
      <c r="C255" s="61"/>
      <c r="D255" s="61"/>
      <c r="E255" s="65"/>
      <c r="F255" s="65"/>
      <c r="G255" s="65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spans="1:26" ht="14.25" customHeight="1" x14ac:dyDescent="0.3">
      <c r="A256" s="61"/>
      <c r="B256" s="61"/>
      <c r="C256" s="61"/>
      <c r="D256" s="61"/>
      <c r="E256" s="65"/>
      <c r="F256" s="65"/>
      <c r="G256" s="65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spans="1:26" ht="14.25" customHeight="1" x14ac:dyDescent="0.3">
      <c r="A257" s="61"/>
      <c r="B257" s="61"/>
      <c r="C257" s="61"/>
      <c r="D257" s="61"/>
      <c r="E257" s="65"/>
      <c r="F257" s="65"/>
      <c r="G257" s="65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spans="1:26" ht="14.25" customHeight="1" x14ac:dyDescent="0.3">
      <c r="A258" s="61"/>
      <c r="B258" s="61"/>
      <c r="C258" s="61"/>
      <c r="D258" s="61"/>
      <c r="E258" s="65"/>
      <c r="F258" s="65"/>
      <c r="G258" s="65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spans="1:26" ht="14.25" customHeight="1" x14ac:dyDescent="0.3">
      <c r="A259" s="61"/>
      <c r="B259" s="61"/>
      <c r="C259" s="61"/>
      <c r="D259" s="61"/>
      <c r="E259" s="65"/>
      <c r="F259" s="65"/>
      <c r="G259" s="65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spans="1:26" ht="14.25" customHeight="1" x14ac:dyDescent="0.3">
      <c r="A260" s="61"/>
      <c r="B260" s="61"/>
      <c r="C260" s="61"/>
      <c r="D260" s="61"/>
      <c r="E260" s="65"/>
      <c r="F260" s="65"/>
      <c r="G260" s="65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spans="1:26" ht="14.25" customHeight="1" x14ac:dyDescent="0.3">
      <c r="A261" s="61"/>
      <c r="B261" s="61"/>
      <c r="C261" s="61"/>
      <c r="D261" s="61"/>
      <c r="E261" s="65"/>
      <c r="F261" s="65"/>
      <c r="G261" s="65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spans="1:26" ht="14.25" customHeight="1" x14ac:dyDescent="0.3">
      <c r="A262" s="61"/>
      <c r="B262" s="61"/>
      <c r="C262" s="61"/>
      <c r="D262" s="61"/>
      <c r="E262" s="65"/>
      <c r="F262" s="65"/>
      <c r="G262" s="65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spans="1:26" ht="14.25" customHeight="1" x14ac:dyDescent="0.3">
      <c r="A263" s="61"/>
      <c r="B263" s="61"/>
      <c r="C263" s="61"/>
      <c r="D263" s="61"/>
      <c r="E263" s="65"/>
      <c r="F263" s="65"/>
      <c r="G263" s="65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spans="1:26" ht="14.25" customHeight="1" x14ac:dyDescent="0.3">
      <c r="A264" s="61"/>
      <c r="B264" s="61"/>
      <c r="C264" s="61"/>
      <c r="D264" s="61"/>
      <c r="E264" s="65"/>
      <c r="F264" s="65"/>
      <c r="G264" s="65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spans="1:26" ht="14.25" customHeight="1" x14ac:dyDescent="0.3">
      <c r="A265" s="61"/>
      <c r="B265" s="61"/>
      <c r="C265" s="61"/>
      <c r="D265" s="61"/>
      <c r="E265" s="65"/>
      <c r="F265" s="65"/>
      <c r="G265" s="65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spans="1:26" ht="14.25" customHeight="1" x14ac:dyDescent="0.3">
      <c r="A266" s="61"/>
      <c r="B266" s="61"/>
      <c r="C266" s="61"/>
      <c r="D266" s="61"/>
      <c r="E266" s="65"/>
      <c r="F266" s="65"/>
      <c r="G266" s="65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spans="1:26" ht="14.25" customHeight="1" x14ac:dyDescent="0.3">
      <c r="A267" s="61"/>
      <c r="B267" s="61"/>
      <c r="C267" s="61"/>
      <c r="D267" s="61"/>
      <c r="E267" s="65"/>
      <c r="F267" s="65"/>
      <c r="G267" s="65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spans="1:26" ht="14.25" customHeight="1" x14ac:dyDescent="0.3">
      <c r="A268" s="61"/>
      <c r="B268" s="61"/>
      <c r="C268" s="61"/>
      <c r="D268" s="61"/>
      <c r="E268" s="65"/>
      <c r="F268" s="65"/>
      <c r="G268" s="65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spans="1:26" ht="14.25" customHeight="1" x14ac:dyDescent="0.3">
      <c r="A269" s="61"/>
      <c r="B269" s="61"/>
      <c r="C269" s="61"/>
      <c r="D269" s="61"/>
      <c r="E269" s="65"/>
      <c r="F269" s="65"/>
      <c r="G269" s="65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spans="1:26" ht="14.25" customHeight="1" x14ac:dyDescent="0.3">
      <c r="A270" s="61"/>
      <c r="B270" s="61"/>
      <c r="C270" s="61"/>
      <c r="D270" s="61"/>
      <c r="E270" s="65"/>
      <c r="F270" s="65"/>
      <c r="G270" s="65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spans="1:26" ht="14.25" customHeight="1" x14ac:dyDescent="0.3">
      <c r="A271" s="61"/>
      <c r="B271" s="61"/>
      <c r="C271" s="61"/>
      <c r="D271" s="61"/>
      <c r="E271" s="65"/>
      <c r="F271" s="65"/>
      <c r="G271" s="65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spans="1:26" ht="14.25" customHeight="1" x14ac:dyDescent="0.3">
      <c r="A272" s="61"/>
      <c r="B272" s="61"/>
      <c r="C272" s="61"/>
      <c r="D272" s="61"/>
      <c r="E272" s="65"/>
      <c r="F272" s="65"/>
      <c r="G272" s="65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spans="1:26" ht="14.25" customHeight="1" x14ac:dyDescent="0.3">
      <c r="A273" s="61"/>
      <c r="B273" s="61"/>
      <c r="C273" s="61"/>
      <c r="D273" s="61"/>
      <c r="E273" s="65"/>
      <c r="F273" s="65"/>
      <c r="G273" s="65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spans="1:26" ht="14.25" customHeight="1" x14ac:dyDescent="0.3">
      <c r="A274" s="61"/>
      <c r="B274" s="61"/>
      <c r="C274" s="61"/>
      <c r="D274" s="61"/>
      <c r="E274" s="65"/>
      <c r="F274" s="65"/>
      <c r="G274" s="65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spans="1:26" ht="14.25" customHeight="1" x14ac:dyDescent="0.3">
      <c r="A275" s="61"/>
      <c r="B275" s="61"/>
      <c r="C275" s="61"/>
      <c r="D275" s="61"/>
      <c r="E275" s="65"/>
      <c r="F275" s="65"/>
      <c r="G275" s="65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spans="1:26" ht="14.25" customHeight="1" x14ac:dyDescent="0.3">
      <c r="A276" s="61"/>
      <c r="B276" s="61"/>
      <c r="C276" s="61"/>
      <c r="D276" s="61"/>
      <c r="E276" s="65"/>
      <c r="F276" s="65"/>
      <c r="G276" s="65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spans="1:26" ht="14.25" customHeight="1" x14ac:dyDescent="0.3">
      <c r="A277" s="61"/>
      <c r="B277" s="61"/>
      <c r="C277" s="61"/>
      <c r="D277" s="61"/>
      <c r="E277" s="65"/>
      <c r="F277" s="65"/>
      <c r="G277" s="65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spans="1:26" ht="14.25" customHeight="1" x14ac:dyDescent="0.3">
      <c r="A278" s="61"/>
      <c r="B278" s="61"/>
      <c r="C278" s="61"/>
      <c r="D278" s="61"/>
      <c r="E278" s="65"/>
      <c r="F278" s="65"/>
      <c r="G278" s="65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spans="1:26" ht="14.25" customHeight="1" x14ac:dyDescent="0.3">
      <c r="A279" s="61"/>
      <c r="B279" s="61"/>
      <c r="C279" s="61"/>
      <c r="D279" s="61"/>
      <c r="E279" s="65"/>
      <c r="F279" s="65"/>
      <c r="G279" s="65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spans="1:26" ht="14.25" customHeight="1" x14ac:dyDescent="0.3">
      <c r="A280" s="61"/>
      <c r="B280" s="61"/>
      <c r="C280" s="61"/>
      <c r="D280" s="61"/>
      <c r="E280" s="65"/>
      <c r="F280" s="65"/>
      <c r="G280" s="65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spans="1:26" ht="14.25" customHeight="1" x14ac:dyDescent="0.3">
      <c r="A281" s="61"/>
      <c r="B281" s="61"/>
      <c r="C281" s="61"/>
      <c r="D281" s="61"/>
      <c r="E281" s="65"/>
      <c r="F281" s="65"/>
      <c r="G281" s="65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spans="1:26" ht="14.25" customHeight="1" x14ac:dyDescent="0.3">
      <c r="A282" s="61"/>
      <c r="B282" s="61"/>
      <c r="C282" s="61"/>
      <c r="D282" s="61"/>
      <c r="E282" s="65"/>
      <c r="F282" s="65"/>
      <c r="G282" s="65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spans="1:26" ht="14.25" customHeight="1" x14ac:dyDescent="0.3">
      <c r="A283" s="61"/>
      <c r="B283" s="61"/>
      <c r="C283" s="61"/>
      <c r="D283" s="61"/>
      <c r="E283" s="65"/>
      <c r="F283" s="65"/>
      <c r="G283" s="65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spans="1:26" ht="14.25" customHeight="1" x14ac:dyDescent="0.3">
      <c r="A284" s="61"/>
      <c r="B284" s="61"/>
      <c r="C284" s="61"/>
      <c r="D284" s="61"/>
      <c r="E284" s="65"/>
      <c r="F284" s="65"/>
      <c r="G284" s="65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spans="1:26" ht="14.25" customHeight="1" x14ac:dyDescent="0.3">
      <c r="A285" s="61"/>
      <c r="B285" s="61"/>
      <c r="C285" s="61"/>
      <c r="D285" s="61"/>
      <c r="E285" s="65"/>
      <c r="F285" s="65"/>
      <c r="G285" s="65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spans="1:26" ht="14.25" customHeight="1" x14ac:dyDescent="0.3">
      <c r="A286" s="61"/>
      <c r="B286" s="61"/>
      <c r="C286" s="61"/>
      <c r="D286" s="61"/>
      <c r="E286" s="65"/>
      <c r="F286" s="65"/>
      <c r="G286" s="65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spans="1:26" ht="14.25" customHeight="1" x14ac:dyDescent="0.3">
      <c r="A287" s="61"/>
      <c r="B287" s="61"/>
      <c r="C287" s="61"/>
      <c r="D287" s="61"/>
      <c r="E287" s="65"/>
      <c r="F287" s="65"/>
      <c r="G287" s="65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spans="1:26" ht="14.25" customHeight="1" x14ac:dyDescent="0.3">
      <c r="A288" s="61"/>
      <c r="B288" s="61"/>
      <c r="C288" s="61"/>
      <c r="D288" s="61"/>
      <c r="E288" s="65"/>
      <c r="F288" s="65"/>
      <c r="G288" s="65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spans="1:26" ht="14.25" customHeight="1" x14ac:dyDescent="0.3">
      <c r="A289" s="61"/>
      <c r="B289" s="61"/>
      <c r="C289" s="61"/>
      <c r="D289" s="61"/>
      <c r="E289" s="65"/>
      <c r="F289" s="65"/>
      <c r="G289" s="65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spans="1:26" ht="14.25" customHeight="1" x14ac:dyDescent="0.3">
      <c r="A290" s="61"/>
      <c r="B290" s="61"/>
      <c r="C290" s="61"/>
      <c r="D290" s="61"/>
      <c r="E290" s="65"/>
      <c r="F290" s="65"/>
      <c r="G290" s="65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spans="1:26" ht="14.25" customHeight="1" x14ac:dyDescent="0.3">
      <c r="A291" s="61"/>
      <c r="B291" s="61"/>
      <c r="C291" s="61"/>
      <c r="D291" s="61"/>
      <c r="E291" s="65"/>
      <c r="F291" s="65"/>
      <c r="G291" s="65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spans="1:26" ht="14.25" customHeight="1" x14ac:dyDescent="0.3">
      <c r="A292" s="61"/>
      <c r="B292" s="61"/>
      <c r="C292" s="61"/>
      <c r="D292" s="61"/>
      <c r="E292" s="65"/>
      <c r="F292" s="65"/>
      <c r="G292" s="65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spans="1:26" ht="14.25" customHeight="1" x14ac:dyDescent="0.3">
      <c r="A293" s="61"/>
      <c r="B293" s="61"/>
      <c r="C293" s="61"/>
      <c r="D293" s="61"/>
      <c r="E293" s="65"/>
      <c r="F293" s="65"/>
      <c r="G293" s="65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spans="1:26" ht="14.25" customHeight="1" x14ac:dyDescent="0.3">
      <c r="A294" s="61"/>
      <c r="B294" s="61"/>
      <c r="C294" s="61"/>
      <c r="D294" s="61"/>
      <c r="E294" s="65"/>
      <c r="F294" s="65"/>
      <c r="G294" s="65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spans="1:26" ht="14.25" customHeight="1" x14ac:dyDescent="0.3">
      <c r="A295" s="61"/>
      <c r="B295" s="61"/>
      <c r="C295" s="61"/>
      <c r="D295" s="61"/>
      <c r="E295" s="65"/>
      <c r="F295" s="65"/>
      <c r="G295" s="65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spans="1:26" ht="14.25" customHeight="1" x14ac:dyDescent="0.3">
      <c r="A296" s="61"/>
      <c r="B296" s="61"/>
      <c r="C296" s="61"/>
      <c r="D296" s="61"/>
      <c r="E296" s="65"/>
      <c r="F296" s="65"/>
      <c r="G296" s="65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spans="1:26" ht="14.25" customHeight="1" x14ac:dyDescent="0.3">
      <c r="A297" s="61"/>
      <c r="B297" s="61"/>
      <c r="C297" s="61"/>
      <c r="D297" s="61"/>
      <c r="E297" s="65"/>
      <c r="F297" s="65"/>
      <c r="G297" s="65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spans="1:26" ht="14.25" customHeight="1" x14ac:dyDescent="0.3">
      <c r="A298" s="61"/>
      <c r="B298" s="61"/>
      <c r="C298" s="61"/>
      <c r="D298" s="61"/>
      <c r="E298" s="65"/>
      <c r="F298" s="65"/>
      <c r="G298" s="65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spans="1:26" ht="14.25" customHeight="1" x14ac:dyDescent="0.3">
      <c r="A299" s="61"/>
      <c r="B299" s="61"/>
      <c r="C299" s="61"/>
      <c r="D299" s="61"/>
      <c r="E299" s="65"/>
      <c r="F299" s="65"/>
      <c r="G299" s="65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spans="1:26" ht="14.25" customHeight="1" x14ac:dyDescent="0.3">
      <c r="A300" s="61"/>
      <c r="B300" s="61"/>
      <c r="C300" s="61"/>
      <c r="D300" s="61"/>
      <c r="E300" s="65"/>
      <c r="F300" s="65"/>
      <c r="G300" s="65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spans="1:26" ht="14.25" customHeight="1" x14ac:dyDescent="0.3">
      <c r="A301" s="61"/>
      <c r="B301" s="61"/>
      <c r="C301" s="61"/>
      <c r="D301" s="61"/>
      <c r="E301" s="65"/>
      <c r="F301" s="65"/>
      <c r="G301" s="65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spans="1:26" ht="14.25" customHeight="1" x14ac:dyDescent="0.3">
      <c r="A302" s="61"/>
      <c r="B302" s="61"/>
      <c r="C302" s="61"/>
      <c r="D302" s="61"/>
      <c r="E302" s="65"/>
      <c r="F302" s="65"/>
      <c r="G302" s="65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spans="1:26" ht="14.25" customHeight="1" x14ac:dyDescent="0.3">
      <c r="A303" s="61"/>
      <c r="B303" s="61"/>
      <c r="C303" s="61"/>
      <c r="D303" s="61"/>
      <c r="E303" s="65"/>
      <c r="F303" s="65"/>
      <c r="G303" s="65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spans="1:26" ht="14.25" customHeight="1" x14ac:dyDescent="0.3">
      <c r="A304" s="61"/>
      <c r="B304" s="61"/>
      <c r="C304" s="61"/>
      <c r="D304" s="61"/>
      <c r="E304" s="65"/>
      <c r="F304" s="65"/>
      <c r="G304" s="65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spans="1:26" ht="14.25" customHeight="1" x14ac:dyDescent="0.3">
      <c r="A305" s="61"/>
      <c r="B305" s="61"/>
      <c r="C305" s="61"/>
      <c r="D305" s="61"/>
      <c r="E305" s="65"/>
      <c r="F305" s="65"/>
      <c r="G305" s="65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spans="1:26" ht="14.25" customHeight="1" x14ac:dyDescent="0.3">
      <c r="A306" s="61"/>
      <c r="B306" s="61"/>
      <c r="C306" s="61"/>
      <c r="D306" s="61"/>
      <c r="E306" s="65"/>
      <c r="F306" s="65"/>
      <c r="G306" s="65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spans="1:26" ht="14.25" customHeight="1" x14ac:dyDescent="0.3">
      <c r="A307" s="61"/>
      <c r="B307" s="61"/>
      <c r="C307" s="61"/>
      <c r="D307" s="61"/>
      <c r="E307" s="65"/>
      <c r="F307" s="65"/>
      <c r="G307" s="65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spans="1:26" ht="14.25" customHeight="1" x14ac:dyDescent="0.3">
      <c r="A308" s="61"/>
      <c r="B308" s="61"/>
      <c r="C308" s="61"/>
      <c r="D308" s="61"/>
      <c r="E308" s="65"/>
      <c r="F308" s="65"/>
      <c r="G308" s="65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spans="1:26" ht="14.25" customHeight="1" x14ac:dyDescent="0.3">
      <c r="A309" s="61"/>
      <c r="B309" s="61"/>
      <c r="C309" s="61"/>
      <c r="D309" s="61"/>
      <c r="E309" s="65"/>
      <c r="F309" s="65"/>
      <c r="G309" s="65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spans="1:26" ht="14.25" customHeight="1" x14ac:dyDescent="0.3">
      <c r="A310" s="61"/>
      <c r="B310" s="61"/>
      <c r="C310" s="61"/>
      <c r="D310" s="61"/>
      <c r="E310" s="65"/>
      <c r="F310" s="65"/>
      <c r="G310" s="65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spans="1:26" ht="14.25" customHeight="1" x14ac:dyDescent="0.3">
      <c r="A311" s="61"/>
      <c r="B311" s="61"/>
      <c r="C311" s="61"/>
      <c r="D311" s="61"/>
      <c r="E311" s="65"/>
      <c r="F311" s="65"/>
      <c r="G311" s="65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spans="1:26" ht="14.25" customHeight="1" x14ac:dyDescent="0.3">
      <c r="A312" s="61"/>
      <c r="B312" s="61"/>
      <c r="C312" s="61"/>
      <c r="D312" s="61"/>
      <c r="E312" s="65"/>
      <c r="F312" s="65"/>
      <c r="G312" s="65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spans="1:26" ht="14.25" customHeight="1" x14ac:dyDescent="0.3">
      <c r="A313" s="61"/>
      <c r="B313" s="61"/>
      <c r="C313" s="61"/>
      <c r="D313" s="61"/>
      <c r="E313" s="65"/>
      <c r="F313" s="65"/>
      <c r="G313" s="65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spans="1:26" ht="14.25" customHeight="1" x14ac:dyDescent="0.3">
      <c r="A314" s="61"/>
      <c r="B314" s="61"/>
      <c r="C314" s="61"/>
      <c r="D314" s="61"/>
      <c r="E314" s="65"/>
      <c r="F314" s="65"/>
      <c r="G314" s="65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spans="1:26" ht="14.25" customHeight="1" x14ac:dyDescent="0.3">
      <c r="A315" s="61"/>
      <c r="B315" s="61"/>
      <c r="C315" s="61"/>
      <c r="D315" s="61"/>
      <c r="E315" s="65"/>
      <c r="F315" s="65"/>
      <c r="G315" s="65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spans="1:26" ht="14.25" customHeight="1" x14ac:dyDescent="0.3">
      <c r="A316" s="61"/>
      <c r="B316" s="61"/>
      <c r="C316" s="61"/>
      <c r="D316" s="61"/>
      <c r="E316" s="65"/>
      <c r="F316" s="65"/>
      <c r="G316" s="65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spans="1:26" ht="14.25" customHeight="1" x14ac:dyDescent="0.3">
      <c r="A317" s="61"/>
      <c r="B317" s="61"/>
      <c r="C317" s="61"/>
      <c r="D317" s="61"/>
      <c r="E317" s="65"/>
      <c r="F317" s="65"/>
      <c r="G317" s="65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spans="1:26" ht="14.25" customHeight="1" x14ac:dyDescent="0.3">
      <c r="A318" s="61"/>
      <c r="B318" s="61"/>
      <c r="C318" s="61"/>
      <c r="D318" s="61"/>
      <c r="E318" s="65"/>
      <c r="F318" s="65"/>
      <c r="G318" s="65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spans="1:26" ht="14.25" customHeight="1" x14ac:dyDescent="0.3">
      <c r="A319" s="61"/>
      <c r="B319" s="61"/>
      <c r="C319" s="61"/>
      <c r="D319" s="61"/>
      <c r="E319" s="65"/>
      <c r="F319" s="65"/>
      <c r="G319" s="65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spans="1:26" ht="14.25" customHeight="1" x14ac:dyDescent="0.3">
      <c r="A320" s="61"/>
      <c r="B320" s="61"/>
      <c r="C320" s="61"/>
      <c r="D320" s="61"/>
      <c r="E320" s="65"/>
      <c r="F320" s="65"/>
      <c r="G320" s="65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spans="1:26" ht="14.25" customHeight="1" x14ac:dyDescent="0.3">
      <c r="A321" s="61"/>
      <c r="B321" s="61"/>
      <c r="C321" s="61"/>
      <c r="D321" s="61"/>
      <c r="E321" s="65"/>
      <c r="F321" s="65"/>
      <c r="G321" s="65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spans="1:26" ht="14.25" customHeight="1" x14ac:dyDescent="0.3">
      <c r="A322" s="61"/>
      <c r="B322" s="61"/>
      <c r="C322" s="61"/>
      <c r="D322" s="61"/>
      <c r="E322" s="65"/>
      <c r="F322" s="65"/>
      <c r="G322" s="65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spans="1:26" ht="14.25" customHeight="1" x14ac:dyDescent="0.3">
      <c r="A323" s="61"/>
      <c r="B323" s="61"/>
      <c r="C323" s="61"/>
      <c r="D323" s="61"/>
      <c r="E323" s="65"/>
      <c r="F323" s="65"/>
      <c r="G323" s="65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spans="1:26" ht="14.25" customHeight="1" x14ac:dyDescent="0.3">
      <c r="A324" s="61"/>
      <c r="B324" s="61"/>
      <c r="C324" s="61"/>
      <c r="D324" s="61"/>
      <c r="E324" s="65"/>
      <c r="F324" s="65"/>
      <c r="G324" s="65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spans="1:26" ht="14.25" customHeight="1" x14ac:dyDescent="0.3">
      <c r="A325" s="61"/>
      <c r="B325" s="61"/>
      <c r="C325" s="61"/>
      <c r="D325" s="61"/>
      <c r="E325" s="65"/>
      <c r="F325" s="65"/>
      <c r="G325" s="65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spans="1:26" ht="14.25" customHeight="1" x14ac:dyDescent="0.3">
      <c r="A326" s="61"/>
      <c r="B326" s="61"/>
      <c r="C326" s="61"/>
      <c r="D326" s="61"/>
      <c r="E326" s="65"/>
      <c r="F326" s="65"/>
      <c r="G326" s="65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spans="1:26" ht="14.25" customHeight="1" x14ac:dyDescent="0.3">
      <c r="A327" s="61"/>
      <c r="B327" s="61"/>
      <c r="C327" s="61"/>
      <c r="D327" s="61"/>
      <c r="E327" s="65"/>
      <c r="F327" s="65"/>
      <c r="G327" s="65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spans="1:26" ht="14.25" customHeight="1" x14ac:dyDescent="0.3">
      <c r="A328" s="61"/>
      <c r="B328" s="61"/>
      <c r="C328" s="61"/>
      <c r="D328" s="61"/>
      <c r="E328" s="65"/>
      <c r="F328" s="65"/>
      <c r="G328" s="65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spans="1:26" ht="14.25" customHeight="1" x14ac:dyDescent="0.3">
      <c r="A329" s="61"/>
      <c r="B329" s="61"/>
      <c r="C329" s="61"/>
      <c r="D329" s="61"/>
      <c r="E329" s="65"/>
      <c r="F329" s="65"/>
      <c r="G329" s="65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spans="1:26" ht="14.25" customHeight="1" x14ac:dyDescent="0.3">
      <c r="A330" s="61"/>
      <c r="B330" s="61"/>
      <c r="C330" s="61"/>
      <c r="D330" s="61"/>
      <c r="E330" s="65"/>
      <c r="F330" s="65"/>
      <c r="G330" s="65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spans="1:26" ht="14.25" customHeight="1" x14ac:dyDescent="0.3">
      <c r="A331" s="61"/>
      <c r="B331" s="61"/>
      <c r="C331" s="61"/>
      <c r="D331" s="61"/>
      <c r="E331" s="65"/>
      <c r="F331" s="65"/>
      <c r="G331" s="65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spans="1:26" ht="14.25" customHeight="1" x14ac:dyDescent="0.3">
      <c r="A332" s="61"/>
      <c r="B332" s="61"/>
      <c r="C332" s="61"/>
      <c r="D332" s="61"/>
      <c r="E332" s="65"/>
      <c r="F332" s="65"/>
      <c r="G332" s="65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spans="1:26" ht="14.25" customHeight="1" x14ac:dyDescent="0.3">
      <c r="A333" s="61"/>
      <c r="B333" s="61"/>
      <c r="C333" s="61"/>
      <c r="D333" s="61"/>
      <c r="E333" s="65"/>
      <c r="F333" s="65"/>
      <c r="G333" s="65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spans="1:26" ht="14.25" customHeight="1" x14ac:dyDescent="0.3">
      <c r="A334" s="61"/>
      <c r="B334" s="61"/>
      <c r="C334" s="61"/>
      <c r="D334" s="61"/>
      <c r="E334" s="65"/>
      <c r="F334" s="65"/>
      <c r="G334" s="65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spans="1:26" ht="14.25" customHeight="1" x14ac:dyDescent="0.3">
      <c r="A335" s="61"/>
      <c r="B335" s="61"/>
      <c r="C335" s="61"/>
      <c r="D335" s="61"/>
      <c r="E335" s="65"/>
      <c r="F335" s="65"/>
      <c r="G335" s="65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spans="1:26" ht="14.25" customHeight="1" x14ac:dyDescent="0.3">
      <c r="A336" s="61"/>
      <c r="B336" s="61"/>
      <c r="C336" s="61"/>
      <c r="D336" s="61"/>
      <c r="E336" s="65"/>
      <c r="F336" s="65"/>
      <c r="G336" s="65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spans="1:26" ht="14.25" customHeight="1" x14ac:dyDescent="0.3">
      <c r="A337" s="61"/>
      <c r="B337" s="61"/>
      <c r="C337" s="61"/>
      <c r="D337" s="61"/>
      <c r="E337" s="65"/>
      <c r="F337" s="65"/>
      <c r="G337" s="65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spans="1:26" ht="14.25" customHeight="1" x14ac:dyDescent="0.3">
      <c r="A338" s="61"/>
      <c r="B338" s="61"/>
      <c r="C338" s="61"/>
      <c r="D338" s="61"/>
      <c r="E338" s="65"/>
      <c r="F338" s="65"/>
      <c r="G338" s="65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spans="1:26" ht="14.25" customHeight="1" x14ac:dyDescent="0.3">
      <c r="A339" s="61"/>
      <c r="B339" s="61"/>
      <c r="C339" s="61"/>
      <c r="D339" s="61"/>
      <c r="E339" s="65"/>
      <c r="F339" s="65"/>
      <c r="G339" s="65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spans="1:26" ht="14.25" customHeight="1" x14ac:dyDescent="0.3">
      <c r="A340" s="61"/>
      <c r="B340" s="61"/>
      <c r="C340" s="61"/>
      <c r="D340" s="61"/>
      <c r="E340" s="65"/>
      <c r="F340" s="65"/>
      <c r="G340" s="65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spans="1:26" ht="14.25" customHeight="1" x14ac:dyDescent="0.3">
      <c r="A341" s="61"/>
      <c r="B341" s="61"/>
      <c r="C341" s="61"/>
      <c r="D341" s="61"/>
      <c r="E341" s="65"/>
      <c r="F341" s="65"/>
      <c r="G341" s="65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spans="1:26" ht="14.25" customHeight="1" x14ac:dyDescent="0.3">
      <c r="A342" s="61"/>
      <c r="B342" s="61"/>
      <c r="C342" s="61"/>
      <c r="D342" s="61"/>
      <c r="E342" s="65"/>
      <c r="F342" s="65"/>
      <c r="G342" s="65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spans="1:26" ht="14.25" customHeight="1" x14ac:dyDescent="0.3">
      <c r="A343" s="61"/>
      <c r="B343" s="61"/>
      <c r="C343" s="61"/>
      <c r="D343" s="61"/>
      <c r="E343" s="65"/>
      <c r="F343" s="65"/>
      <c r="G343" s="65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spans="1:26" ht="14.25" customHeight="1" x14ac:dyDescent="0.3">
      <c r="A344" s="61"/>
      <c r="B344" s="61"/>
      <c r="C344" s="61"/>
      <c r="D344" s="61"/>
      <c r="E344" s="65"/>
      <c r="F344" s="65"/>
      <c r="G344" s="65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spans="1:26" ht="14.25" customHeight="1" x14ac:dyDescent="0.3">
      <c r="A345" s="61"/>
      <c r="B345" s="61"/>
      <c r="C345" s="61"/>
      <c r="D345" s="61"/>
      <c r="E345" s="65"/>
      <c r="F345" s="65"/>
      <c r="G345" s="65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spans="1:26" ht="14.25" customHeight="1" x14ac:dyDescent="0.3">
      <c r="A346" s="61"/>
      <c r="B346" s="61"/>
      <c r="C346" s="61"/>
      <c r="D346" s="61"/>
      <c r="E346" s="65"/>
      <c r="F346" s="65"/>
      <c r="G346" s="65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spans="1:26" ht="14.25" customHeight="1" x14ac:dyDescent="0.3">
      <c r="A347" s="61"/>
      <c r="B347" s="61"/>
      <c r="C347" s="61"/>
      <c r="D347" s="61"/>
      <c r="E347" s="65"/>
      <c r="F347" s="65"/>
      <c r="G347" s="65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spans="1:26" ht="14.25" customHeight="1" x14ac:dyDescent="0.3">
      <c r="A348" s="61"/>
      <c r="B348" s="61"/>
      <c r="C348" s="61"/>
      <c r="D348" s="61"/>
      <c r="E348" s="65"/>
      <c r="F348" s="65"/>
      <c r="G348" s="65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spans="1:26" ht="14.25" customHeight="1" x14ac:dyDescent="0.3">
      <c r="A349" s="61"/>
      <c r="B349" s="61"/>
      <c r="C349" s="61"/>
      <c r="D349" s="61"/>
      <c r="E349" s="65"/>
      <c r="F349" s="65"/>
      <c r="G349" s="65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spans="1:26" ht="14.25" customHeight="1" x14ac:dyDescent="0.3">
      <c r="A350" s="61"/>
      <c r="B350" s="61"/>
      <c r="C350" s="61"/>
      <c r="D350" s="61"/>
      <c r="E350" s="65"/>
      <c r="F350" s="65"/>
      <c r="G350" s="65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spans="1:26" ht="14.25" customHeight="1" x14ac:dyDescent="0.3">
      <c r="A351" s="61"/>
      <c r="B351" s="61"/>
      <c r="C351" s="61"/>
      <c r="D351" s="61"/>
      <c r="E351" s="65"/>
      <c r="F351" s="65"/>
      <c r="G351" s="65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spans="1:26" ht="14.25" customHeight="1" x14ac:dyDescent="0.3">
      <c r="A352" s="61"/>
      <c r="B352" s="61"/>
      <c r="C352" s="61"/>
      <c r="D352" s="61"/>
      <c r="E352" s="65"/>
      <c r="F352" s="65"/>
      <c r="G352" s="65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spans="1:26" ht="14.25" customHeight="1" x14ac:dyDescent="0.3">
      <c r="A353" s="61"/>
      <c r="B353" s="61"/>
      <c r="C353" s="61"/>
      <c r="D353" s="61"/>
      <c r="E353" s="65"/>
      <c r="F353" s="65"/>
      <c r="G353" s="65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spans="1:26" ht="14.25" customHeight="1" x14ac:dyDescent="0.3">
      <c r="A354" s="61"/>
      <c r="B354" s="61"/>
      <c r="C354" s="61"/>
      <c r="D354" s="61"/>
      <c r="E354" s="65"/>
      <c r="F354" s="65"/>
      <c r="G354" s="65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spans="1:26" ht="14.25" customHeight="1" x14ac:dyDescent="0.3">
      <c r="A355" s="61"/>
      <c r="B355" s="61"/>
      <c r="C355" s="61"/>
      <c r="D355" s="61"/>
      <c r="E355" s="65"/>
      <c r="F355" s="65"/>
      <c r="G355" s="65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spans="1:26" ht="14.25" customHeight="1" x14ac:dyDescent="0.3">
      <c r="A356" s="61"/>
      <c r="B356" s="61"/>
      <c r="C356" s="61"/>
      <c r="D356" s="61"/>
      <c r="E356" s="65"/>
      <c r="F356" s="65"/>
      <c r="G356" s="65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spans="1:26" ht="14.25" customHeight="1" x14ac:dyDescent="0.3">
      <c r="A357" s="61"/>
      <c r="B357" s="61"/>
      <c r="C357" s="61"/>
      <c r="D357" s="61"/>
      <c r="E357" s="65"/>
      <c r="F357" s="65"/>
      <c r="G357" s="65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spans="1:26" ht="14.25" customHeight="1" x14ac:dyDescent="0.3">
      <c r="A358" s="61"/>
      <c r="B358" s="61"/>
      <c r="C358" s="61"/>
      <c r="D358" s="61"/>
      <c r="E358" s="65"/>
      <c r="F358" s="65"/>
      <c r="G358" s="65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spans="1:26" ht="14.25" customHeight="1" x14ac:dyDescent="0.3">
      <c r="A359" s="61"/>
      <c r="B359" s="61"/>
      <c r="C359" s="61"/>
      <c r="D359" s="61"/>
      <c r="E359" s="65"/>
      <c r="F359" s="65"/>
      <c r="G359" s="65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spans="1:26" ht="14.25" customHeight="1" x14ac:dyDescent="0.3">
      <c r="A360" s="61"/>
      <c r="B360" s="61"/>
      <c r="C360" s="61"/>
      <c r="D360" s="61"/>
      <c r="E360" s="65"/>
      <c r="F360" s="65"/>
      <c r="G360" s="65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spans="1:26" ht="14.25" customHeight="1" x14ac:dyDescent="0.3">
      <c r="A361" s="61"/>
      <c r="B361" s="61"/>
      <c r="C361" s="61"/>
      <c r="D361" s="61"/>
      <c r="E361" s="65"/>
      <c r="F361" s="65"/>
      <c r="G361" s="65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spans="1:26" ht="14.25" customHeight="1" x14ac:dyDescent="0.3">
      <c r="A362" s="61"/>
      <c r="B362" s="61"/>
      <c r="C362" s="61"/>
      <c r="D362" s="61"/>
      <c r="E362" s="65"/>
      <c r="F362" s="65"/>
      <c r="G362" s="65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spans="1:26" ht="14.25" customHeight="1" x14ac:dyDescent="0.3">
      <c r="A363" s="61"/>
      <c r="B363" s="61"/>
      <c r="C363" s="61"/>
      <c r="D363" s="61"/>
      <c r="E363" s="65"/>
      <c r="F363" s="65"/>
      <c r="G363" s="65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spans="1:26" ht="14.25" customHeight="1" x14ac:dyDescent="0.3">
      <c r="A364" s="61"/>
      <c r="B364" s="61"/>
      <c r="C364" s="61"/>
      <c r="D364" s="61"/>
      <c r="E364" s="65"/>
      <c r="F364" s="65"/>
      <c r="G364" s="65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spans="1:26" ht="14.25" customHeight="1" x14ac:dyDescent="0.3">
      <c r="A365" s="61"/>
      <c r="B365" s="61"/>
      <c r="C365" s="61"/>
      <c r="D365" s="61"/>
      <c r="E365" s="65"/>
      <c r="F365" s="65"/>
      <c r="G365" s="65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spans="1:26" ht="14.25" customHeight="1" x14ac:dyDescent="0.3">
      <c r="A366" s="61"/>
      <c r="B366" s="61"/>
      <c r="C366" s="61"/>
      <c r="D366" s="61"/>
      <c r="E366" s="65"/>
      <c r="F366" s="65"/>
      <c r="G366" s="65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spans="1:26" ht="14.25" customHeight="1" x14ac:dyDescent="0.3">
      <c r="A367" s="61"/>
      <c r="B367" s="61"/>
      <c r="C367" s="61"/>
      <c r="D367" s="61"/>
      <c r="E367" s="65"/>
      <c r="F367" s="65"/>
      <c r="G367" s="65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spans="1:26" ht="14.25" customHeight="1" x14ac:dyDescent="0.3">
      <c r="A368" s="61"/>
      <c r="B368" s="61"/>
      <c r="C368" s="61"/>
      <c r="D368" s="61"/>
      <c r="E368" s="65"/>
      <c r="F368" s="65"/>
      <c r="G368" s="65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spans="1:26" ht="14.25" customHeight="1" x14ac:dyDescent="0.3">
      <c r="A369" s="61"/>
      <c r="B369" s="61"/>
      <c r="C369" s="61"/>
      <c r="D369" s="61"/>
      <c r="E369" s="65"/>
      <c r="F369" s="65"/>
      <c r="G369" s="65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spans="1:26" ht="14.25" customHeight="1" x14ac:dyDescent="0.3">
      <c r="A370" s="61"/>
      <c r="B370" s="61"/>
      <c r="C370" s="61"/>
      <c r="D370" s="61"/>
      <c r="E370" s="65"/>
      <c r="F370" s="65"/>
      <c r="G370" s="65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spans="1:26" ht="14.25" customHeight="1" x14ac:dyDescent="0.3">
      <c r="A371" s="61"/>
      <c r="B371" s="61"/>
      <c r="C371" s="61"/>
      <c r="D371" s="61"/>
      <c r="E371" s="65"/>
      <c r="F371" s="65"/>
      <c r="G371" s="65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spans="1:26" ht="14.25" customHeight="1" x14ac:dyDescent="0.3">
      <c r="A372" s="61"/>
      <c r="B372" s="61"/>
      <c r="C372" s="61"/>
      <c r="D372" s="61"/>
      <c r="E372" s="65"/>
      <c r="F372" s="65"/>
      <c r="G372" s="65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spans="1:26" ht="14.25" customHeight="1" x14ac:dyDescent="0.3">
      <c r="A373" s="61"/>
      <c r="B373" s="61"/>
      <c r="C373" s="61"/>
      <c r="D373" s="61"/>
      <c r="E373" s="65"/>
      <c r="F373" s="65"/>
      <c r="G373" s="65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spans="1:26" ht="14.25" customHeight="1" x14ac:dyDescent="0.3">
      <c r="A374" s="61"/>
      <c r="B374" s="61"/>
      <c r="C374" s="61"/>
      <c r="D374" s="61"/>
      <c r="E374" s="65"/>
      <c r="F374" s="65"/>
      <c r="G374" s="65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spans="1:26" ht="14.25" customHeight="1" x14ac:dyDescent="0.3">
      <c r="A375" s="61"/>
      <c r="B375" s="61"/>
      <c r="C375" s="61"/>
      <c r="D375" s="61"/>
      <c r="E375" s="65"/>
      <c r="F375" s="65"/>
      <c r="G375" s="65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spans="1:26" ht="14.25" customHeight="1" x14ac:dyDescent="0.3">
      <c r="A376" s="61"/>
      <c r="B376" s="61"/>
      <c r="C376" s="61"/>
      <c r="D376" s="61"/>
      <c r="E376" s="65"/>
      <c r="F376" s="65"/>
      <c r="G376" s="65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spans="1:26" ht="14.25" customHeight="1" x14ac:dyDescent="0.3">
      <c r="A377" s="61"/>
      <c r="B377" s="61"/>
      <c r="C377" s="61"/>
      <c r="D377" s="61"/>
      <c r="E377" s="65"/>
      <c r="F377" s="65"/>
      <c r="G377" s="65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spans="1:26" ht="14.25" customHeight="1" x14ac:dyDescent="0.3">
      <c r="A378" s="61"/>
      <c r="B378" s="61"/>
      <c r="C378" s="61"/>
      <c r="D378" s="61"/>
      <c r="E378" s="65"/>
      <c r="F378" s="65"/>
      <c r="G378" s="65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spans="1:26" ht="14.25" customHeight="1" x14ac:dyDescent="0.3">
      <c r="A379" s="61"/>
      <c r="B379" s="61"/>
      <c r="C379" s="61"/>
      <c r="D379" s="61"/>
      <c r="E379" s="65"/>
      <c r="F379" s="65"/>
      <c r="G379" s="65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spans="1:26" ht="14.25" customHeight="1" x14ac:dyDescent="0.3">
      <c r="A380" s="61"/>
      <c r="B380" s="61"/>
      <c r="C380" s="61"/>
      <c r="D380" s="61"/>
      <c r="E380" s="65"/>
      <c r="F380" s="65"/>
      <c r="G380" s="65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spans="1:26" ht="14.25" customHeight="1" x14ac:dyDescent="0.3">
      <c r="A381" s="61"/>
      <c r="B381" s="61"/>
      <c r="C381" s="61"/>
      <c r="D381" s="61"/>
      <c r="E381" s="65"/>
      <c r="F381" s="65"/>
      <c r="G381" s="65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spans="1:26" ht="14.25" customHeight="1" x14ac:dyDescent="0.3">
      <c r="A382" s="61"/>
      <c r="B382" s="61"/>
      <c r="C382" s="61"/>
      <c r="D382" s="61"/>
      <c r="E382" s="65"/>
      <c r="F382" s="65"/>
      <c r="G382" s="65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spans="1:26" ht="14.25" customHeight="1" x14ac:dyDescent="0.3">
      <c r="A383" s="61"/>
      <c r="B383" s="61"/>
      <c r="C383" s="61"/>
      <c r="D383" s="61"/>
      <c r="E383" s="65"/>
      <c r="F383" s="65"/>
      <c r="G383" s="65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spans="1:26" ht="14.25" customHeight="1" x14ac:dyDescent="0.3">
      <c r="A384" s="61"/>
      <c r="B384" s="61"/>
      <c r="C384" s="61"/>
      <c r="D384" s="61"/>
      <c r="E384" s="65"/>
      <c r="F384" s="65"/>
      <c r="G384" s="65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spans="1:26" ht="14.25" customHeight="1" x14ac:dyDescent="0.3">
      <c r="A385" s="61"/>
      <c r="B385" s="61"/>
      <c r="C385" s="61"/>
      <c r="D385" s="61"/>
      <c r="E385" s="65"/>
      <c r="F385" s="65"/>
      <c r="G385" s="65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spans="1:26" ht="14.25" customHeight="1" x14ac:dyDescent="0.3">
      <c r="A386" s="61"/>
      <c r="B386" s="61"/>
      <c r="C386" s="61"/>
      <c r="D386" s="61"/>
      <c r="E386" s="65"/>
      <c r="F386" s="65"/>
      <c r="G386" s="65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spans="1:26" ht="14.25" customHeight="1" x14ac:dyDescent="0.3">
      <c r="A387" s="61"/>
      <c r="B387" s="61"/>
      <c r="C387" s="61"/>
      <c r="D387" s="61"/>
      <c r="E387" s="65"/>
      <c r="F387" s="65"/>
      <c r="G387" s="65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spans="1:26" ht="14.25" customHeight="1" x14ac:dyDescent="0.3">
      <c r="A388" s="61"/>
      <c r="B388" s="61"/>
      <c r="C388" s="61"/>
      <c r="D388" s="61"/>
      <c r="E388" s="65"/>
      <c r="F388" s="65"/>
      <c r="G388" s="65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spans="1:26" ht="14.25" customHeight="1" x14ac:dyDescent="0.3">
      <c r="A389" s="61"/>
      <c r="B389" s="61"/>
      <c r="C389" s="61"/>
      <c r="D389" s="61"/>
      <c r="E389" s="65"/>
      <c r="F389" s="65"/>
      <c r="G389" s="65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spans="1:26" ht="14.25" customHeight="1" x14ac:dyDescent="0.3">
      <c r="A390" s="61"/>
      <c r="B390" s="61"/>
      <c r="C390" s="61"/>
      <c r="D390" s="61"/>
      <c r="E390" s="65"/>
      <c r="F390" s="65"/>
      <c r="G390" s="65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spans="1:26" ht="14.25" customHeight="1" x14ac:dyDescent="0.3">
      <c r="A391" s="61"/>
      <c r="B391" s="61"/>
      <c r="C391" s="61"/>
      <c r="D391" s="61"/>
      <c r="E391" s="65"/>
      <c r="F391" s="65"/>
      <c r="G391" s="65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spans="1:26" ht="14.25" customHeight="1" x14ac:dyDescent="0.3">
      <c r="A392" s="61"/>
      <c r="B392" s="61"/>
      <c r="C392" s="61"/>
      <c r="D392" s="61"/>
      <c r="E392" s="65"/>
      <c r="F392" s="65"/>
      <c r="G392" s="65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spans="1:26" ht="14.25" customHeight="1" x14ac:dyDescent="0.3">
      <c r="A393" s="61"/>
      <c r="B393" s="61"/>
      <c r="C393" s="61"/>
      <c r="D393" s="61"/>
      <c r="E393" s="65"/>
      <c r="F393" s="65"/>
      <c r="G393" s="65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spans="1:26" ht="14.25" customHeight="1" x14ac:dyDescent="0.3">
      <c r="A394" s="61"/>
      <c r="B394" s="61"/>
      <c r="C394" s="61"/>
      <c r="D394" s="61"/>
      <c r="E394" s="65"/>
      <c r="F394" s="65"/>
      <c r="G394" s="65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spans="1:26" ht="14.25" customHeight="1" x14ac:dyDescent="0.3">
      <c r="A395" s="61"/>
      <c r="B395" s="61"/>
      <c r="C395" s="61"/>
      <c r="D395" s="61"/>
      <c r="E395" s="65"/>
      <c r="F395" s="65"/>
      <c r="G395" s="65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spans="1:26" ht="14.25" customHeight="1" x14ac:dyDescent="0.3">
      <c r="A396" s="61"/>
      <c r="B396" s="61"/>
      <c r="C396" s="61"/>
      <c r="D396" s="61"/>
      <c r="E396" s="65"/>
      <c r="F396" s="65"/>
      <c r="G396" s="65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spans="1:26" ht="14.25" customHeight="1" x14ac:dyDescent="0.3">
      <c r="A397" s="61"/>
      <c r="B397" s="61"/>
      <c r="C397" s="61"/>
      <c r="D397" s="61"/>
      <c r="E397" s="65"/>
      <c r="F397" s="65"/>
      <c r="G397" s="65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spans="1:26" ht="14.25" customHeight="1" x14ac:dyDescent="0.3">
      <c r="A398" s="61"/>
      <c r="B398" s="61"/>
      <c r="C398" s="61"/>
      <c r="D398" s="61"/>
      <c r="E398" s="65"/>
      <c r="F398" s="65"/>
      <c r="G398" s="65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spans="1:26" ht="14.25" customHeight="1" x14ac:dyDescent="0.3">
      <c r="A399" s="61"/>
      <c r="B399" s="61"/>
      <c r="C399" s="61"/>
      <c r="D399" s="61"/>
      <c r="E399" s="65"/>
      <c r="F399" s="65"/>
      <c r="G399" s="65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spans="1:26" ht="14.25" customHeight="1" x14ac:dyDescent="0.3">
      <c r="A400" s="61"/>
      <c r="B400" s="61"/>
      <c r="C400" s="61"/>
      <c r="D400" s="61"/>
      <c r="E400" s="65"/>
      <c r="F400" s="65"/>
      <c r="G400" s="65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spans="1:26" ht="14.25" customHeight="1" x14ac:dyDescent="0.3">
      <c r="A401" s="61"/>
      <c r="B401" s="61"/>
      <c r="C401" s="61"/>
      <c r="D401" s="61"/>
      <c r="E401" s="65"/>
      <c r="F401" s="65"/>
      <c r="G401" s="65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spans="1:26" ht="14.25" customHeight="1" x14ac:dyDescent="0.3">
      <c r="A402" s="61"/>
      <c r="B402" s="61"/>
      <c r="C402" s="61"/>
      <c r="D402" s="61"/>
      <c r="E402" s="65"/>
      <c r="F402" s="65"/>
      <c r="G402" s="65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spans="1:26" ht="14.25" customHeight="1" x14ac:dyDescent="0.3">
      <c r="A403" s="61"/>
      <c r="B403" s="61"/>
      <c r="C403" s="61"/>
      <c r="D403" s="61"/>
      <c r="E403" s="65"/>
      <c r="F403" s="65"/>
      <c r="G403" s="65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spans="1:26" ht="14.25" customHeight="1" x14ac:dyDescent="0.3">
      <c r="A404" s="61"/>
      <c r="B404" s="61"/>
      <c r="C404" s="61"/>
      <c r="D404" s="61"/>
      <c r="E404" s="65"/>
      <c r="F404" s="65"/>
      <c r="G404" s="65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spans="1:26" ht="14.25" customHeight="1" x14ac:dyDescent="0.3">
      <c r="A405" s="61"/>
      <c r="B405" s="61"/>
      <c r="C405" s="61"/>
      <c r="D405" s="61"/>
      <c r="E405" s="65"/>
      <c r="F405" s="65"/>
      <c r="G405" s="65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spans="1:26" ht="14.25" customHeight="1" x14ac:dyDescent="0.3">
      <c r="A406" s="61"/>
      <c r="B406" s="61"/>
      <c r="C406" s="61"/>
      <c r="D406" s="61"/>
      <c r="E406" s="65"/>
      <c r="F406" s="65"/>
      <c r="G406" s="65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spans="1:26" ht="14.25" customHeight="1" x14ac:dyDescent="0.3">
      <c r="A407" s="61"/>
      <c r="B407" s="61"/>
      <c r="C407" s="61"/>
      <c r="D407" s="61"/>
      <c r="E407" s="65"/>
      <c r="F407" s="65"/>
      <c r="G407" s="65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spans="1:26" ht="14.25" customHeight="1" x14ac:dyDescent="0.3">
      <c r="A408" s="61"/>
      <c r="B408" s="61"/>
      <c r="C408" s="61"/>
      <c r="D408" s="61"/>
      <c r="E408" s="65"/>
      <c r="F408" s="65"/>
      <c r="G408" s="65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spans="1:26" ht="14.25" customHeight="1" x14ac:dyDescent="0.3">
      <c r="A409" s="61"/>
      <c r="B409" s="61"/>
      <c r="C409" s="61"/>
      <c r="D409" s="61"/>
      <c r="E409" s="65"/>
      <c r="F409" s="65"/>
      <c r="G409" s="65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spans="1:26" ht="14.25" customHeight="1" x14ac:dyDescent="0.3">
      <c r="A410" s="61"/>
      <c r="B410" s="61"/>
      <c r="C410" s="61"/>
      <c r="D410" s="61"/>
      <c r="E410" s="65"/>
      <c r="F410" s="65"/>
      <c r="G410" s="65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spans="1:26" ht="14.25" customHeight="1" x14ac:dyDescent="0.3">
      <c r="A411" s="61"/>
      <c r="B411" s="61"/>
      <c r="C411" s="61"/>
      <c r="D411" s="61"/>
      <c r="E411" s="65"/>
      <c r="F411" s="65"/>
      <c r="G411" s="65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spans="1:26" ht="14.25" customHeight="1" x14ac:dyDescent="0.3">
      <c r="A412" s="61"/>
      <c r="B412" s="61"/>
      <c r="C412" s="61"/>
      <c r="D412" s="61"/>
      <c r="E412" s="65"/>
      <c r="F412" s="65"/>
      <c r="G412" s="65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spans="1:26" ht="14.25" customHeight="1" x14ac:dyDescent="0.3">
      <c r="A413" s="61"/>
      <c r="B413" s="61"/>
      <c r="C413" s="61"/>
      <c r="D413" s="61"/>
      <c r="E413" s="65"/>
      <c r="F413" s="65"/>
      <c r="G413" s="65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spans="1:26" ht="14.25" customHeight="1" x14ac:dyDescent="0.3">
      <c r="A414" s="61"/>
      <c r="B414" s="61"/>
      <c r="C414" s="61"/>
      <c r="D414" s="61"/>
      <c r="E414" s="65"/>
      <c r="F414" s="65"/>
      <c r="G414" s="65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spans="1:26" ht="14.25" customHeight="1" x14ac:dyDescent="0.3">
      <c r="A415" s="61"/>
      <c r="B415" s="61"/>
      <c r="C415" s="61"/>
      <c r="D415" s="61"/>
      <c r="E415" s="65"/>
      <c r="F415" s="65"/>
      <c r="G415" s="65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spans="1:26" ht="14.25" customHeight="1" x14ac:dyDescent="0.3">
      <c r="A416" s="61"/>
      <c r="B416" s="61"/>
      <c r="C416" s="61"/>
      <c r="D416" s="61"/>
      <c r="E416" s="65"/>
      <c r="F416" s="65"/>
      <c r="G416" s="65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spans="1:26" ht="14.25" customHeight="1" x14ac:dyDescent="0.3">
      <c r="A417" s="61"/>
      <c r="B417" s="61"/>
      <c r="C417" s="61"/>
      <c r="D417" s="61"/>
      <c r="E417" s="65"/>
      <c r="F417" s="65"/>
      <c r="G417" s="65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spans="1:26" ht="14.25" customHeight="1" x14ac:dyDescent="0.3">
      <c r="A418" s="61"/>
      <c r="B418" s="61"/>
      <c r="C418" s="61"/>
      <c r="D418" s="61"/>
      <c r="E418" s="65"/>
      <c r="F418" s="65"/>
      <c r="G418" s="65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spans="1:26" ht="14.25" customHeight="1" x14ac:dyDescent="0.3">
      <c r="A419" s="61"/>
      <c r="B419" s="61"/>
      <c r="C419" s="61"/>
      <c r="D419" s="61"/>
      <c r="E419" s="65"/>
      <c r="F419" s="65"/>
      <c r="G419" s="65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spans="1:26" ht="14.25" customHeight="1" x14ac:dyDescent="0.3">
      <c r="A420" s="61"/>
      <c r="B420" s="61"/>
      <c r="C420" s="61"/>
      <c r="D420" s="61"/>
      <c r="E420" s="65"/>
      <c r="F420" s="65"/>
      <c r="G420" s="65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spans="1:26" ht="14.25" customHeight="1" x14ac:dyDescent="0.3">
      <c r="A421" s="61"/>
      <c r="B421" s="61"/>
      <c r="C421" s="61"/>
      <c r="D421" s="61"/>
      <c r="E421" s="65"/>
      <c r="F421" s="65"/>
      <c r="G421" s="65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spans="1:26" ht="14.25" customHeight="1" x14ac:dyDescent="0.3">
      <c r="A422" s="61"/>
      <c r="B422" s="61"/>
      <c r="C422" s="61"/>
      <c r="D422" s="61"/>
      <c r="E422" s="65"/>
      <c r="F422" s="65"/>
      <c r="G422" s="65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spans="1:26" ht="14.25" customHeight="1" x14ac:dyDescent="0.3">
      <c r="A423" s="61"/>
      <c r="B423" s="61"/>
      <c r="C423" s="61"/>
      <c r="D423" s="61"/>
      <c r="E423" s="65"/>
      <c r="F423" s="65"/>
      <c r="G423" s="65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spans="1:26" ht="14.25" customHeight="1" x14ac:dyDescent="0.3">
      <c r="A424" s="61"/>
      <c r="B424" s="61"/>
      <c r="C424" s="61"/>
      <c r="D424" s="61"/>
      <c r="E424" s="65"/>
      <c r="F424" s="65"/>
      <c r="G424" s="65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spans="1:26" ht="14.25" customHeight="1" x14ac:dyDescent="0.3">
      <c r="A425" s="61"/>
      <c r="B425" s="61"/>
      <c r="C425" s="61"/>
      <c r="D425" s="61"/>
      <c r="E425" s="65"/>
      <c r="F425" s="65"/>
      <c r="G425" s="65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spans="1:26" ht="14.25" customHeight="1" x14ac:dyDescent="0.3">
      <c r="A426" s="61"/>
      <c r="B426" s="61"/>
      <c r="C426" s="61"/>
      <c r="D426" s="61"/>
      <c r="E426" s="65"/>
      <c r="F426" s="65"/>
      <c r="G426" s="65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spans="1:26" ht="14.25" customHeight="1" x14ac:dyDescent="0.3">
      <c r="A427" s="61"/>
      <c r="B427" s="61"/>
      <c r="C427" s="61"/>
      <c r="D427" s="61"/>
      <c r="E427" s="65"/>
      <c r="F427" s="65"/>
      <c r="G427" s="65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spans="1:26" ht="14.25" customHeight="1" x14ac:dyDescent="0.3">
      <c r="A428" s="61"/>
      <c r="B428" s="61"/>
      <c r="C428" s="61"/>
      <c r="D428" s="61"/>
      <c r="E428" s="65"/>
      <c r="F428" s="65"/>
      <c r="G428" s="65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spans="1:26" ht="14.25" customHeight="1" x14ac:dyDescent="0.3">
      <c r="A429" s="61"/>
      <c r="B429" s="61"/>
      <c r="C429" s="61"/>
      <c r="D429" s="61"/>
      <c r="E429" s="65"/>
      <c r="F429" s="65"/>
      <c r="G429" s="65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spans="1:26" ht="14.25" customHeight="1" x14ac:dyDescent="0.3">
      <c r="A430" s="61"/>
      <c r="B430" s="61"/>
      <c r="C430" s="61"/>
      <c r="D430" s="61"/>
      <c r="E430" s="65"/>
      <c r="F430" s="65"/>
      <c r="G430" s="65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spans="1:26" ht="14.25" customHeight="1" x14ac:dyDescent="0.3">
      <c r="A431" s="61"/>
      <c r="B431" s="61"/>
      <c r="C431" s="61"/>
      <c r="D431" s="61"/>
      <c r="E431" s="65"/>
      <c r="F431" s="65"/>
      <c r="G431" s="65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spans="1:26" ht="14.25" customHeight="1" x14ac:dyDescent="0.3">
      <c r="A432" s="61"/>
      <c r="B432" s="61"/>
      <c r="C432" s="61"/>
      <c r="D432" s="61"/>
      <c r="E432" s="65"/>
      <c r="F432" s="65"/>
      <c r="G432" s="65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spans="1:26" ht="14.25" customHeight="1" x14ac:dyDescent="0.3">
      <c r="A433" s="61"/>
      <c r="B433" s="61"/>
      <c r="C433" s="61"/>
      <c r="D433" s="61"/>
      <c r="E433" s="65"/>
      <c r="F433" s="65"/>
      <c r="G433" s="65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spans="1:26" ht="14.25" customHeight="1" x14ac:dyDescent="0.3">
      <c r="A434" s="61"/>
      <c r="B434" s="61"/>
      <c r="C434" s="61"/>
      <c r="D434" s="61"/>
      <c r="E434" s="65"/>
      <c r="F434" s="65"/>
      <c r="G434" s="65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spans="1:26" ht="14.25" customHeight="1" x14ac:dyDescent="0.3">
      <c r="A435" s="61"/>
      <c r="B435" s="61"/>
      <c r="C435" s="61"/>
      <c r="D435" s="61"/>
      <c r="E435" s="65"/>
      <c r="F435" s="65"/>
      <c r="G435" s="65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spans="1:26" ht="14.25" customHeight="1" x14ac:dyDescent="0.3">
      <c r="A436" s="61"/>
      <c r="B436" s="61"/>
      <c r="C436" s="61"/>
      <c r="D436" s="61"/>
      <c r="E436" s="65"/>
      <c r="F436" s="65"/>
      <c r="G436" s="65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spans="1:26" ht="14.25" customHeight="1" x14ac:dyDescent="0.3">
      <c r="A437" s="61"/>
      <c r="B437" s="61"/>
      <c r="C437" s="61"/>
      <c r="D437" s="61"/>
      <c r="E437" s="65"/>
      <c r="F437" s="65"/>
      <c r="G437" s="65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spans="1:26" ht="14.25" customHeight="1" x14ac:dyDescent="0.3">
      <c r="A438" s="61"/>
      <c r="B438" s="61"/>
      <c r="C438" s="61"/>
      <c r="D438" s="61"/>
      <c r="E438" s="65"/>
      <c r="F438" s="65"/>
      <c r="G438" s="65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spans="1:26" ht="14.25" customHeight="1" x14ac:dyDescent="0.3">
      <c r="A439" s="61"/>
      <c r="B439" s="61"/>
      <c r="C439" s="61"/>
      <c r="D439" s="61"/>
      <c r="E439" s="65"/>
      <c r="F439" s="65"/>
      <c r="G439" s="65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spans="1:26" ht="14.25" customHeight="1" x14ac:dyDescent="0.3">
      <c r="A440" s="61"/>
      <c r="B440" s="61"/>
      <c r="C440" s="61"/>
      <c r="D440" s="61"/>
      <c r="E440" s="65"/>
      <c r="F440" s="65"/>
      <c r="G440" s="65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spans="1:26" ht="14.25" customHeight="1" x14ac:dyDescent="0.3">
      <c r="A441" s="61"/>
      <c r="B441" s="61"/>
      <c r="C441" s="61"/>
      <c r="D441" s="61"/>
      <c r="E441" s="65"/>
      <c r="F441" s="65"/>
      <c r="G441" s="65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spans="1:26" ht="14.25" customHeight="1" x14ac:dyDescent="0.3">
      <c r="A442" s="61"/>
      <c r="B442" s="61"/>
      <c r="C442" s="61"/>
      <c r="D442" s="61"/>
      <c r="E442" s="65"/>
      <c r="F442" s="65"/>
      <c r="G442" s="65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spans="1:26" ht="14.25" customHeight="1" x14ac:dyDescent="0.3">
      <c r="A443" s="61"/>
      <c r="B443" s="61"/>
      <c r="C443" s="61"/>
      <c r="D443" s="61"/>
      <c r="E443" s="65"/>
      <c r="F443" s="65"/>
      <c r="G443" s="65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spans="1:26" ht="14.25" customHeight="1" x14ac:dyDescent="0.3">
      <c r="A444" s="61"/>
      <c r="B444" s="61"/>
      <c r="C444" s="61"/>
      <c r="D444" s="61"/>
      <c r="E444" s="65"/>
      <c r="F444" s="65"/>
      <c r="G444" s="65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spans="1:26" ht="14.25" customHeight="1" x14ac:dyDescent="0.3">
      <c r="A445" s="61"/>
      <c r="B445" s="61"/>
      <c r="C445" s="61"/>
      <c r="D445" s="61"/>
      <c r="E445" s="65"/>
      <c r="F445" s="65"/>
      <c r="G445" s="65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spans="1:26" ht="14.25" customHeight="1" x14ac:dyDescent="0.3">
      <c r="A446" s="61"/>
      <c r="B446" s="61"/>
      <c r="C446" s="61"/>
      <c r="D446" s="61"/>
      <c r="E446" s="65"/>
      <c r="F446" s="65"/>
      <c r="G446" s="65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spans="1:26" ht="14.25" customHeight="1" x14ac:dyDescent="0.3">
      <c r="A447" s="61"/>
      <c r="B447" s="61"/>
      <c r="C447" s="61"/>
      <c r="D447" s="61"/>
      <c r="E447" s="65"/>
      <c r="F447" s="65"/>
      <c r="G447" s="65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spans="1:26" ht="14.25" customHeight="1" x14ac:dyDescent="0.3">
      <c r="A448" s="61"/>
      <c r="B448" s="61"/>
      <c r="C448" s="61"/>
      <c r="D448" s="61"/>
      <c r="E448" s="65"/>
      <c r="F448" s="65"/>
      <c r="G448" s="65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spans="1:26" ht="14.25" customHeight="1" x14ac:dyDescent="0.3">
      <c r="A449" s="61"/>
      <c r="B449" s="61"/>
      <c r="C449" s="61"/>
      <c r="D449" s="61"/>
      <c r="E449" s="65"/>
      <c r="F449" s="65"/>
      <c r="G449" s="65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spans="1:26" ht="14.25" customHeight="1" x14ac:dyDescent="0.3">
      <c r="A450" s="61"/>
      <c r="B450" s="61"/>
      <c r="C450" s="61"/>
      <c r="D450" s="61"/>
      <c r="E450" s="65"/>
      <c r="F450" s="65"/>
      <c r="G450" s="65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spans="1:26" ht="14.25" customHeight="1" x14ac:dyDescent="0.3">
      <c r="A451" s="61"/>
      <c r="B451" s="61"/>
      <c r="C451" s="61"/>
      <c r="D451" s="61"/>
      <c r="E451" s="65"/>
      <c r="F451" s="65"/>
      <c r="G451" s="65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spans="1:26" ht="14.25" customHeight="1" x14ac:dyDescent="0.3">
      <c r="A452" s="61"/>
      <c r="B452" s="61"/>
      <c r="C452" s="61"/>
      <c r="D452" s="61"/>
      <c r="E452" s="65"/>
      <c r="F452" s="65"/>
      <c r="G452" s="65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spans="1:26" ht="14.25" customHeight="1" x14ac:dyDescent="0.3">
      <c r="A453" s="61"/>
      <c r="B453" s="61"/>
      <c r="C453" s="61"/>
      <c r="D453" s="61"/>
      <c r="E453" s="65"/>
      <c r="F453" s="65"/>
      <c r="G453" s="65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spans="1:26" ht="14.25" customHeight="1" x14ac:dyDescent="0.3">
      <c r="A454" s="61"/>
      <c r="B454" s="61"/>
      <c r="C454" s="61"/>
      <c r="D454" s="61"/>
      <c r="E454" s="65"/>
      <c r="F454" s="65"/>
      <c r="G454" s="65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spans="1:26" ht="14.25" customHeight="1" x14ac:dyDescent="0.3">
      <c r="A455" s="61"/>
      <c r="B455" s="61"/>
      <c r="C455" s="61"/>
      <c r="D455" s="61"/>
      <c r="E455" s="65"/>
      <c r="F455" s="65"/>
      <c r="G455" s="65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spans="1:26" ht="14.25" customHeight="1" x14ac:dyDescent="0.3">
      <c r="A456" s="61"/>
      <c r="B456" s="61"/>
      <c r="C456" s="61"/>
      <c r="D456" s="61"/>
      <c r="E456" s="65"/>
      <c r="F456" s="65"/>
      <c r="G456" s="65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spans="1:26" ht="14.25" customHeight="1" x14ac:dyDescent="0.3">
      <c r="A457" s="61"/>
      <c r="B457" s="61"/>
      <c r="C457" s="61"/>
      <c r="D457" s="61"/>
      <c r="E457" s="65"/>
      <c r="F457" s="65"/>
      <c r="G457" s="65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spans="1:26" ht="14.25" customHeight="1" x14ac:dyDescent="0.3">
      <c r="A458" s="61"/>
      <c r="B458" s="61"/>
      <c r="C458" s="61"/>
      <c r="D458" s="61"/>
      <c r="E458" s="65"/>
      <c r="F458" s="65"/>
      <c r="G458" s="65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spans="1:26" ht="14.25" customHeight="1" x14ac:dyDescent="0.3">
      <c r="A459" s="61"/>
      <c r="B459" s="61"/>
      <c r="C459" s="61"/>
      <c r="D459" s="61"/>
      <c r="E459" s="65"/>
      <c r="F459" s="65"/>
      <c r="G459" s="65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spans="1:26" ht="14.25" customHeight="1" x14ac:dyDescent="0.3">
      <c r="A460" s="61"/>
      <c r="B460" s="61"/>
      <c r="C460" s="61"/>
      <c r="D460" s="61"/>
      <c r="E460" s="65"/>
      <c r="F460" s="65"/>
      <c r="G460" s="65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spans="1:26" ht="14.25" customHeight="1" x14ac:dyDescent="0.3">
      <c r="A461" s="61"/>
      <c r="B461" s="61"/>
      <c r="C461" s="61"/>
      <c r="D461" s="61"/>
      <c r="E461" s="65"/>
      <c r="F461" s="65"/>
      <c r="G461" s="65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spans="1:26" ht="14.25" customHeight="1" x14ac:dyDescent="0.3">
      <c r="A462" s="61"/>
      <c r="B462" s="61"/>
      <c r="C462" s="61"/>
      <c r="D462" s="61"/>
      <c r="E462" s="65"/>
      <c r="F462" s="65"/>
      <c r="G462" s="65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spans="1:26" ht="14.25" customHeight="1" x14ac:dyDescent="0.3">
      <c r="A463" s="61"/>
      <c r="B463" s="61"/>
      <c r="C463" s="61"/>
      <c r="D463" s="61"/>
      <c r="E463" s="65"/>
      <c r="F463" s="65"/>
      <c r="G463" s="65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spans="1:26" ht="14.25" customHeight="1" x14ac:dyDescent="0.3">
      <c r="A464" s="61"/>
      <c r="B464" s="61"/>
      <c r="C464" s="61"/>
      <c r="D464" s="61"/>
      <c r="E464" s="65"/>
      <c r="F464" s="65"/>
      <c r="G464" s="65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spans="1:26" ht="14.25" customHeight="1" x14ac:dyDescent="0.3">
      <c r="A465" s="61"/>
      <c r="B465" s="61"/>
      <c r="C465" s="61"/>
      <c r="D465" s="61"/>
      <c r="E465" s="65"/>
      <c r="F465" s="65"/>
      <c r="G465" s="65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spans="1:26" ht="14.25" customHeight="1" x14ac:dyDescent="0.3">
      <c r="A466" s="61"/>
      <c r="B466" s="61"/>
      <c r="C466" s="61"/>
      <c r="D466" s="61"/>
      <c r="E466" s="65"/>
      <c r="F466" s="65"/>
      <c r="G466" s="65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spans="1:26" ht="14.25" customHeight="1" x14ac:dyDescent="0.3">
      <c r="A467" s="61"/>
      <c r="B467" s="61"/>
      <c r="C467" s="61"/>
      <c r="D467" s="61"/>
      <c r="E467" s="65"/>
      <c r="F467" s="65"/>
      <c r="G467" s="65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spans="1:26" ht="14.25" customHeight="1" x14ac:dyDescent="0.3">
      <c r="A468" s="61"/>
      <c r="B468" s="61"/>
      <c r="C468" s="61"/>
      <c r="D468" s="61"/>
      <c r="E468" s="65"/>
      <c r="F468" s="65"/>
      <c r="G468" s="65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spans="1:26" ht="14.25" customHeight="1" x14ac:dyDescent="0.3">
      <c r="A469" s="61"/>
      <c r="B469" s="61"/>
      <c r="C469" s="61"/>
      <c r="D469" s="61"/>
      <c r="E469" s="65"/>
      <c r="F469" s="65"/>
      <c r="G469" s="65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spans="1:26" ht="14.25" customHeight="1" x14ac:dyDescent="0.3">
      <c r="A470" s="61"/>
      <c r="B470" s="61"/>
      <c r="C470" s="61"/>
      <c r="D470" s="61"/>
      <c r="E470" s="65"/>
      <c r="F470" s="65"/>
      <c r="G470" s="65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spans="1:26" ht="14.25" customHeight="1" x14ac:dyDescent="0.3">
      <c r="A471" s="61"/>
      <c r="B471" s="61"/>
      <c r="C471" s="61"/>
      <c r="D471" s="61"/>
      <c r="E471" s="65"/>
      <c r="F471" s="65"/>
      <c r="G471" s="65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spans="1:26" ht="14.25" customHeight="1" x14ac:dyDescent="0.3">
      <c r="A472" s="61"/>
      <c r="B472" s="61"/>
      <c r="C472" s="61"/>
      <c r="D472" s="61"/>
      <c r="E472" s="65"/>
      <c r="F472" s="65"/>
      <c r="G472" s="65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spans="1:26" ht="14.25" customHeight="1" x14ac:dyDescent="0.3">
      <c r="A473" s="61"/>
      <c r="B473" s="61"/>
      <c r="C473" s="61"/>
      <c r="D473" s="61"/>
      <c r="E473" s="65"/>
      <c r="F473" s="65"/>
      <c r="G473" s="65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spans="1:26" ht="14.25" customHeight="1" x14ac:dyDescent="0.3">
      <c r="A474" s="61"/>
      <c r="B474" s="61"/>
      <c r="C474" s="61"/>
      <c r="D474" s="61"/>
      <c r="E474" s="65"/>
      <c r="F474" s="65"/>
      <c r="G474" s="65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spans="1:26" ht="14.25" customHeight="1" x14ac:dyDescent="0.3">
      <c r="A475" s="61"/>
      <c r="B475" s="61"/>
      <c r="C475" s="61"/>
      <c r="D475" s="61"/>
      <c r="E475" s="65"/>
      <c r="F475" s="65"/>
      <c r="G475" s="65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spans="1:26" ht="14.25" customHeight="1" x14ac:dyDescent="0.3">
      <c r="A476" s="61"/>
      <c r="B476" s="61"/>
      <c r="C476" s="61"/>
      <c r="D476" s="61"/>
      <c r="E476" s="65"/>
      <c r="F476" s="65"/>
      <c r="G476" s="65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spans="1:26" ht="14.25" customHeight="1" x14ac:dyDescent="0.3">
      <c r="A477" s="61"/>
      <c r="B477" s="61"/>
      <c r="C477" s="61"/>
      <c r="D477" s="61"/>
      <c r="E477" s="65"/>
      <c r="F477" s="65"/>
      <c r="G477" s="65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spans="1:26" ht="14.25" customHeight="1" x14ac:dyDescent="0.3">
      <c r="A478" s="61"/>
      <c r="B478" s="61"/>
      <c r="C478" s="61"/>
      <c r="D478" s="61"/>
      <c r="E478" s="65"/>
      <c r="F478" s="65"/>
      <c r="G478" s="65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spans="1:26" ht="14.25" customHeight="1" x14ac:dyDescent="0.3">
      <c r="A479" s="61"/>
      <c r="B479" s="61"/>
      <c r="C479" s="61"/>
      <c r="D479" s="61"/>
      <c r="E479" s="65"/>
      <c r="F479" s="65"/>
      <c r="G479" s="65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spans="1:26" ht="14.25" customHeight="1" x14ac:dyDescent="0.3">
      <c r="A480" s="61"/>
      <c r="B480" s="61"/>
      <c r="C480" s="61"/>
      <c r="D480" s="61"/>
      <c r="E480" s="65"/>
      <c r="F480" s="65"/>
      <c r="G480" s="65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spans="1:26" ht="14.25" customHeight="1" x14ac:dyDescent="0.3">
      <c r="A481" s="61"/>
      <c r="B481" s="61"/>
      <c r="C481" s="61"/>
      <c r="D481" s="61"/>
      <c r="E481" s="65"/>
      <c r="F481" s="65"/>
      <c r="G481" s="65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spans="1:26" ht="14.25" customHeight="1" x14ac:dyDescent="0.3">
      <c r="A482" s="61"/>
      <c r="B482" s="61"/>
      <c r="C482" s="61"/>
      <c r="D482" s="61"/>
      <c r="E482" s="65"/>
      <c r="F482" s="65"/>
      <c r="G482" s="65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spans="1:26" ht="14.25" customHeight="1" x14ac:dyDescent="0.3">
      <c r="A483" s="61"/>
      <c r="B483" s="61"/>
      <c r="C483" s="61"/>
      <c r="D483" s="61"/>
      <c r="E483" s="65"/>
      <c r="F483" s="65"/>
      <c r="G483" s="65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spans="1:26" ht="14.25" customHeight="1" x14ac:dyDescent="0.3">
      <c r="A484" s="61"/>
      <c r="B484" s="61"/>
      <c r="C484" s="61"/>
      <c r="D484" s="61"/>
      <c r="E484" s="65"/>
      <c r="F484" s="65"/>
      <c r="G484" s="65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spans="1:26" ht="14.25" customHeight="1" x14ac:dyDescent="0.3">
      <c r="A485" s="61"/>
      <c r="B485" s="61"/>
      <c r="C485" s="61"/>
      <c r="D485" s="61"/>
      <c r="E485" s="65"/>
      <c r="F485" s="65"/>
      <c r="G485" s="65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spans="1:26" ht="14.25" customHeight="1" x14ac:dyDescent="0.3">
      <c r="A486" s="61"/>
      <c r="B486" s="61"/>
      <c r="C486" s="61"/>
      <c r="D486" s="61"/>
      <c r="E486" s="65"/>
      <c r="F486" s="65"/>
      <c r="G486" s="65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spans="1:26" ht="14.25" customHeight="1" x14ac:dyDescent="0.3">
      <c r="A487" s="61"/>
      <c r="B487" s="61"/>
      <c r="C487" s="61"/>
      <c r="D487" s="61"/>
      <c r="E487" s="65"/>
      <c r="F487" s="65"/>
      <c r="G487" s="65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spans="1:26" ht="14.25" customHeight="1" x14ac:dyDescent="0.3">
      <c r="A488" s="61"/>
      <c r="B488" s="61"/>
      <c r="C488" s="61"/>
      <c r="D488" s="61"/>
      <c r="E488" s="65"/>
      <c r="F488" s="65"/>
      <c r="G488" s="65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spans="1:26" ht="14.25" customHeight="1" x14ac:dyDescent="0.3">
      <c r="A489" s="61"/>
      <c r="B489" s="61"/>
      <c r="C489" s="61"/>
      <c r="D489" s="61"/>
      <c r="E489" s="65"/>
      <c r="F489" s="65"/>
      <c r="G489" s="65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spans="1:26" ht="14.25" customHeight="1" x14ac:dyDescent="0.3">
      <c r="A490" s="61"/>
      <c r="B490" s="61"/>
      <c r="C490" s="61"/>
      <c r="D490" s="61"/>
      <c r="E490" s="65"/>
      <c r="F490" s="65"/>
      <c r="G490" s="65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spans="1:26" ht="14.25" customHeight="1" x14ac:dyDescent="0.3">
      <c r="A491" s="61"/>
      <c r="B491" s="61"/>
      <c r="C491" s="61"/>
      <c r="D491" s="61"/>
      <c r="E491" s="65"/>
      <c r="F491" s="65"/>
      <c r="G491" s="65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spans="1:26" ht="14.25" customHeight="1" x14ac:dyDescent="0.3">
      <c r="A492" s="61"/>
      <c r="B492" s="61"/>
      <c r="C492" s="61"/>
      <c r="D492" s="61"/>
      <c r="E492" s="65"/>
      <c r="F492" s="65"/>
      <c r="G492" s="65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spans="1:26" ht="14.25" customHeight="1" x14ac:dyDescent="0.3">
      <c r="A493" s="61"/>
      <c r="B493" s="61"/>
      <c r="C493" s="61"/>
      <c r="D493" s="61"/>
      <c r="E493" s="65"/>
      <c r="F493" s="65"/>
      <c r="G493" s="65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spans="1:26" ht="14.25" customHeight="1" x14ac:dyDescent="0.3">
      <c r="A494" s="61"/>
      <c r="B494" s="61"/>
      <c r="C494" s="61"/>
      <c r="D494" s="61"/>
      <c r="E494" s="65"/>
      <c r="F494" s="65"/>
      <c r="G494" s="65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spans="1:26" ht="14.25" customHeight="1" x14ac:dyDescent="0.3">
      <c r="A495" s="61"/>
      <c r="B495" s="61"/>
      <c r="C495" s="61"/>
      <c r="D495" s="61"/>
      <c r="E495" s="65"/>
      <c r="F495" s="65"/>
      <c r="G495" s="65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spans="1:26" ht="14.25" customHeight="1" x14ac:dyDescent="0.3">
      <c r="A496" s="61"/>
      <c r="B496" s="61"/>
      <c r="C496" s="61"/>
      <c r="D496" s="61"/>
      <c r="E496" s="65"/>
      <c r="F496" s="65"/>
      <c r="G496" s="65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spans="1:26" ht="14.25" customHeight="1" x14ac:dyDescent="0.3">
      <c r="A497" s="61"/>
      <c r="B497" s="61"/>
      <c r="C497" s="61"/>
      <c r="D497" s="61"/>
      <c r="E497" s="65"/>
      <c r="F497" s="65"/>
      <c r="G497" s="65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spans="1:26" ht="14.25" customHeight="1" x14ac:dyDescent="0.3">
      <c r="A498" s="61"/>
      <c r="B498" s="61"/>
      <c r="C498" s="61"/>
      <c r="D498" s="61"/>
      <c r="E498" s="65"/>
      <c r="F498" s="65"/>
      <c r="G498" s="65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spans="1:26" ht="14.25" customHeight="1" x14ac:dyDescent="0.3">
      <c r="A499" s="61"/>
      <c r="B499" s="61"/>
      <c r="C499" s="61"/>
      <c r="D499" s="61"/>
      <c r="E499" s="65"/>
      <c r="F499" s="65"/>
      <c r="G499" s="65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spans="1:26" ht="14.25" customHeight="1" x14ac:dyDescent="0.3">
      <c r="A500" s="61"/>
      <c r="B500" s="61"/>
      <c r="C500" s="61"/>
      <c r="D500" s="61"/>
      <c r="E500" s="65"/>
      <c r="F500" s="65"/>
      <c r="G500" s="65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spans="1:26" ht="14.25" customHeight="1" x14ac:dyDescent="0.3">
      <c r="A501" s="61"/>
      <c r="B501" s="61"/>
      <c r="C501" s="61"/>
      <c r="D501" s="61"/>
      <c r="E501" s="65"/>
      <c r="F501" s="65"/>
      <c r="G501" s="65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spans="1:26" ht="14.25" customHeight="1" x14ac:dyDescent="0.3">
      <c r="A502" s="61"/>
      <c r="B502" s="61"/>
      <c r="C502" s="61"/>
      <c r="D502" s="61"/>
      <c r="E502" s="65"/>
      <c r="F502" s="65"/>
      <c r="G502" s="65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spans="1:26" ht="14.25" customHeight="1" x14ac:dyDescent="0.3">
      <c r="A503" s="61"/>
      <c r="B503" s="61"/>
      <c r="C503" s="61"/>
      <c r="D503" s="61"/>
      <c r="E503" s="65"/>
      <c r="F503" s="65"/>
      <c r="G503" s="65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spans="1:26" ht="14.25" customHeight="1" x14ac:dyDescent="0.3">
      <c r="A504" s="61"/>
      <c r="B504" s="61"/>
      <c r="C504" s="61"/>
      <c r="D504" s="61"/>
      <c r="E504" s="65"/>
      <c r="F504" s="65"/>
      <c r="G504" s="65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spans="1:26" ht="14.25" customHeight="1" x14ac:dyDescent="0.3">
      <c r="A505" s="61"/>
      <c r="B505" s="61"/>
      <c r="C505" s="61"/>
      <c r="D505" s="61"/>
      <c r="E505" s="65"/>
      <c r="F505" s="65"/>
      <c r="G505" s="65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spans="1:26" ht="14.25" customHeight="1" x14ac:dyDescent="0.3">
      <c r="A506" s="61"/>
      <c r="B506" s="61"/>
      <c r="C506" s="61"/>
      <c r="D506" s="61"/>
      <c r="E506" s="65"/>
      <c r="F506" s="65"/>
      <c r="G506" s="65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spans="1:26" ht="14.25" customHeight="1" x14ac:dyDescent="0.3">
      <c r="A507" s="61"/>
      <c r="B507" s="61"/>
      <c r="C507" s="61"/>
      <c r="D507" s="61"/>
      <c r="E507" s="65"/>
      <c r="F507" s="65"/>
      <c r="G507" s="65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spans="1:26" ht="14.25" customHeight="1" x14ac:dyDescent="0.3">
      <c r="A508" s="61"/>
      <c r="B508" s="61"/>
      <c r="C508" s="61"/>
      <c r="D508" s="61"/>
      <c r="E508" s="65"/>
      <c r="F508" s="65"/>
      <c r="G508" s="65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spans="1:26" ht="14.25" customHeight="1" x14ac:dyDescent="0.3">
      <c r="A509" s="61"/>
      <c r="B509" s="61"/>
      <c r="C509" s="61"/>
      <c r="D509" s="61"/>
      <c r="E509" s="65"/>
      <c r="F509" s="65"/>
      <c r="G509" s="65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spans="1:26" ht="14.25" customHeight="1" x14ac:dyDescent="0.3">
      <c r="A510" s="61"/>
      <c r="B510" s="61"/>
      <c r="C510" s="61"/>
      <c r="D510" s="61"/>
      <c r="E510" s="65"/>
      <c r="F510" s="65"/>
      <c r="G510" s="65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spans="1:26" ht="14.25" customHeight="1" x14ac:dyDescent="0.3">
      <c r="A511" s="61"/>
      <c r="B511" s="61"/>
      <c r="C511" s="61"/>
      <c r="D511" s="61"/>
      <c r="E511" s="65"/>
      <c r="F511" s="65"/>
      <c r="G511" s="65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spans="1:26" ht="14.25" customHeight="1" x14ac:dyDescent="0.3">
      <c r="A512" s="61"/>
      <c r="B512" s="61"/>
      <c r="C512" s="61"/>
      <c r="D512" s="61"/>
      <c r="E512" s="65"/>
      <c r="F512" s="65"/>
      <c r="G512" s="65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spans="1:26" ht="14.25" customHeight="1" x14ac:dyDescent="0.3">
      <c r="A513" s="61"/>
      <c r="B513" s="61"/>
      <c r="C513" s="61"/>
      <c r="D513" s="61"/>
      <c r="E513" s="65"/>
      <c r="F513" s="65"/>
      <c r="G513" s="65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spans="1:26" ht="14.25" customHeight="1" x14ac:dyDescent="0.3">
      <c r="A514" s="61"/>
      <c r="B514" s="61"/>
      <c r="C514" s="61"/>
      <c r="D514" s="61"/>
      <c r="E514" s="65"/>
      <c r="F514" s="65"/>
      <c r="G514" s="65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spans="1:26" ht="14.25" customHeight="1" x14ac:dyDescent="0.3">
      <c r="A515" s="61"/>
      <c r="B515" s="61"/>
      <c r="C515" s="61"/>
      <c r="D515" s="61"/>
      <c r="E515" s="65"/>
      <c r="F515" s="65"/>
      <c r="G515" s="65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spans="1:26" ht="14.25" customHeight="1" x14ac:dyDescent="0.3">
      <c r="A516" s="61"/>
      <c r="B516" s="61"/>
      <c r="C516" s="61"/>
      <c r="D516" s="61"/>
      <c r="E516" s="65"/>
      <c r="F516" s="65"/>
      <c r="G516" s="65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spans="1:26" ht="14.25" customHeight="1" x14ac:dyDescent="0.3">
      <c r="A517" s="61"/>
      <c r="B517" s="61"/>
      <c r="C517" s="61"/>
      <c r="D517" s="61"/>
      <c r="E517" s="65"/>
      <c r="F517" s="65"/>
      <c r="G517" s="65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spans="1:26" ht="14.25" customHeight="1" x14ac:dyDescent="0.3">
      <c r="A518" s="61"/>
      <c r="B518" s="61"/>
      <c r="C518" s="61"/>
      <c r="D518" s="61"/>
      <c r="E518" s="65"/>
      <c r="F518" s="65"/>
      <c r="G518" s="65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spans="1:26" ht="14.25" customHeight="1" x14ac:dyDescent="0.3">
      <c r="A519" s="61"/>
      <c r="B519" s="61"/>
      <c r="C519" s="61"/>
      <c r="D519" s="61"/>
      <c r="E519" s="65"/>
      <c r="F519" s="65"/>
      <c r="G519" s="65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spans="1:26" ht="14.25" customHeight="1" x14ac:dyDescent="0.3">
      <c r="A520" s="61"/>
      <c r="B520" s="61"/>
      <c r="C520" s="61"/>
      <c r="D520" s="61"/>
      <c r="E520" s="65"/>
      <c r="F520" s="65"/>
      <c r="G520" s="65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spans="1:26" ht="14.25" customHeight="1" x14ac:dyDescent="0.3">
      <c r="A521" s="61"/>
      <c r="B521" s="61"/>
      <c r="C521" s="61"/>
      <c r="D521" s="61"/>
      <c r="E521" s="65"/>
      <c r="F521" s="65"/>
      <c r="G521" s="65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spans="1:26" ht="14.25" customHeight="1" x14ac:dyDescent="0.3">
      <c r="A522" s="61"/>
      <c r="B522" s="61"/>
      <c r="C522" s="61"/>
      <c r="D522" s="61"/>
      <c r="E522" s="65"/>
      <c r="F522" s="65"/>
      <c r="G522" s="65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spans="1:26" ht="14.25" customHeight="1" x14ac:dyDescent="0.3">
      <c r="A523" s="61"/>
      <c r="B523" s="61"/>
      <c r="C523" s="61"/>
      <c r="D523" s="61"/>
      <c r="E523" s="65"/>
      <c r="F523" s="65"/>
      <c r="G523" s="65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spans="1:26" ht="14.25" customHeight="1" x14ac:dyDescent="0.3">
      <c r="A524" s="61"/>
      <c r="B524" s="61"/>
      <c r="C524" s="61"/>
      <c r="D524" s="61"/>
      <c r="E524" s="65"/>
      <c r="F524" s="65"/>
      <c r="G524" s="65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spans="1:26" ht="14.25" customHeight="1" x14ac:dyDescent="0.3">
      <c r="A525" s="61"/>
      <c r="B525" s="61"/>
      <c r="C525" s="61"/>
      <c r="D525" s="61"/>
      <c r="E525" s="65"/>
      <c r="F525" s="65"/>
      <c r="G525" s="65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spans="1:26" ht="14.25" customHeight="1" x14ac:dyDescent="0.3">
      <c r="A526" s="61"/>
      <c r="B526" s="61"/>
      <c r="C526" s="61"/>
      <c r="D526" s="61"/>
      <c r="E526" s="65"/>
      <c r="F526" s="65"/>
      <c r="G526" s="65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spans="1:26" ht="14.25" customHeight="1" x14ac:dyDescent="0.3">
      <c r="A527" s="61"/>
      <c r="B527" s="61"/>
      <c r="C527" s="61"/>
      <c r="D527" s="61"/>
      <c r="E527" s="65"/>
      <c r="F527" s="65"/>
      <c r="G527" s="65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spans="1:26" ht="14.25" customHeight="1" x14ac:dyDescent="0.3">
      <c r="A528" s="61"/>
      <c r="B528" s="61"/>
      <c r="C528" s="61"/>
      <c r="D528" s="61"/>
      <c r="E528" s="65"/>
      <c r="F528" s="65"/>
      <c r="G528" s="65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spans="1:26" ht="14.25" customHeight="1" x14ac:dyDescent="0.3">
      <c r="A529" s="61"/>
      <c r="B529" s="61"/>
      <c r="C529" s="61"/>
      <c r="D529" s="61"/>
      <c r="E529" s="65"/>
      <c r="F529" s="65"/>
      <c r="G529" s="65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spans="1:26" ht="14.25" customHeight="1" x14ac:dyDescent="0.3">
      <c r="A530" s="61"/>
      <c r="B530" s="61"/>
      <c r="C530" s="61"/>
      <c r="D530" s="61"/>
      <c r="E530" s="65"/>
      <c r="F530" s="65"/>
      <c r="G530" s="65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spans="1:26" ht="14.25" customHeight="1" x14ac:dyDescent="0.3">
      <c r="A531" s="61"/>
      <c r="B531" s="61"/>
      <c r="C531" s="61"/>
      <c r="D531" s="61"/>
      <c r="E531" s="65"/>
      <c r="F531" s="65"/>
      <c r="G531" s="65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spans="1:26" ht="14.25" customHeight="1" x14ac:dyDescent="0.3">
      <c r="A532" s="61"/>
      <c r="B532" s="61"/>
      <c r="C532" s="61"/>
      <c r="D532" s="61"/>
      <c r="E532" s="65"/>
      <c r="F532" s="65"/>
      <c r="G532" s="65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spans="1:26" ht="14.25" customHeight="1" x14ac:dyDescent="0.3">
      <c r="A533" s="61"/>
      <c r="B533" s="61"/>
      <c r="C533" s="61"/>
      <c r="D533" s="61"/>
      <c r="E533" s="65"/>
      <c r="F533" s="65"/>
      <c r="G533" s="65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spans="1:26" ht="14.25" customHeight="1" x14ac:dyDescent="0.3">
      <c r="A534" s="61"/>
      <c r="B534" s="61"/>
      <c r="C534" s="61"/>
      <c r="D534" s="61"/>
      <c r="E534" s="65"/>
      <c r="F534" s="65"/>
      <c r="G534" s="65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spans="1:26" ht="14.25" customHeight="1" x14ac:dyDescent="0.3">
      <c r="A535" s="61"/>
      <c r="B535" s="61"/>
      <c r="C535" s="61"/>
      <c r="D535" s="61"/>
      <c r="E535" s="65"/>
      <c r="F535" s="65"/>
      <c r="G535" s="65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spans="1:26" ht="14.25" customHeight="1" x14ac:dyDescent="0.3">
      <c r="A536" s="61"/>
      <c r="B536" s="61"/>
      <c r="C536" s="61"/>
      <c r="D536" s="61"/>
      <c r="E536" s="65"/>
      <c r="F536" s="65"/>
      <c r="G536" s="65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spans="1:26" ht="14.25" customHeight="1" x14ac:dyDescent="0.3">
      <c r="A537" s="61"/>
      <c r="B537" s="61"/>
      <c r="C537" s="61"/>
      <c r="D537" s="61"/>
      <c r="E537" s="65"/>
      <c r="F537" s="65"/>
      <c r="G537" s="65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spans="1:26" ht="14.25" customHeight="1" x14ac:dyDescent="0.3">
      <c r="A538" s="61"/>
      <c r="B538" s="61"/>
      <c r="C538" s="61"/>
      <c r="D538" s="61"/>
      <c r="E538" s="65"/>
      <c r="F538" s="65"/>
      <c r="G538" s="65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spans="1:26" ht="14.25" customHeight="1" x14ac:dyDescent="0.3">
      <c r="A539" s="61"/>
      <c r="B539" s="61"/>
      <c r="C539" s="61"/>
      <c r="D539" s="61"/>
      <c r="E539" s="65"/>
      <c r="F539" s="65"/>
      <c r="G539" s="65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spans="1:26" ht="14.25" customHeight="1" x14ac:dyDescent="0.3">
      <c r="A540" s="61"/>
      <c r="B540" s="61"/>
      <c r="C540" s="61"/>
      <c r="D540" s="61"/>
      <c r="E540" s="65"/>
      <c r="F540" s="65"/>
      <c r="G540" s="65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spans="1:26" ht="14.25" customHeight="1" x14ac:dyDescent="0.3">
      <c r="A541" s="61"/>
      <c r="B541" s="61"/>
      <c r="C541" s="61"/>
      <c r="D541" s="61"/>
      <c r="E541" s="65"/>
      <c r="F541" s="65"/>
      <c r="G541" s="65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spans="1:26" ht="14.25" customHeight="1" x14ac:dyDescent="0.3">
      <c r="A542" s="61"/>
      <c r="B542" s="61"/>
      <c r="C542" s="61"/>
      <c r="D542" s="61"/>
      <c r="E542" s="65"/>
      <c r="F542" s="65"/>
      <c r="G542" s="65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spans="1:26" ht="14.25" customHeight="1" x14ac:dyDescent="0.3">
      <c r="A543" s="61"/>
      <c r="B543" s="61"/>
      <c r="C543" s="61"/>
      <c r="D543" s="61"/>
      <c r="E543" s="65"/>
      <c r="F543" s="65"/>
      <c r="G543" s="65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spans="1:26" ht="14.25" customHeight="1" x14ac:dyDescent="0.3">
      <c r="A544" s="61"/>
      <c r="B544" s="61"/>
      <c r="C544" s="61"/>
      <c r="D544" s="61"/>
      <c r="E544" s="65"/>
      <c r="F544" s="65"/>
      <c r="G544" s="65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spans="1:26" ht="14.25" customHeight="1" x14ac:dyDescent="0.3">
      <c r="A545" s="61"/>
      <c r="B545" s="61"/>
      <c r="C545" s="61"/>
      <c r="D545" s="61"/>
      <c r="E545" s="65"/>
      <c r="F545" s="65"/>
      <c r="G545" s="65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spans="1:26" ht="14.25" customHeight="1" x14ac:dyDescent="0.3">
      <c r="A546" s="61"/>
      <c r="B546" s="61"/>
      <c r="C546" s="61"/>
      <c r="D546" s="61"/>
      <c r="E546" s="65"/>
      <c r="F546" s="65"/>
      <c r="G546" s="65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spans="1:26" ht="14.25" customHeight="1" x14ac:dyDescent="0.3">
      <c r="A547" s="61"/>
      <c r="B547" s="61"/>
      <c r="C547" s="61"/>
      <c r="D547" s="61"/>
      <c r="E547" s="65"/>
      <c r="F547" s="65"/>
      <c r="G547" s="65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spans="1:26" ht="14.25" customHeight="1" x14ac:dyDescent="0.3">
      <c r="A548" s="61"/>
      <c r="B548" s="61"/>
      <c r="C548" s="61"/>
      <c r="D548" s="61"/>
      <c r="E548" s="65"/>
      <c r="F548" s="65"/>
      <c r="G548" s="65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spans="1:26" ht="14.25" customHeight="1" x14ac:dyDescent="0.3">
      <c r="A549" s="61"/>
      <c r="B549" s="61"/>
      <c r="C549" s="61"/>
      <c r="D549" s="61"/>
      <c r="E549" s="65"/>
      <c r="F549" s="65"/>
      <c r="G549" s="65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spans="1:26" ht="14.25" customHeight="1" x14ac:dyDescent="0.3">
      <c r="A550" s="61"/>
      <c r="B550" s="61"/>
      <c r="C550" s="61"/>
      <c r="D550" s="61"/>
      <c r="E550" s="65"/>
      <c r="F550" s="65"/>
      <c r="G550" s="65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spans="1:26" ht="14.25" customHeight="1" x14ac:dyDescent="0.3">
      <c r="A551" s="61"/>
      <c r="B551" s="61"/>
      <c r="C551" s="61"/>
      <c r="D551" s="61"/>
      <c r="E551" s="65"/>
      <c r="F551" s="65"/>
      <c r="G551" s="65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spans="1:26" ht="14.25" customHeight="1" x14ac:dyDescent="0.3">
      <c r="A552" s="61"/>
      <c r="B552" s="61"/>
      <c r="C552" s="61"/>
      <c r="D552" s="61"/>
      <c r="E552" s="65"/>
      <c r="F552" s="65"/>
      <c r="G552" s="65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spans="1:26" ht="14.25" customHeight="1" x14ac:dyDescent="0.3">
      <c r="A553" s="61"/>
      <c r="B553" s="61"/>
      <c r="C553" s="61"/>
      <c r="D553" s="61"/>
      <c r="E553" s="65"/>
      <c r="F553" s="65"/>
      <c r="G553" s="65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spans="1:26" ht="14.25" customHeight="1" x14ac:dyDescent="0.3">
      <c r="A554" s="61"/>
      <c r="B554" s="61"/>
      <c r="C554" s="61"/>
      <c r="D554" s="61"/>
      <c r="E554" s="65"/>
      <c r="F554" s="65"/>
      <c r="G554" s="65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spans="1:26" ht="14.25" customHeight="1" x14ac:dyDescent="0.3">
      <c r="A555" s="61"/>
      <c r="B555" s="61"/>
      <c r="C555" s="61"/>
      <c r="D555" s="61"/>
      <c r="E555" s="65"/>
      <c r="F555" s="65"/>
      <c r="G555" s="65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spans="1:26" ht="14.25" customHeight="1" x14ac:dyDescent="0.3">
      <c r="A556" s="61"/>
      <c r="B556" s="61"/>
      <c r="C556" s="61"/>
      <c r="D556" s="61"/>
      <c r="E556" s="65"/>
      <c r="F556" s="65"/>
      <c r="G556" s="65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spans="1:26" ht="14.25" customHeight="1" x14ac:dyDescent="0.3">
      <c r="A557" s="61"/>
      <c r="B557" s="61"/>
      <c r="C557" s="61"/>
      <c r="D557" s="61"/>
      <c r="E557" s="65"/>
      <c r="F557" s="65"/>
      <c r="G557" s="65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spans="1:26" ht="14.25" customHeight="1" x14ac:dyDescent="0.3">
      <c r="A558" s="61"/>
      <c r="B558" s="61"/>
      <c r="C558" s="61"/>
      <c r="D558" s="61"/>
      <c r="E558" s="65"/>
      <c r="F558" s="65"/>
      <c r="G558" s="65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spans="1:26" ht="14.25" customHeight="1" x14ac:dyDescent="0.3">
      <c r="A559" s="61"/>
      <c r="B559" s="61"/>
      <c r="C559" s="61"/>
      <c r="D559" s="61"/>
      <c r="E559" s="65"/>
      <c r="F559" s="65"/>
      <c r="G559" s="65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spans="1:26" ht="14.25" customHeight="1" x14ac:dyDescent="0.3">
      <c r="A560" s="61"/>
      <c r="B560" s="61"/>
      <c r="C560" s="61"/>
      <c r="D560" s="61"/>
      <c r="E560" s="65"/>
      <c r="F560" s="65"/>
      <c r="G560" s="65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spans="1:26" ht="14.25" customHeight="1" x14ac:dyDescent="0.3">
      <c r="A561" s="61"/>
      <c r="B561" s="61"/>
      <c r="C561" s="61"/>
      <c r="D561" s="61"/>
      <c r="E561" s="65"/>
      <c r="F561" s="65"/>
      <c r="G561" s="65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spans="1:26" ht="14.25" customHeight="1" x14ac:dyDescent="0.3">
      <c r="A562" s="61"/>
      <c r="B562" s="61"/>
      <c r="C562" s="61"/>
      <c r="D562" s="61"/>
      <c r="E562" s="65"/>
      <c r="F562" s="65"/>
      <c r="G562" s="65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spans="1:26" ht="14.25" customHeight="1" x14ac:dyDescent="0.3">
      <c r="A563" s="61"/>
      <c r="B563" s="61"/>
      <c r="C563" s="61"/>
      <c r="D563" s="61"/>
      <c r="E563" s="65"/>
      <c r="F563" s="65"/>
      <c r="G563" s="65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spans="1:26" ht="14.25" customHeight="1" x14ac:dyDescent="0.3">
      <c r="A564" s="61"/>
      <c r="B564" s="61"/>
      <c r="C564" s="61"/>
      <c r="D564" s="61"/>
      <c r="E564" s="65"/>
      <c r="F564" s="65"/>
      <c r="G564" s="65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spans="1:26" ht="14.25" customHeight="1" x14ac:dyDescent="0.3">
      <c r="A565" s="61"/>
      <c r="B565" s="61"/>
      <c r="C565" s="61"/>
      <c r="D565" s="61"/>
      <c r="E565" s="65"/>
      <c r="F565" s="65"/>
      <c r="G565" s="65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spans="1:26" ht="14.25" customHeight="1" x14ac:dyDescent="0.3">
      <c r="A566" s="61"/>
      <c r="B566" s="61"/>
      <c r="C566" s="61"/>
      <c r="D566" s="61"/>
      <c r="E566" s="65"/>
      <c r="F566" s="65"/>
      <c r="G566" s="65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spans="1:26" ht="14.25" customHeight="1" x14ac:dyDescent="0.3">
      <c r="A567" s="61"/>
      <c r="B567" s="61"/>
      <c r="C567" s="61"/>
      <c r="D567" s="61"/>
      <c r="E567" s="65"/>
      <c r="F567" s="65"/>
      <c r="G567" s="65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spans="1:26" ht="14.25" customHeight="1" x14ac:dyDescent="0.3">
      <c r="A568" s="61"/>
      <c r="B568" s="61"/>
      <c r="C568" s="61"/>
      <c r="D568" s="61"/>
      <c r="E568" s="65"/>
      <c r="F568" s="65"/>
      <c r="G568" s="65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spans="1:26" ht="14.25" customHeight="1" x14ac:dyDescent="0.3">
      <c r="A569" s="61"/>
      <c r="B569" s="61"/>
      <c r="C569" s="61"/>
      <c r="D569" s="61"/>
      <c r="E569" s="65"/>
      <c r="F569" s="65"/>
      <c r="G569" s="65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spans="1:26" ht="14.25" customHeight="1" x14ac:dyDescent="0.3">
      <c r="A570" s="61"/>
      <c r="B570" s="61"/>
      <c r="C570" s="61"/>
      <c r="D570" s="61"/>
      <c r="E570" s="65"/>
      <c r="F570" s="65"/>
      <c r="G570" s="65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spans="1:26" ht="14.25" customHeight="1" x14ac:dyDescent="0.3">
      <c r="A571" s="61"/>
      <c r="B571" s="61"/>
      <c r="C571" s="61"/>
      <c r="D571" s="61"/>
      <c r="E571" s="65"/>
      <c r="F571" s="65"/>
      <c r="G571" s="65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spans="1:26" ht="14.25" customHeight="1" x14ac:dyDescent="0.3">
      <c r="A572" s="61"/>
      <c r="B572" s="61"/>
      <c r="C572" s="61"/>
      <c r="D572" s="61"/>
      <c r="E572" s="65"/>
      <c r="F572" s="65"/>
      <c r="G572" s="65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spans="1:26" ht="14.25" customHeight="1" x14ac:dyDescent="0.3">
      <c r="A573" s="61"/>
      <c r="B573" s="61"/>
      <c r="C573" s="61"/>
      <c r="D573" s="61"/>
      <c r="E573" s="65"/>
      <c r="F573" s="65"/>
      <c r="G573" s="65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spans="1:26" ht="14.25" customHeight="1" x14ac:dyDescent="0.3">
      <c r="A574" s="61"/>
      <c r="B574" s="61"/>
      <c r="C574" s="61"/>
      <c r="D574" s="61"/>
      <c r="E574" s="65"/>
      <c r="F574" s="65"/>
      <c r="G574" s="65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spans="1:26" ht="14.25" customHeight="1" x14ac:dyDescent="0.3">
      <c r="A575" s="61"/>
      <c r="B575" s="61"/>
      <c r="C575" s="61"/>
      <c r="D575" s="61"/>
      <c r="E575" s="65"/>
      <c r="F575" s="65"/>
      <c r="G575" s="65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spans="1:26" ht="14.25" customHeight="1" x14ac:dyDescent="0.3">
      <c r="A576" s="61"/>
      <c r="B576" s="61"/>
      <c r="C576" s="61"/>
      <c r="D576" s="61"/>
      <c r="E576" s="65"/>
      <c r="F576" s="65"/>
      <c r="G576" s="65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spans="1:26" ht="14.25" customHeight="1" x14ac:dyDescent="0.3">
      <c r="A577" s="61"/>
      <c r="B577" s="61"/>
      <c r="C577" s="61"/>
      <c r="D577" s="61"/>
      <c r="E577" s="65"/>
      <c r="F577" s="65"/>
      <c r="G577" s="65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spans="1:26" ht="14.25" customHeight="1" x14ac:dyDescent="0.3">
      <c r="A578" s="61"/>
      <c r="B578" s="61"/>
      <c r="C578" s="61"/>
      <c r="D578" s="61"/>
      <c r="E578" s="65"/>
      <c r="F578" s="65"/>
      <c r="G578" s="65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spans="1:26" ht="14.25" customHeight="1" x14ac:dyDescent="0.3">
      <c r="A579" s="61"/>
      <c r="B579" s="61"/>
      <c r="C579" s="61"/>
      <c r="D579" s="61"/>
      <c r="E579" s="65"/>
      <c r="F579" s="65"/>
      <c r="G579" s="65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spans="1:26" ht="14.25" customHeight="1" x14ac:dyDescent="0.3">
      <c r="A580" s="61"/>
      <c r="B580" s="61"/>
      <c r="C580" s="61"/>
      <c r="D580" s="61"/>
      <c r="E580" s="65"/>
      <c r="F580" s="65"/>
      <c r="G580" s="65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spans="1:26" ht="14.25" customHeight="1" x14ac:dyDescent="0.3">
      <c r="A581" s="61"/>
      <c r="B581" s="61"/>
      <c r="C581" s="61"/>
      <c r="D581" s="61"/>
      <c r="E581" s="65"/>
      <c r="F581" s="65"/>
      <c r="G581" s="65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spans="1:26" ht="14.25" customHeight="1" x14ac:dyDescent="0.3">
      <c r="A582" s="61"/>
      <c r="B582" s="61"/>
      <c r="C582" s="61"/>
      <c r="D582" s="61"/>
      <c r="E582" s="65"/>
      <c r="F582" s="65"/>
      <c r="G582" s="65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spans="1:26" ht="14.25" customHeight="1" x14ac:dyDescent="0.3">
      <c r="A583" s="61"/>
      <c r="B583" s="61"/>
      <c r="C583" s="61"/>
      <c r="D583" s="61"/>
      <c r="E583" s="65"/>
      <c r="F583" s="65"/>
      <c r="G583" s="65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spans="1:26" ht="14.25" customHeight="1" x14ac:dyDescent="0.3">
      <c r="A584" s="61"/>
      <c r="B584" s="61"/>
      <c r="C584" s="61"/>
      <c r="D584" s="61"/>
      <c r="E584" s="65"/>
      <c r="F584" s="65"/>
      <c r="G584" s="65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spans="1:26" ht="14.25" customHeight="1" x14ac:dyDescent="0.3">
      <c r="A585" s="61"/>
      <c r="B585" s="61"/>
      <c r="C585" s="61"/>
      <c r="D585" s="61"/>
      <c r="E585" s="65"/>
      <c r="F585" s="65"/>
      <c r="G585" s="65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spans="1:26" ht="14.25" customHeight="1" x14ac:dyDescent="0.3">
      <c r="A586" s="61"/>
      <c r="B586" s="61"/>
      <c r="C586" s="61"/>
      <c r="D586" s="61"/>
      <c r="E586" s="65"/>
      <c r="F586" s="65"/>
      <c r="G586" s="65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spans="1:26" ht="14.25" customHeight="1" x14ac:dyDescent="0.3">
      <c r="A587" s="61"/>
      <c r="B587" s="61"/>
      <c r="C587" s="61"/>
      <c r="D587" s="61"/>
      <c r="E587" s="65"/>
      <c r="F587" s="65"/>
      <c r="G587" s="65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spans="1:26" ht="14.25" customHeight="1" x14ac:dyDescent="0.3">
      <c r="A588" s="61"/>
      <c r="B588" s="61"/>
      <c r="C588" s="61"/>
      <c r="D588" s="61"/>
      <c r="E588" s="65"/>
      <c r="F588" s="65"/>
      <c r="G588" s="65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spans="1:26" ht="14.25" customHeight="1" x14ac:dyDescent="0.3">
      <c r="A589" s="61"/>
      <c r="B589" s="61"/>
      <c r="C589" s="61"/>
      <c r="D589" s="61"/>
      <c r="E589" s="65"/>
      <c r="F589" s="65"/>
      <c r="G589" s="65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spans="1:26" ht="14.25" customHeight="1" x14ac:dyDescent="0.3">
      <c r="A590" s="61"/>
      <c r="B590" s="61"/>
      <c r="C590" s="61"/>
      <c r="D590" s="61"/>
      <c r="E590" s="65"/>
      <c r="F590" s="65"/>
      <c r="G590" s="65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spans="1:26" ht="14.25" customHeight="1" x14ac:dyDescent="0.3">
      <c r="A591" s="61"/>
      <c r="B591" s="61"/>
      <c r="C591" s="61"/>
      <c r="D591" s="61"/>
      <c r="E591" s="65"/>
      <c r="F591" s="65"/>
      <c r="G591" s="65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spans="1:26" ht="14.25" customHeight="1" x14ac:dyDescent="0.3">
      <c r="A592" s="61"/>
      <c r="B592" s="61"/>
      <c r="C592" s="61"/>
      <c r="D592" s="61"/>
      <c r="E592" s="65"/>
      <c r="F592" s="65"/>
      <c r="G592" s="65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spans="1:26" ht="14.25" customHeight="1" x14ac:dyDescent="0.3">
      <c r="A593" s="61"/>
      <c r="B593" s="61"/>
      <c r="C593" s="61"/>
      <c r="D593" s="61"/>
      <c r="E593" s="65"/>
      <c r="F593" s="65"/>
      <c r="G593" s="65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spans="1:26" ht="14.25" customHeight="1" x14ac:dyDescent="0.3">
      <c r="A594" s="61"/>
      <c r="B594" s="61"/>
      <c r="C594" s="61"/>
      <c r="D594" s="61"/>
      <c r="E594" s="65"/>
      <c r="F594" s="65"/>
      <c r="G594" s="65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spans="1:26" ht="14.25" customHeight="1" x14ac:dyDescent="0.3">
      <c r="A595" s="61"/>
      <c r="B595" s="61"/>
      <c r="C595" s="61"/>
      <c r="D595" s="61"/>
      <c r="E595" s="65"/>
      <c r="F595" s="65"/>
      <c r="G595" s="65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spans="1:26" ht="14.25" customHeight="1" x14ac:dyDescent="0.3">
      <c r="A596" s="61"/>
      <c r="B596" s="61"/>
      <c r="C596" s="61"/>
      <c r="D596" s="61"/>
      <c r="E596" s="65"/>
      <c r="F596" s="65"/>
      <c r="G596" s="65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spans="1:26" ht="14.25" customHeight="1" x14ac:dyDescent="0.3">
      <c r="A597" s="61"/>
      <c r="B597" s="61"/>
      <c r="C597" s="61"/>
      <c r="D597" s="61"/>
      <c r="E597" s="65"/>
      <c r="F597" s="65"/>
      <c r="G597" s="65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spans="1:26" ht="14.25" customHeight="1" x14ac:dyDescent="0.3">
      <c r="A598" s="61"/>
      <c r="B598" s="61"/>
      <c r="C598" s="61"/>
      <c r="D598" s="61"/>
      <c r="E598" s="65"/>
      <c r="F598" s="65"/>
      <c r="G598" s="65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spans="1:26" ht="14.25" customHeight="1" x14ac:dyDescent="0.3">
      <c r="A599" s="61"/>
      <c r="B599" s="61"/>
      <c r="C599" s="61"/>
      <c r="D599" s="61"/>
      <c r="E599" s="65"/>
      <c r="F599" s="65"/>
      <c r="G599" s="65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spans="1:26" ht="14.25" customHeight="1" x14ac:dyDescent="0.3">
      <c r="A600" s="61"/>
      <c r="B600" s="61"/>
      <c r="C600" s="61"/>
      <c r="D600" s="61"/>
      <c r="E600" s="65"/>
      <c r="F600" s="65"/>
      <c r="G600" s="65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spans="1:26" ht="14.25" customHeight="1" x14ac:dyDescent="0.3">
      <c r="A601" s="61"/>
      <c r="B601" s="61"/>
      <c r="C601" s="61"/>
      <c r="D601" s="61"/>
      <c r="E601" s="65"/>
      <c r="F601" s="65"/>
      <c r="G601" s="65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spans="1:26" ht="14.25" customHeight="1" x14ac:dyDescent="0.3">
      <c r="A602" s="61"/>
      <c r="B602" s="61"/>
      <c r="C602" s="61"/>
      <c r="D602" s="61"/>
      <c r="E602" s="65"/>
      <c r="F602" s="65"/>
      <c r="G602" s="65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spans="1:26" ht="14.25" customHeight="1" x14ac:dyDescent="0.3">
      <c r="A603" s="61"/>
      <c r="B603" s="61"/>
      <c r="C603" s="61"/>
      <c r="D603" s="61"/>
      <c r="E603" s="65"/>
      <c r="F603" s="65"/>
      <c r="G603" s="65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spans="1:26" ht="14.25" customHeight="1" x14ac:dyDescent="0.3">
      <c r="A604" s="61"/>
      <c r="B604" s="61"/>
      <c r="C604" s="61"/>
      <c r="D604" s="61"/>
      <c r="E604" s="65"/>
      <c r="F604" s="65"/>
      <c r="G604" s="65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spans="1:26" ht="14.25" customHeight="1" x14ac:dyDescent="0.3">
      <c r="A605" s="61"/>
      <c r="B605" s="61"/>
      <c r="C605" s="61"/>
      <c r="D605" s="61"/>
      <c r="E605" s="65"/>
      <c r="F605" s="65"/>
      <c r="G605" s="65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spans="1:26" ht="14.25" customHeight="1" x14ac:dyDescent="0.3">
      <c r="A606" s="61"/>
      <c r="B606" s="61"/>
      <c r="C606" s="61"/>
      <c r="D606" s="61"/>
      <c r="E606" s="65"/>
      <c r="F606" s="65"/>
      <c r="G606" s="65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spans="1:26" ht="14.25" customHeight="1" x14ac:dyDescent="0.3">
      <c r="A607" s="61"/>
      <c r="B607" s="61"/>
      <c r="C607" s="61"/>
      <c r="D607" s="61"/>
      <c r="E607" s="65"/>
      <c r="F607" s="65"/>
      <c r="G607" s="65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spans="1:26" ht="14.25" customHeight="1" x14ac:dyDescent="0.3">
      <c r="A608" s="61"/>
      <c r="B608" s="61"/>
      <c r="C608" s="61"/>
      <c r="D608" s="61"/>
      <c r="E608" s="65"/>
      <c r="F608" s="65"/>
      <c r="G608" s="65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spans="1:26" ht="14.25" customHeight="1" x14ac:dyDescent="0.3">
      <c r="A609" s="61"/>
      <c r="B609" s="61"/>
      <c r="C609" s="61"/>
      <c r="D609" s="61"/>
      <c r="E609" s="65"/>
      <c r="F609" s="65"/>
      <c r="G609" s="65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spans="1:26" ht="14.25" customHeight="1" x14ac:dyDescent="0.3">
      <c r="A610" s="61"/>
      <c r="B610" s="61"/>
      <c r="C610" s="61"/>
      <c r="D610" s="61"/>
      <c r="E610" s="65"/>
      <c r="F610" s="65"/>
      <c r="G610" s="65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spans="1:26" ht="14.25" customHeight="1" x14ac:dyDescent="0.3">
      <c r="A611" s="61"/>
      <c r="B611" s="61"/>
      <c r="C611" s="61"/>
      <c r="D611" s="61"/>
      <c r="E611" s="65"/>
      <c r="F611" s="65"/>
      <c r="G611" s="65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spans="1:26" ht="14.25" customHeight="1" x14ac:dyDescent="0.3">
      <c r="A612" s="61"/>
      <c r="B612" s="61"/>
      <c r="C612" s="61"/>
      <c r="D612" s="61"/>
      <c r="E612" s="65"/>
      <c r="F612" s="65"/>
      <c r="G612" s="65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spans="1:26" ht="14.25" customHeight="1" x14ac:dyDescent="0.3">
      <c r="A613" s="61"/>
      <c r="B613" s="61"/>
      <c r="C613" s="61"/>
      <c r="D613" s="61"/>
      <c r="E613" s="65"/>
      <c r="F613" s="65"/>
      <c r="G613" s="65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spans="1:26" ht="14.25" customHeight="1" x14ac:dyDescent="0.3">
      <c r="A614" s="61"/>
      <c r="B614" s="61"/>
      <c r="C614" s="61"/>
      <c r="D614" s="61"/>
      <c r="E614" s="65"/>
      <c r="F614" s="65"/>
      <c r="G614" s="65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spans="1:26" ht="14.25" customHeight="1" x14ac:dyDescent="0.3">
      <c r="A615" s="61"/>
      <c r="B615" s="61"/>
      <c r="C615" s="61"/>
      <c r="D615" s="61"/>
      <c r="E615" s="65"/>
      <c r="F615" s="65"/>
      <c r="G615" s="65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spans="1:26" ht="14.25" customHeight="1" x14ac:dyDescent="0.3">
      <c r="A616" s="61"/>
      <c r="B616" s="61"/>
      <c r="C616" s="61"/>
      <c r="D616" s="61"/>
      <c r="E616" s="65"/>
      <c r="F616" s="65"/>
      <c r="G616" s="65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spans="1:26" ht="14.25" customHeight="1" x14ac:dyDescent="0.3">
      <c r="A617" s="61"/>
      <c r="B617" s="61"/>
      <c r="C617" s="61"/>
      <c r="D617" s="61"/>
      <c r="E617" s="65"/>
      <c r="F617" s="65"/>
      <c r="G617" s="65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spans="1:26" ht="14.25" customHeight="1" x14ac:dyDescent="0.3">
      <c r="A618" s="61"/>
      <c r="B618" s="61"/>
      <c r="C618" s="61"/>
      <c r="D618" s="61"/>
      <c r="E618" s="65"/>
      <c r="F618" s="65"/>
      <c r="G618" s="65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spans="1:26" ht="14.25" customHeight="1" x14ac:dyDescent="0.3">
      <c r="A619" s="61"/>
      <c r="B619" s="61"/>
      <c r="C619" s="61"/>
      <c r="D619" s="61"/>
      <c r="E619" s="65"/>
      <c r="F619" s="65"/>
      <c r="G619" s="65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spans="1:26" ht="14.25" customHeight="1" x14ac:dyDescent="0.3">
      <c r="A620" s="61"/>
      <c r="B620" s="61"/>
      <c r="C620" s="61"/>
      <c r="D620" s="61"/>
      <c r="E620" s="65"/>
      <c r="F620" s="65"/>
      <c r="G620" s="65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spans="1:26" ht="14.25" customHeight="1" x14ac:dyDescent="0.3">
      <c r="A621" s="61"/>
      <c r="B621" s="61"/>
      <c r="C621" s="61"/>
      <c r="D621" s="61"/>
      <c r="E621" s="65"/>
      <c r="F621" s="65"/>
      <c r="G621" s="65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spans="1:26" ht="14.25" customHeight="1" x14ac:dyDescent="0.3">
      <c r="A622" s="61"/>
      <c r="B622" s="61"/>
      <c r="C622" s="61"/>
      <c r="D622" s="61"/>
      <c r="E622" s="65"/>
      <c r="F622" s="65"/>
      <c r="G622" s="65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spans="1:26" ht="14.25" customHeight="1" x14ac:dyDescent="0.3">
      <c r="A623" s="61"/>
      <c r="B623" s="61"/>
      <c r="C623" s="61"/>
      <c r="D623" s="61"/>
      <c r="E623" s="65"/>
      <c r="F623" s="65"/>
      <c r="G623" s="65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spans="1:26" ht="14.25" customHeight="1" x14ac:dyDescent="0.3">
      <c r="A624" s="61"/>
      <c r="B624" s="61"/>
      <c r="C624" s="61"/>
      <c r="D624" s="61"/>
      <c r="E624" s="65"/>
      <c r="F624" s="65"/>
      <c r="G624" s="65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spans="1:26" ht="14.25" customHeight="1" x14ac:dyDescent="0.3">
      <c r="A625" s="61"/>
      <c r="B625" s="61"/>
      <c r="C625" s="61"/>
      <c r="D625" s="61"/>
      <c r="E625" s="65"/>
      <c r="F625" s="65"/>
      <c r="G625" s="65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spans="1:26" ht="14.25" customHeight="1" x14ac:dyDescent="0.3">
      <c r="A626" s="61"/>
      <c r="B626" s="61"/>
      <c r="C626" s="61"/>
      <c r="D626" s="61"/>
      <c r="E626" s="65"/>
      <c r="F626" s="65"/>
      <c r="G626" s="65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spans="1:26" ht="14.25" customHeight="1" x14ac:dyDescent="0.3">
      <c r="A627" s="61"/>
      <c r="B627" s="61"/>
      <c r="C627" s="61"/>
      <c r="D627" s="61"/>
      <c r="E627" s="65"/>
      <c r="F627" s="65"/>
      <c r="G627" s="65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spans="1:26" ht="14.25" customHeight="1" x14ac:dyDescent="0.3">
      <c r="A628" s="61"/>
      <c r="B628" s="61"/>
      <c r="C628" s="61"/>
      <c r="D628" s="61"/>
      <c r="E628" s="65"/>
      <c r="F628" s="65"/>
      <c r="G628" s="65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spans="1:26" ht="14.25" customHeight="1" x14ac:dyDescent="0.3">
      <c r="A629" s="61"/>
      <c r="B629" s="61"/>
      <c r="C629" s="61"/>
      <c r="D629" s="61"/>
      <c r="E629" s="65"/>
      <c r="F629" s="65"/>
      <c r="G629" s="65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spans="1:26" ht="14.25" customHeight="1" x14ac:dyDescent="0.3">
      <c r="A630" s="61"/>
      <c r="B630" s="61"/>
      <c r="C630" s="61"/>
      <c r="D630" s="61"/>
      <c r="E630" s="65"/>
      <c r="F630" s="65"/>
      <c r="G630" s="65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spans="1:26" ht="14.25" customHeight="1" x14ac:dyDescent="0.3">
      <c r="A631" s="61"/>
      <c r="B631" s="61"/>
      <c r="C631" s="61"/>
      <c r="D631" s="61"/>
      <c r="E631" s="65"/>
      <c r="F631" s="65"/>
      <c r="G631" s="65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spans="1:26" ht="14.25" customHeight="1" x14ac:dyDescent="0.3">
      <c r="A632" s="61"/>
      <c r="B632" s="61"/>
      <c r="C632" s="61"/>
      <c r="D632" s="61"/>
      <c r="E632" s="65"/>
      <c r="F632" s="65"/>
      <c r="G632" s="65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spans="1:26" ht="14.25" customHeight="1" x14ac:dyDescent="0.3">
      <c r="A633" s="61"/>
      <c r="B633" s="61"/>
      <c r="C633" s="61"/>
      <c r="D633" s="61"/>
      <c r="E633" s="65"/>
      <c r="F633" s="65"/>
      <c r="G633" s="65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spans="1:26" ht="14.25" customHeight="1" x14ac:dyDescent="0.3">
      <c r="A634" s="61"/>
      <c r="B634" s="61"/>
      <c r="C634" s="61"/>
      <c r="D634" s="61"/>
      <c r="E634" s="65"/>
      <c r="F634" s="65"/>
      <c r="G634" s="65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spans="1:26" ht="14.25" customHeight="1" x14ac:dyDescent="0.3">
      <c r="A635" s="61"/>
      <c r="B635" s="61"/>
      <c r="C635" s="61"/>
      <c r="D635" s="61"/>
      <c r="E635" s="65"/>
      <c r="F635" s="65"/>
      <c r="G635" s="65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spans="1:26" ht="14.25" customHeight="1" x14ac:dyDescent="0.3">
      <c r="A636" s="61"/>
      <c r="B636" s="61"/>
      <c r="C636" s="61"/>
      <c r="D636" s="61"/>
      <c r="E636" s="65"/>
      <c r="F636" s="65"/>
      <c r="G636" s="65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spans="1:26" ht="14.25" customHeight="1" x14ac:dyDescent="0.3">
      <c r="A637" s="61"/>
      <c r="B637" s="61"/>
      <c r="C637" s="61"/>
      <c r="D637" s="61"/>
      <c r="E637" s="65"/>
      <c r="F637" s="65"/>
      <c r="G637" s="65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spans="1:26" ht="14.25" customHeight="1" x14ac:dyDescent="0.3">
      <c r="A638" s="61"/>
      <c r="B638" s="61"/>
      <c r="C638" s="61"/>
      <c r="D638" s="61"/>
      <c r="E638" s="65"/>
      <c r="F638" s="65"/>
      <c r="G638" s="65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spans="1:26" ht="14.25" customHeight="1" x14ac:dyDescent="0.3">
      <c r="A639" s="61"/>
      <c r="B639" s="61"/>
      <c r="C639" s="61"/>
      <c r="D639" s="61"/>
      <c r="E639" s="65"/>
      <c r="F639" s="65"/>
      <c r="G639" s="65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spans="1:26" ht="14.25" customHeight="1" x14ac:dyDescent="0.3">
      <c r="A640" s="61"/>
      <c r="B640" s="61"/>
      <c r="C640" s="61"/>
      <c r="D640" s="61"/>
      <c r="E640" s="65"/>
      <c r="F640" s="65"/>
      <c r="G640" s="65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spans="1:26" ht="14.25" customHeight="1" x14ac:dyDescent="0.3">
      <c r="A641" s="61"/>
      <c r="B641" s="61"/>
      <c r="C641" s="61"/>
      <c r="D641" s="61"/>
      <c r="E641" s="65"/>
      <c r="F641" s="65"/>
      <c r="G641" s="65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spans="1:26" ht="14.25" customHeight="1" x14ac:dyDescent="0.3">
      <c r="A642" s="61"/>
      <c r="B642" s="61"/>
      <c r="C642" s="61"/>
      <c r="D642" s="61"/>
      <c r="E642" s="65"/>
      <c r="F642" s="65"/>
      <c r="G642" s="65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spans="1:26" ht="14.25" customHeight="1" x14ac:dyDescent="0.3">
      <c r="A643" s="61"/>
      <c r="B643" s="61"/>
      <c r="C643" s="61"/>
      <c r="D643" s="61"/>
      <c r="E643" s="65"/>
      <c r="F643" s="65"/>
      <c r="G643" s="65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spans="1:26" ht="14.25" customHeight="1" x14ac:dyDescent="0.3">
      <c r="A644" s="61"/>
      <c r="B644" s="61"/>
      <c r="C644" s="61"/>
      <c r="D644" s="61"/>
      <c r="E644" s="65"/>
      <c r="F644" s="65"/>
      <c r="G644" s="65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spans="1:26" ht="14.25" customHeight="1" x14ac:dyDescent="0.3">
      <c r="A645" s="61"/>
      <c r="B645" s="61"/>
      <c r="C645" s="61"/>
      <c r="D645" s="61"/>
      <c r="E645" s="65"/>
      <c r="F645" s="65"/>
      <c r="G645" s="65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spans="1:26" ht="14.25" customHeight="1" x14ac:dyDescent="0.3">
      <c r="A646" s="61"/>
      <c r="B646" s="61"/>
      <c r="C646" s="61"/>
      <c r="D646" s="61"/>
      <c r="E646" s="65"/>
      <c r="F646" s="65"/>
      <c r="G646" s="65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spans="1:26" ht="14.25" customHeight="1" x14ac:dyDescent="0.3">
      <c r="A647" s="61"/>
      <c r="B647" s="61"/>
      <c r="C647" s="61"/>
      <c r="D647" s="61"/>
      <c r="E647" s="65"/>
      <c r="F647" s="65"/>
      <c r="G647" s="65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spans="1:26" ht="14.25" customHeight="1" x14ac:dyDescent="0.3">
      <c r="A648" s="61"/>
      <c r="B648" s="61"/>
      <c r="C648" s="61"/>
      <c r="D648" s="61"/>
      <c r="E648" s="65"/>
      <c r="F648" s="65"/>
      <c r="G648" s="65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spans="1:26" ht="14.25" customHeight="1" x14ac:dyDescent="0.3">
      <c r="A649" s="61"/>
      <c r="B649" s="61"/>
      <c r="C649" s="61"/>
      <c r="D649" s="61"/>
      <c r="E649" s="65"/>
      <c r="F649" s="65"/>
      <c r="G649" s="65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spans="1:26" ht="14.25" customHeight="1" x14ac:dyDescent="0.3">
      <c r="A650" s="61"/>
      <c r="B650" s="61"/>
      <c r="C650" s="61"/>
      <c r="D650" s="61"/>
      <c r="E650" s="65"/>
      <c r="F650" s="65"/>
      <c r="G650" s="65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spans="1:26" ht="14.25" customHeight="1" x14ac:dyDescent="0.3">
      <c r="A651" s="61"/>
      <c r="B651" s="61"/>
      <c r="C651" s="61"/>
      <c r="D651" s="61"/>
      <c r="E651" s="65"/>
      <c r="F651" s="65"/>
      <c r="G651" s="65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spans="1:26" ht="14.25" customHeight="1" x14ac:dyDescent="0.3">
      <c r="A652" s="61"/>
      <c r="B652" s="61"/>
      <c r="C652" s="61"/>
      <c r="D652" s="61"/>
      <c r="E652" s="65"/>
      <c r="F652" s="65"/>
      <c r="G652" s="65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spans="1:26" ht="14.25" customHeight="1" x14ac:dyDescent="0.3">
      <c r="A653" s="61"/>
      <c r="B653" s="61"/>
      <c r="C653" s="61"/>
      <c r="D653" s="61"/>
      <c r="E653" s="65"/>
      <c r="F653" s="65"/>
      <c r="G653" s="65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spans="1:26" ht="14.25" customHeight="1" x14ac:dyDescent="0.3">
      <c r="A654" s="61"/>
      <c r="B654" s="61"/>
      <c r="C654" s="61"/>
      <c r="D654" s="61"/>
      <c r="E654" s="65"/>
      <c r="F654" s="65"/>
      <c r="G654" s="65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spans="1:26" ht="14.25" customHeight="1" x14ac:dyDescent="0.3">
      <c r="A655" s="61"/>
      <c r="B655" s="61"/>
      <c r="C655" s="61"/>
      <c r="D655" s="61"/>
      <c r="E655" s="65"/>
      <c r="F655" s="65"/>
      <c r="G655" s="65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spans="1:26" ht="14.25" customHeight="1" x14ac:dyDescent="0.3">
      <c r="A656" s="61"/>
      <c r="B656" s="61"/>
      <c r="C656" s="61"/>
      <c r="D656" s="61"/>
      <c r="E656" s="65"/>
      <c r="F656" s="65"/>
      <c r="G656" s="65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spans="1:26" ht="14.25" customHeight="1" x14ac:dyDescent="0.3">
      <c r="A657" s="61"/>
      <c r="B657" s="61"/>
      <c r="C657" s="61"/>
      <c r="D657" s="61"/>
      <c r="E657" s="65"/>
      <c r="F657" s="65"/>
      <c r="G657" s="65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spans="1:26" ht="14.25" customHeight="1" x14ac:dyDescent="0.3">
      <c r="A658" s="61"/>
      <c r="B658" s="61"/>
      <c r="C658" s="61"/>
      <c r="D658" s="61"/>
      <c r="E658" s="65"/>
      <c r="F658" s="65"/>
      <c r="G658" s="65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spans="1:26" ht="14.25" customHeight="1" x14ac:dyDescent="0.3">
      <c r="A659" s="61"/>
      <c r="B659" s="61"/>
      <c r="C659" s="61"/>
      <c r="D659" s="61"/>
      <c r="E659" s="65"/>
      <c r="F659" s="65"/>
      <c r="G659" s="65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spans="1:26" ht="14.25" customHeight="1" x14ac:dyDescent="0.3">
      <c r="A660" s="61"/>
      <c r="B660" s="61"/>
      <c r="C660" s="61"/>
      <c r="D660" s="61"/>
      <c r="E660" s="65"/>
      <c r="F660" s="65"/>
      <c r="G660" s="65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spans="1:26" ht="14.25" customHeight="1" x14ac:dyDescent="0.3">
      <c r="A661" s="61"/>
      <c r="B661" s="61"/>
      <c r="C661" s="61"/>
      <c r="D661" s="61"/>
      <c r="E661" s="65"/>
      <c r="F661" s="65"/>
      <c r="G661" s="65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spans="1:26" ht="14.25" customHeight="1" x14ac:dyDescent="0.3">
      <c r="A662" s="61"/>
      <c r="B662" s="61"/>
      <c r="C662" s="61"/>
      <c r="D662" s="61"/>
      <c r="E662" s="65"/>
      <c r="F662" s="65"/>
      <c r="G662" s="65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spans="1:26" ht="14.25" customHeight="1" x14ac:dyDescent="0.3">
      <c r="A663" s="61"/>
      <c r="B663" s="61"/>
      <c r="C663" s="61"/>
      <c r="D663" s="61"/>
      <c r="E663" s="65"/>
      <c r="F663" s="65"/>
      <c r="G663" s="65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spans="1:26" ht="14.25" customHeight="1" x14ac:dyDescent="0.3">
      <c r="A664" s="61"/>
      <c r="B664" s="61"/>
      <c r="C664" s="61"/>
      <c r="D664" s="61"/>
      <c r="E664" s="65"/>
      <c r="F664" s="65"/>
      <c r="G664" s="65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spans="1:26" ht="14.25" customHeight="1" x14ac:dyDescent="0.3">
      <c r="A665" s="61"/>
      <c r="B665" s="61"/>
      <c r="C665" s="61"/>
      <c r="D665" s="61"/>
      <c r="E665" s="65"/>
      <c r="F665" s="65"/>
      <c r="G665" s="65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spans="1:26" ht="14.25" customHeight="1" x14ac:dyDescent="0.3">
      <c r="A666" s="61"/>
      <c r="B666" s="61"/>
      <c r="C666" s="61"/>
      <c r="D666" s="61"/>
      <c r="E666" s="65"/>
      <c r="F666" s="65"/>
      <c r="G666" s="65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spans="1:26" ht="14.25" customHeight="1" x14ac:dyDescent="0.3">
      <c r="A667" s="61"/>
      <c r="B667" s="61"/>
      <c r="C667" s="61"/>
      <c r="D667" s="61"/>
      <c r="E667" s="65"/>
      <c r="F667" s="65"/>
      <c r="G667" s="65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spans="1:26" ht="14.25" customHeight="1" x14ac:dyDescent="0.3">
      <c r="A668" s="61"/>
      <c r="B668" s="61"/>
      <c r="C668" s="61"/>
      <c r="D668" s="61"/>
      <c r="E668" s="65"/>
      <c r="F668" s="65"/>
      <c r="G668" s="65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spans="1:26" ht="14.25" customHeight="1" x14ac:dyDescent="0.3">
      <c r="A669" s="61"/>
      <c r="B669" s="61"/>
      <c r="C669" s="61"/>
      <c r="D669" s="61"/>
      <c r="E669" s="65"/>
      <c r="F669" s="65"/>
      <c r="G669" s="65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spans="1:26" ht="14.25" customHeight="1" x14ac:dyDescent="0.3">
      <c r="A670" s="61"/>
      <c r="B670" s="61"/>
      <c r="C670" s="61"/>
      <c r="D670" s="61"/>
      <c r="E670" s="65"/>
      <c r="F670" s="65"/>
      <c r="G670" s="65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spans="1:26" ht="14.25" customHeight="1" x14ac:dyDescent="0.3">
      <c r="A671" s="61"/>
      <c r="B671" s="61"/>
      <c r="C671" s="61"/>
      <c r="D671" s="61"/>
      <c r="E671" s="65"/>
      <c r="F671" s="65"/>
      <c r="G671" s="65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spans="1:26" ht="14.25" customHeight="1" x14ac:dyDescent="0.3">
      <c r="A672" s="61"/>
      <c r="B672" s="61"/>
      <c r="C672" s="61"/>
      <c r="D672" s="61"/>
      <c r="E672" s="65"/>
      <c r="F672" s="65"/>
      <c r="G672" s="65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spans="1:26" ht="14.25" customHeight="1" x14ac:dyDescent="0.3">
      <c r="A673" s="61"/>
      <c r="B673" s="61"/>
      <c r="C673" s="61"/>
      <c r="D673" s="61"/>
      <c r="E673" s="65"/>
      <c r="F673" s="65"/>
      <c r="G673" s="65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spans="1:26" ht="14.25" customHeight="1" x14ac:dyDescent="0.3">
      <c r="A674" s="61"/>
      <c r="B674" s="61"/>
      <c r="C674" s="61"/>
      <c r="D674" s="61"/>
      <c r="E674" s="65"/>
      <c r="F674" s="65"/>
      <c r="G674" s="65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spans="1:26" ht="14.25" customHeight="1" x14ac:dyDescent="0.3">
      <c r="A675" s="61"/>
      <c r="B675" s="61"/>
      <c r="C675" s="61"/>
      <c r="D675" s="61"/>
      <c r="E675" s="65"/>
      <c r="F675" s="65"/>
      <c r="G675" s="65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spans="1:26" ht="14.25" customHeight="1" x14ac:dyDescent="0.3">
      <c r="A676" s="61"/>
      <c r="B676" s="61"/>
      <c r="C676" s="61"/>
      <c r="D676" s="61"/>
      <c r="E676" s="65"/>
      <c r="F676" s="65"/>
      <c r="G676" s="65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spans="1:26" ht="14.25" customHeight="1" x14ac:dyDescent="0.3">
      <c r="A677" s="61"/>
      <c r="B677" s="61"/>
      <c r="C677" s="61"/>
      <c r="D677" s="61"/>
      <c r="E677" s="65"/>
      <c r="F677" s="65"/>
      <c r="G677" s="65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spans="1:26" ht="14.25" customHeight="1" x14ac:dyDescent="0.3">
      <c r="A678" s="61"/>
      <c r="B678" s="61"/>
      <c r="C678" s="61"/>
      <c r="D678" s="61"/>
      <c r="E678" s="65"/>
      <c r="F678" s="65"/>
      <c r="G678" s="65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spans="1:26" ht="14.25" customHeight="1" x14ac:dyDescent="0.3">
      <c r="A679" s="61"/>
      <c r="B679" s="61"/>
      <c r="C679" s="61"/>
      <c r="D679" s="61"/>
      <c r="E679" s="65"/>
      <c r="F679" s="65"/>
      <c r="G679" s="65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spans="1:26" ht="14.25" customHeight="1" x14ac:dyDescent="0.3">
      <c r="A680" s="61"/>
      <c r="B680" s="61"/>
      <c r="C680" s="61"/>
      <c r="D680" s="61"/>
      <c r="E680" s="65"/>
      <c r="F680" s="65"/>
      <c r="G680" s="65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spans="1:26" ht="14.25" customHeight="1" x14ac:dyDescent="0.3">
      <c r="A681" s="61"/>
      <c r="B681" s="61"/>
      <c r="C681" s="61"/>
      <c r="D681" s="61"/>
      <c r="E681" s="65"/>
      <c r="F681" s="65"/>
      <c r="G681" s="65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spans="1:26" ht="14.25" customHeight="1" x14ac:dyDescent="0.3">
      <c r="A682" s="61"/>
      <c r="B682" s="61"/>
      <c r="C682" s="61"/>
      <c r="D682" s="61"/>
      <c r="E682" s="65"/>
      <c r="F682" s="65"/>
      <c r="G682" s="65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spans="1:26" ht="14.25" customHeight="1" x14ac:dyDescent="0.3">
      <c r="A683" s="61"/>
      <c r="B683" s="61"/>
      <c r="C683" s="61"/>
      <c r="D683" s="61"/>
      <c r="E683" s="65"/>
      <c r="F683" s="65"/>
      <c r="G683" s="65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spans="1:26" ht="14.25" customHeight="1" x14ac:dyDescent="0.3">
      <c r="A684" s="61"/>
      <c r="B684" s="61"/>
      <c r="C684" s="61"/>
      <c r="D684" s="61"/>
      <c r="E684" s="65"/>
      <c r="F684" s="65"/>
      <c r="G684" s="65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spans="1:26" ht="14.25" customHeight="1" x14ac:dyDescent="0.3">
      <c r="A685" s="61"/>
      <c r="B685" s="61"/>
      <c r="C685" s="61"/>
      <c r="D685" s="61"/>
      <c r="E685" s="65"/>
      <c r="F685" s="65"/>
      <c r="G685" s="65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spans="1:26" ht="14.25" customHeight="1" x14ac:dyDescent="0.3">
      <c r="A686" s="61"/>
      <c r="B686" s="61"/>
      <c r="C686" s="61"/>
      <c r="D686" s="61"/>
      <c r="E686" s="65"/>
      <c r="F686" s="65"/>
      <c r="G686" s="65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spans="1:26" ht="14.25" customHeight="1" x14ac:dyDescent="0.3">
      <c r="A687" s="61"/>
      <c r="B687" s="61"/>
      <c r="C687" s="61"/>
      <c r="D687" s="61"/>
      <c r="E687" s="65"/>
      <c r="F687" s="65"/>
      <c r="G687" s="65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spans="1:26" ht="14.25" customHeight="1" x14ac:dyDescent="0.3">
      <c r="A688" s="61"/>
      <c r="B688" s="61"/>
      <c r="C688" s="61"/>
      <c r="D688" s="61"/>
      <c r="E688" s="65"/>
      <c r="F688" s="65"/>
      <c r="G688" s="65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spans="1:26" ht="14.25" customHeight="1" x14ac:dyDescent="0.3">
      <c r="A689" s="61"/>
      <c r="B689" s="61"/>
      <c r="C689" s="61"/>
      <c r="D689" s="61"/>
      <c r="E689" s="65"/>
      <c r="F689" s="65"/>
      <c r="G689" s="65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spans="1:26" ht="14.25" customHeight="1" x14ac:dyDescent="0.3">
      <c r="A690" s="61"/>
      <c r="B690" s="61"/>
      <c r="C690" s="61"/>
      <c r="D690" s="61"/>
      <c r="E690" s="65"/>
      <c r="F690" s="65"/>
      <c r="G690" s="65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spans="1:26" ht="14.25" customHeight="1" x14ac:dyDescent="0.3">
      <c r="A691" s="61"/>
      <c r="B691" s="61"/>
      <c r="C691" s="61"/>
      <c r="D691" s="61"/>
      <c r="E691" s="65"/>
      <c r="F691" s="65"/>
      <c r="G691" s="65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spans="1:26" ht="14.25" customHeight="1" x14ac:dyDescent="0.3">
      <c r="A692" s="61"/>
      <c r="B692" s="61"/>
      <c r="C692" s="61"/>
      <c r="D692" s="61"/>
      <c r="E692" s="65"/>
      <c r="F692" s="65"/>
      <c r="G692" s="65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spans="1:26" ht="14.25" customHeight="1" x14ac:dyDescent="0.3">
      <c r="A693" s="61"/>
      <c r="B693" s="61"/>
      <c r="C693" s="61"/>
      <c r="D693" s="61"/>
      <c r="E693" s="65"/>
      <c r="F693" s="65"/>
      <c r="G693" s="65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spans="1:26" ht="14.25" customHeight="1" x14ac:dyDescent="0.3">
      <c r="A694" s="61"/>
      <c r="B694" s="61"/>
      <c r="C694" s="61"/>
      <c r="D694" s="61"/>
      <c r="E694" s="65"/>
      <c r="F694" s="65"/>
      <c r="G694" s="65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spans="1:26" ht="14.25" customHeight="1" x14ac:dyDescent="0.3">
      <c r="A695" s="61"/>
      <c r="B695" s="61"/>
      <c r="C695" s="61"/>
      <c r="D695" s="61"/>
      <c r="E695" s="65"/>
      <c r="F695" s="65"/>
      <c r="G695" s="65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spans="1:26" ht="14.25" customHeight="1" x14ac:dyDescent="0.3">
      <c r="A696" s="61"/>
      <c r="B696" s="61"/>
      <c r="C696" s="61"/>
      <c r="D696" s="61"/>
      <c r="E696" s="65"/>
      <c r="F696" s="65"/>
      <c r="G696" s="65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spans="1:26" ht="14.25" customHeight="1" x14ac:dyDescent="0.3">
      <c r="A697" s="61"/>
      <c r="B697" s="61"/>
      <c r="C697" s="61"/>
      <c r="D697" s="61"/>
      <c r="E697" s="65"/>
      <c r="F697" s="65"/>
      <c r="G697" s="65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spans="1:26" ht="14.25" customHeight="1" x14ac:dyDescent="0.3">
      <c r="A698" s="61"/>
      <c r="B698" s="61"/>
      <c r="C698" s="61"/>
      <c r="D698" s="61"/>
      <c r="E698" s="65"/>
      <c r="F698" s="65"/>
      <c r="G698" s="65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spans="1:26" ht="14.25" customHeight="1" x14ac:dyDescent="0.3">
      <c r="A699" s="61"/>
      <c r="B699" s="61"/>
      <c r="C699" s="61"/>
      <c r="D699" s="61"/>
      <c r="E699" s="65"/>
      <c r="F699" s="65"/>
      <c r="G699" s="65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spans="1:26" ht="14.25" customHeight="1" x14ac:dyDescent="0.3">
      <c r="A700" s="61"/>
      <c r="B700" s="61"/>
      <c r="C700" s="61"/>
      <c r="D700" s="61"/>
      <c r="E700" s="65"/>
      <c r="F700" s="65"/>
      <c r="G700" s="65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spans="1:26" ht="14.25" customHeight="1" x14ac:dyDescent="0.3">
      <c r="A701" s="61"/>
      <c r="B701" s="61"/>
      <c r="C701" s="61"/>
      <c r="D701" s="61"/>
      <c r="E701" s="65"/>
      <c r="F701" s="65"/>
      <c r="G701" s="65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spans="1:26" ht="14.25" customHeight="1" x14ac:dyDescent="0.3">
      <c r="A702" s="61"/>
      <c r="B702" s="61"/>
      <c r="C702" s="61"/>
      <c r="D702" s="61"/>
      <c r="E702" s="65"/>
      <c r="F702" s="65"/>
      <c r="G702" s="65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spans="1:26" ht="14.25" customHeight="1" x14ac:dyDescent="0.3">
      <c r="A703" s="61"/>
      <c r="B703" s="61"/>
      <c r="C703" s="61"/>
      <c r="D703" s="61"/>
      <c r="E703" s="65"/>
      <c r="F703" s="65"/>
      <c r="G703" s="65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spans="1:26" ht="14.25" customHeight="1" x14ac:dyDescent="0.3">
      <c r="A704" s="61"/>
      <c r="B704" s="61"/>
      <c r="C704" s="61"/>
      <c r="D704" s="61"/>
      <c r="E704" s="65"/>
      <c r="F704" s="65"/>
      <c r="G704" s="65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spans="1:26" ht="14.25" customHeight="1" x14ac:dyDescent="0.3">
      <c r="A705" s="61"/>
      <c r="B705" s="61"/>
      <c r="C705" s="61"/>
      <c r="D705" s="61"/>
      <c r="E705" s="65"/>
      <c r="F705" s="65"/>
      <c r="G705" s="65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spans="1:26" ht="14.25" customHeight="1" x14ac:dyDescent="0.3">
      <c r="A706" s="61"/>
      <c r="B706" s="61"/>
      <c r="C706" s="61"/>
      <c r="D706" s="61"/>
      <c r="E706" s="65"/>
      <c r="F706" s="65"/>
      <c r="G706" s="65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spans="1:26" ht="14.25" customHeight="1" x14ac:dyDescent="0.3">
      <c r="A707" s="61"/>
      <c r="B707" s="61"/>
      <c r="C707" s="61"/>
      <c r="D707" s="61"/>
      <c r="E707" s="65"/>
      <c r="F707" s="65"/>
      <c r="G707" s="65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spans="1:26" ht="14.25" customHeight="1" x14ac:dyDescent="0.3">
      <c r="A708" s="61"/>
      <c r="B708" s="61"/>
      <c r="C708" s="61"/>
      <c r="D708" s="61"/>
      <c r="E708" s="65"/>
      <c r="F708" s="65"/>
      <c r="G708" s="65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spans="1:26" ht="14.25" customHeight="1" x14ac:dyDescent="0.3">
      <c r="A709" s="61"/>
      <c r="B709" s="61"/>
      <c r="C709" s="61"/>
      <c r="D709" s="61"/>
      <c r="E709" s="65"/>
      <c r="F709" s="65"/>
      <c r="G709" s="65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spans="1:26" ht="14.25" customHeight="1" x14ac:dyDescent="0.3">
      <c r="A710" s="61"/>
      <c r="B710" s="61"/>
      <c r="C710" s="61"/>
      <c r="D710" s="61"/>
      <c r="E710" s="65"/>
      <c r="F710" s="65"/>
      <c r="G710" s="65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spans="1:26" ht="14.25" customHeight="1" x14ac:dyDescent="0.3">
      <c r="A711" s="61"/>
      <c r="B711" s="61"/>
      <c r="C711" s="61"/>
      <c r="D711" s="61"/>
      <c r="E711" s="65"/>
      <c r="F711" s="65"/>
      <c r="G711" s="65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spans="1:26" ht="14.25" customHeight="1" x14ac:dyDescent="0.3">
      <c r="A712" s="61"/>
      <c r="B712" s="61"/>
      <c r="C712" s="61"/>
      <c r="D712" s="61"/>
      <c r="E712" s="65"/>
      <c r="F712" s="65"/>
      <c r="G712" s="65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spans="1:26" ht="14.25" customHeight="1" x14ac:dyDescent="0.3">
      <c r="A713" s="61"/>
      <c r="B713" s="61"/>
      <c r="C713" s="61"/>
      <c r="D713" s="61"/>
      <c r="E713" s="65"/>
      <c r="F713" s="65"/>
      <c r="G713" s="65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spans="1:26" ht="14.25" customHeight="1" x14ac:dyDescent="0.3">
      <c r="A714" s="61"/>
      <c r="B714" s="61"/>
      <c r="C714" s="61"/>
      <c r="D714" s="61"/>
      <c r="E714" s="65"/>
      <c r="F714" s="65"/>
      <c r="G714" s="65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spans="1:26" ht="14.25" customHeight="1" x14ac:dyDescent="0.3">
      <c r="A715" s="61"/>
      <c r="B715" s="61"/>
      <c r="C715" s="61"/>
      <c r="D715" s="61"/>
      <c r="E715" s="65"/>
      <c r="F715" s="65"/>
      <c r="G715" s="65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spans="1:26" ht="14.25" customHeight="1" x14ac:dyDescent="0.3">
      <c r="A716" s="61"/>
      <c r="B716" s="61"/>
      <c r="C716" s="61"/>
      <c r="D716" s="61"/>
      <c r="E716" s="65"/>
      <c r="F716" s="65"/>
      <c r="G716" s="65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spans="1:26" ht="14.25" customHeight="1" x14ac:dyDescent="0.3">
      <c r="A717" s="61"/>
      <c r="B717" s="61"/>
      <c r="C717" s="61"/>
      <c r="D717" s="61"/>
      <c r="E717" s="65"/>
      <c r="F717" s="65"/>
      <c r="G717" s="65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spans="1:26" ht="14.25" customHeight="1" x14ac:dyDescent="0.3">
      <c r="A718" s="61"/>
      <c r="B718" s="61"/>
      <c r="C718" s="61"/>
      <c r="D718" s="61"/>
      <c r="E718" s="65"/>
      <c r="F718" s="65"/>
      <c r="G718" s="65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spans="1:26" ht="14.25" customHeight="1" x14ac:dyDescent="0.3">
      <c r="A719" s="61"/>
      <c r="B719" s="61"/>
      <c r="C719" s="61"/>
      <c r="D719" s="61"/>
      <c r="E719" s="65"/>
      <c r="F719" s="65"/>
      <c r="G719" s="65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spans="1:26" ht="14.25" customHeight="1" x14ac:dyDescent="0.3">
      <c r="A720" s="61"/>
      <c r="B720" s="61"/>
      <c r="C720" s="61"/>
      <c r="D720" s="61"/>
      <c r="E720" s="65"/>
      <c r="F720" s="65"/>
      <c r="G720" s="65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spans="1:26" ht="14.25" customHeight="1" x14ac:dyDescent="0.3">
      <c r="A721" s="61"/>
      <c r="B721" s="61"/>
      <c r="C721" s="61"/>
      <c r="D721" s="61"/>
      <c r="E721" s="65"/>
      <c r="F721" s="65"/>
      <c r="G721" s="65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spans="1:26" ht="14.25" customHeight="1" x14ac:dyDescent="0.3">
      <c r="A722" s="61"/>
      <c r="B722" s="61"/>
      <c r="C722" s="61"/>
      <c r="D722" s="61"/>
      <c r="E722" s="65"/>
      <c r="F722" s="65"/>
      <c r="G722" s="65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spans="1:26" ht="14.25" customHeight="1" x14ac:dyDescent="0.3">
      <c r="A723" s="61"/>
      <c r="B723" s="61"/>
      <c r="C723" s="61"/>
      <c r="D723" s="61"/>
      <c r="E723" s="65"/>
      <c r="F723" s="65"/>
      <c r="G723" s="65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spans="1:26" ht="14.25" customHeight="1" x14ac:dyDescent="0.3">
      <c r="A724" s="61"/>
      <c r="B724" s="61"/>
      <c r="C724" s="61"/>
      <c r="D724" s="61"/>
      <c r="E724" s="65"/>
      <c r="F724" s="65"/>
      <c r="G724" s="65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spans="1:26" ht="14.25" customHeight="1" x14ac:dyDescent="0.3">
      <c r="A725" s="61"/>
      <c r="B725" s="61"/>
      <c r="C725" s="61"/>
      <c r="D725" s="61"/>
      <c r="E725" s="65"/>
      <c r="F725" s="65"/>
      <c r="G725" s="65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spans="1:26" ht="14.25" customHeight="1" x14ac:dyDescent="0.3">
      <c r="A726" s="61"/>
      <c r="B726" s="61"/>
      <c r="C726" s="61"/>
      <c r="D726" s="61"/>
      <c r="E726" s="65"/>
      <c r="F726" s="65"/>
      <c r="G726" s="65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spans="1:26" ht="14.25" customHeight="1" x14ac:dyDescent="0.3">
      <c r="A727" s="61"/>
      <c r="B727" s="61"/>
      <c r="C727" s="61"/>
      <c r="D727" s="61"/>
      <c r="E727" s="65"/>
      <c r="F727" s="65"/>
      <c r="G727" s="65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spans="1:26" ht="14.25" customHeight="1" x14ac:dyDescent="0.3">
      <c r="A728" s="61"/>
      <c r="B728" s="61"/>
      <c r="C728" s="61"/>
      <c r="D728" s="61"/>
      <c r="E728" s="65"/>
      <c r="F728" s="65"/>
      <c r="G728" s="65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spans="1:26" ht="14.25" customHeight="1" x14ac:dyDescent="0.3">
      <c r="A729" s="61"/>
      <c r="B729" s="61"/>
      <c r="C729" s="61"/>
      <c r="D729" s="61"/>
      <c r="E729" s="65"/>
      <c r="F729" s="65"/>
      <c r="G729" s="65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spans="1:26" ht="14.25" customHeight="1" x14ac:dyDescent="0.3">
      <c r="A730" s="61"/>
      <c r="B730" s="61"/>
      <c r="C730" s="61"/>
      <c r="D730" s="61"/>
      <c r="E730" s="65"/>
      <c r="F730" s="65"/>
      <c r="G730" s="65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spans="1:26" ht="14.25" customHeight="1" x14ac:dyDescent="0.3">
      <c r="A731" s="61"/>
      <c r="B731" s="61"/>
      <c r="C731" s="61"/>
      <c r="D731" s="61"/>
      <c r="E731" s="65"/>
      <c r="F731" s="65"/>
      <c r="G731" s="65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spans="1:26" ht="14.25" customHeight="1" x14ac:dyDescent="0.3">
      <c r="A732" s="61"/>
      <c r="B732" s="61"/>
      <c r="C732" s="61"/>
      <c r="D732" s="61"/>
      <c r="E732" s="65"/>
      <c r="F732" s="65"/>
      <c r="G732" s="65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spans="1:26" ht="14.25" customHeight="1" x14ac:dyDescent="0.3">
      <c r="A733" s="61"/>
      <c r="B733" s="61"/>
      <c r="C733" s="61"/>
      <c r="D733" s="61"/>
      <c r="E733" s="65"/>
      <c r="F733" s="65"/>
      <c r="G733" s="65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spans="1:26" ht="14.25" customHeight="1" x14ac:dyDescent="0.3">
      <c r="A734" s="61"/>
      <c r="B734" s="61"/>
      <c r="C734" s="61"/>
      <c r="D734" s="61"/>
      <c r="E734" s="65"/>
      <c r="F734" s="65"/>
      <c r="G734" s="65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spans="1:26" ht="14.25" customHeight="1" x14ac:dyDescent="0.3">
      <c r="A735" s="61"/>
      <c r="B735" s="61"/>
      <c r="C735" s="61"/>
      <c r="D735" s="61"/>
      <c r="E735" s="65"/>
      <c r="F735" s="65"/>
      <c r="G735" s="65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spans="1:26" ht="14.25" customHeight="1" x14ac:dyDescent="0.3">
      <c r="A736" s="61"/>
      <c r="B736" s="61"/>
      <c r="C736" s="61"/>
      <c r="D736" s="61"/>
      <c r="E736" s="65"/>
      <c r="F736" s="65"/>
      <c r="G736" s="65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spans="1:26" ht="14.25" customHeight="1" x14ac:dyDescent="0.3">
      <c r="A737" s="61"/>
      <c r="B737" s="61"/>
      <c r="C737" s="61"/>
      <c r="D737" s="61"/>
      <c r="E737" s="65"/>
      <c r="F737" s="65"/>
      <c r="G737" s="65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spans="1:26" ht="14.25" customHeight="1" x14ac:dyDescent="0.3">
      <c r="A738" s="61"/>
      <c r="B738" s="61"/>
      <c r="C738" s="61"/>
      <c r="D738" s="61"/>
      <c r="E738" s="65"/>
      <c r="F738" s="65"/>
      <c r="G738" s="65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spans="1:26" ht="14.25" customHeight="1" x14ac:dyDescent="0.3">
      <c r="A739" s="61"/>
      <c r="B739" s="61"/>
      <c r="C739" s="61"/>
      <c r="D739" s="61"/>
      <c r="E739" s="65"/>
      <c r="F739" s="65"/>
      <c r="G739" s="65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spans="1:26" ht="14.25" customHeight="1" x14ac:dyDescent="0.3">
      <c r="A740" s="61"/>
      <c r="B740" s="61"/>
      <c r="C740" s="61"/>
      <c r="D740" s="61"/>
      <c r="E740" s="65"/>
      <c r="F740" s="65"/>
      <c r="G740" s="65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spans="1:26" ht="14.25" customHeight="1" x14ac:dyDescent="0.3">
      <c r="A741" s="61"/>
      <c r="B741" s="61"/>
      <c r="C741" s="61"/>
      <c r="D741" s="61"/>
      <c r="E741" s="65"/>
      <c r="F741" s="65"/>
      <c r="G741" s="65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spans="1:26" ht="14.25" customHeight="1" x14ac:dyDescent="0.3">
      <c r="A742" s="61"/>
      <c r="B742" s="61"/>
      <c r="C742" s="61"/>
      <c r="D742" s="61"/>
      <c r="E742" s="65"/>
      <c r="F742" s="65"/>
      <c r="G742" s="65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spans="1:26" ht="14.25" customHeight="1" x14ac:dyDescent="0.3">
      <c r="A743" s="61"/>
      <c r="B743" s="61"/>
      <c r="C743" s="61"/>
      <c r="D743" s="61"/>
      <c r="E743" s="65"/>
      <c r="F743" s="65"/>
      <c r="G743" s="65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spans="1:26" ht="14.25" customHeight="1" x14ac:dyDescent="0.3">
      <c r="A744" s="61"/>
      <c r="B744" s="61"/>
      <c r="C744" s="61"/>
      <c r="D744" s="61"/>
      <c r="E744" s="65"/>
      <c r="F744" s="65"/>
      <c r="G744" s="65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spans="1:26" ht="14.25" customHeight="1" x14ac:dyDescent="0.3">
      <c r="A745" s="61"/>
      <c r="B745" s="61"/>
      <c r="C745" s="61"/>
      <c r="D745" s="61"/>
      <c r="E745" s="65"/>
      <c r="F745" s="65"/>
      <c r="G745" s="65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spans="1:26" ht="14.25" customHeight="1" x14ac:dyDescent="0.3">
      <c r="A746" s="61"/>
      <c r="B746" s="61"/>
      <c r="C746" s="61"/>
      <c r="D746" s="61"/>
      <c r="E746" s="65"/>
      <c r="F746" s="65"/>
      <c r="G746" s="65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spans="1:26" ht="14.25" customHeight="1" x14ac:dyDescent="0.3">
      <c r="A747" s="61"/>
      <c r="B747" s="61"/>
      <c r="C747" s="61"/>
      <c r="D747" s="61"/>
      <c r="E747" s="65"/>
      <c r="F747" s="65"/>
      <c r="G747" s="65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spans="1:26" ht="14.25" customHeight="1" x14ac:dyDescent="0.3">
      <c r="A748" s="61"/>
      <c r="B748" s="61"/>
      <c r="C748" s="61"/>
      <c r="D748" s="61"/>
      <c r="E748" s="65"/>
      <c r="F748" s="65"/>
      <c r="G748" s="65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spans="1:26" ht="14.25" customHeight="1" x14ac:dyDescent="0.3">
      <c r="A749" s="61"/>
      <c r="B749" s="61"/>
      <c r="C749" s="61"/>
      <c r="D749" s="61"/>
      <c r="E749" s="65"/>
      <c r="F749" s="65"/>
      <c r="G749" s="65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spans="1:26" ht="14.25" customHeight="1" x14ac:dyDescent="0.3">
      <c r="A750" s="61"/>
      <c r="B750" s="61"/>
      <c r="C750" s="61"/>
      <c r="D750" s="61"/>
      <c r="E750" s="65"/>
      <c r="F750" s="65"/>
      <c r="G750" s="65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spans="1:26" ht="14.25" customHeight="1" x14ac:dyDescent="0.3">
      <c r="A751" s="61"/>
      <c r="B751" s="61"/>
      <c r="C751" s="61"/>
      <c r="D751" s="61"/>
      <c r="E751" s="65"/>
      <c r="F751" s="65"/>
      <c r="G751" s="65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spans="1:26" ht="14.25" customHeight="1" x14ac:dyDescent="0.3">
      <c r="A752" s="61"/>
      <c r="B752" s="61"/>
      <c r="C752" s="61"/>
      <c r="D752" s="61"/>
      <c r="E752" s="65"/>
      <c r="F752" s="65"/>
      <c r="G752" s="65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spans="1:26" ht="14.25" customHeight="1" x14ac:dyDescent="0.3">
      <c r="A753" s="61"/>
      <c r="B753" s="61"/>
      <c r="C753" s="61"/>
      <c r="D753" s="61"/>
      <c r="E753" s="65"/>
      <c r="F753" s="65"/>
      <c r="G753" s="65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spans="1:26" ht="14.25" customHeight="1" x14ac:dyDescent="0.3">
      <c r="A754" s="61"/>
      <c r="B754" s="61"/>
      <c r="C754" s="61"/>
      <c r="D754" s="61"/>
      <c r="E754" s="65"/>
      <c r="F754" s="65"/>
      <c r="G754" s="65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spans="1:26" ht="14.25" customHeight="1" x14ac:dyDescent="0.3">
      <c r="A755" s="61"/>
      <c r="B755" s="61"/>
      <c r="C755" s="61"/>
      <c r="D755" s="61"/>
      <c r="E755" s="65"/>
      <c r="F755" s="65"/>
      <c r="G755" s="65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spans="1:26" ht="14.25" customHeight="1" x14ac:dyDescent="0.3">
      <c r="A756" s="61"/>
      <c r="B756" s="61"/>
      <c r="C756" s="61"/>
      <c r="D756" s="61"/>
      <c r="E756" s="65"/>
      <c r="F756" s="65"/>
      <c r="G756" s="65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spans="1:26" ht="14.25" customHeight="1" x14ac:dyDescent="0.3">
      <c r="A757" s="61"/>
      <c r="B757" s="61"/>
      <c r="C757" s="61"/>
      <c r="D757" s="61"/>
      <c r="E757" s="65"/>
      <c r="F757" s="65"/>
      <c r="G757" s="65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spans="1:26" ht="14.25" customHeight="1" x14ac:dyDescent="0.3">
      <c r="A758" s="61"/>
      <c r="B758" s="61"/>
      <c r="C758" s="61"/>
      <c r="D758" s="61"/>
      <c r="E758" s="65"/>
      <c r="F758" s="65"/>
      <c r="G758" s="65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spans="1:26" ht="14.25" customHeight="1" x14ac:dyDescent="0.3">
      <c r="A759" s="61"/>
      <c r="B759" s="61"/>
      <c r="C759" s="61"/>
      <c r="D759" s="61"/>
      <c r="E759" s="65"/>
      <c r="F759" s="65"/>
      <c r="G759" s="65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spans="1:26" ht="14.25" customHeight="1" x14ac:dyDescent="0.3">
      <c r="A760" s="61"/>
      <c r="B760" s="61"/>
      <c r="C760" s="61"/>
      <c r="D760" s="61"/>
      <c r="E760" s="65"/>
      <c r="F760" s="65"/>
      <c r="G760" s="65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spans="1:26" ht="14.25" customHeight="1" x14ac:dyDescent="0.3">
      <c r="A761" s="61"/>
      <c r="B761" s="61"/>
      <c r="C761" s="61"/>
      <c r="D761" s="61"/>
      <c r="E761" s="65"/>
      <c r="F761" s="65"/>
      <c r="G761" s="65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spans="1:26" ht="14.25" customHeight="1" x14ac:dyDescent="0.3">
      <c r="A762" s="61"/>
      <c r="B762" s="61"/>
      <c r="C762" s="61"/>
      <c r="D762" s="61"/>
      <c r="E762" s="65"/>
      <c r="F762" s="65"/>
      <c r="G762" s="65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spans="1:26" ht="14.25" customHeight="1" x14ac:dyDescent="0.3">
      <c r="A763" s="61"/>
      <c r="B763" s="61"/>
      <c r="C763" s="61"/>
      <c r="D763" s="61"/>
      <c r="E763" s="65"/>
      <c r="F763" s="65"/>
      <c r="G763" s="65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spans="1:26" ht="14.25" customHeight="1" x14ac:dyDescent="0.3">
      <c r="A764" s="61"/>
      <c r="B764" s="61"/>
      <c r="C764" s="61"/>
      <c r="D764" s="61"/>
      <c r="E764" s="65"/>
      <c r="F764" s="65"/>
      <c r="G764" s="65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spans="1:26" ht="14.25" customHeight="1" x14ac:dyDescent="0.3">
      <c r="A765" s="61"/>
      <c r="B765" s="61"/>
      <c r="C765" s="61"/>
      <c r="D765" s="61"/>
      <c r="E765" s="65"/>
      <c r="F765" s="65"/>
      <c r="G765" s="65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spans="1:26" ht="14.25" customHeight="1" x14ac:dyDescent="0.3">
      <c r="A766" s="61"/>
      <c r="B766" s="61"/>
      <c r="C766" s="61"/>
      <c r="D766" s="61"/>
      <c r="E766" s="65"/>
      <c r="F766" s="65"/>
      <c r="G766" s="65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spans="1:26" ht="14.25" customHeight="1" x14ac:dyDescent="0.3">
      <c r="A767" s="61"/>
      <c r="B767" s="61"/>
      <c r="C767" s="61"/>
      <c r="D767" s="61"/>
      <c r="E767" s="65"/>
      <c r="F767" s="65"/>
      <c r="G767" s="65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spans="1:26" ht="14.25" customHeight="1" x14ac:dyDescent="0.3">
      <c r="A768" s="61"/>
      <c r="B768" s="61"/>
      <c r="C768" s="61"/>
      <c r="D768" s="61"/>
      <c r="E768" s="65"/>
      <c r="F768" s="65"/>
      <c r="G768" s="65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spans="1:26" ht="14.25" customHeight="1" x14ac:dyDescent="0.3">
      <c r="A769" s="61"/>
      <c r="B769" s="61"/>
      <c r="C769" s="61"/>
      <c r="D769" s="61"/>
      <c r="E769" s="65"/>
      <c r="F769" s="65"/>
      <c r="G769" s="65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spans="1:26" ht="14.25" customHeight="1" x14ac:dyDescent="0.3">
      <c r="A770" s="61"/>
      <c r="B770" s="61"/>
      <c r="C770" s="61"/>
      <c r="D770" s="61"/>
      <c r="E770" s="65"/>
      <c r="F770" s="65"/>
      <c r="G770" s="65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spans="1:26" ht="14.25" customHeight="1" x14ac:dyDescent="0.3">
      <c r="A771" s="61"/>
      <c r="B771" s="61"/>
      <c r="C771" s="61"/>
      <c r="D771" s="61"/>
      <c r="E771" s="65"/>
      <c r="F771" s="65"/>
      <c r="G771" s="65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spans="1:26" ht="14.25" customHeight="1" x14ac:dyDescent="0.3">
      <c r="A772" s="61"/>
      <c r="B772" s="61"/>
      <c r="C772" s="61"/>
      <c r="D772" s="61"/>
      <c r="E772" s="65"/>
      <c r="F772" s="65"/>
      <c r="G772" s="65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spans="1:26" ht="14.25" customHeight="1" x14ac:dyDescent="0.3">
      <c r="A773" s="61"/>
      <c r="B773" s="61"/>
      <c r="C773" s="61"/>
      <c r="D773" s="61"/>
      <c r="E773" s="65"/>
      <c r="F773" s="65"/>
      <c r="G773" s="65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spans="1:26" ht="14.25" customHeight="1" x14ac:dyDescent="0.3">
      <c r="A774" s="61"/>
      <c r="B774" s="61"/>
      <c r="C774" s="61"/>
      <c r="D774" s="61"/>
      <c r="E774" s="65"/>
      <c r="F774" s="65"/>
      <c r="G774" s="65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spans="1:26" ht="14.25" customHeight="1" x14ac:dyDescent="0.3">
      <c r="A775" s="61"/>
      <c r="B775" s="61"/>
      <c r="C775" s="61"/>
      <c r="D775" s="61"/>
      <c r="E775" s="65"/>
      <c r="F775" s="65"/>
      <c r="G775" s="65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spans="1:26" ht="14.25" customHeight="1" x14ac:dyDescent="0.3">
      <c r="A776" s="61"/>
      <c r="B776" s="61"/>
      <c r="C776" s="61"/>
      <c r="D776" s="61"/>
      <c r="E776" s="65"/>
      <c r="F776" s="65"/>
      <c r="G776" s="65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spans="1:26" ht="14.25" customHeight="1" x14ac:dyDescent="0.3">
      <c r="A777" s="61"/>
      <c r="B777" s="61"/>
      <c r="C777" s="61"/>
      <c r="D777" s="61"/>
      <c r="E777" s="65"/>
      <c r="F777" s="65"/>
      <c r="G777" s="65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spans="1:26" ht="14.25" customHeight="1" x14ac:dyDescent="0.3">
      <c r="A778" s="61"/>
      <c r="B778" s="61"/>
      <c r="C778" s="61"/>
      <c r="D778" s="61"/>
      <c r="E778" s="65"/>
      <c r="F778" s="65"/>
      <c r="G778" s="65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spans="1:26" ht="14.25" customHeight="1" x14ac:dyDescent="0.3">
      <c r="A779" s="61"/>
      <c r="B779" s="61"/>
      <c r="C779" s="61"/>
      <c r="D779" s="61"/>
      <c r="E779" s="65"/>
      <c r="F779" s="65"/>
      <c r="G779" s="65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spans="1:26" ht="14.25" customHeight="1" x14ac:dyDescent="0.3">
      <c r="A780" s="61"/>
      <c r="B780" s="61"/>
      <c r="C780" s="61"/>
      <c r="D780" s="61"/>
      <c r="E780" s="65"/>
      <c r="F780" s="65"/>
      <c r="G780" s="65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spans="1:26" ht="14.25" customHeight="1" x14ac:dyDescent="0.3">
      <c r="A781" s="61"/>
      <c r="B781" s="61"/>
      <c r="C781" s="61"/>
      <c r="D781" s="61"/>
      <c r="E781" s="65"/>
      <c r="F781" s="65"/>
      <c r="G781" s="65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spans="1:26" ht="14.25" customHeight="1" x14ac:dyDescent="0.3">
      <c r="A782" s="61"/>
      <c r="B782" s="61"/>
      <c r="C782" s="61"/>
      <c r="D782" s="61"/>
      <c r="E782" s="65"/>
      <c r="F782" s="65"/>
      <c r="G782" s="65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spans="1:26" ht="14.25" customHeight="1" x14ac:dyDescent="0.3">
      <c r="A783" s="61"/>
      <c r="B783" s="61"/>
      <c r="C783" s="61"/>
      <c r="D783" s="61"/>
      <c r="E783" s="65"/>
      <c r="F783" s="65"/>
      <c r="G783" s="65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spans="1:26" ht="14.25" customHeight="1" x14ac:dyDescent="0.3">
      <c r="A784" s="61"/>
      <c r="B784" s="61"/>
      <c r="C784" s="61"/>
      <c r="D784" s="61"/>
      <c r="E784" s="65"/>
      <c r="F784" s="65"/>
      <c r="G784" s="65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spans="1:26" ht="14.25" customHeight="1" x14ac:dyDescent="0.3">
      <c r="A785" s="61"/>
      <c r="B785" s="61"/>
      <c r="C785" s="61"/>
      <c r="D785" s="61"/>
      <c r="E785" s="65"/>
      <c r="F785" s="65"/>
      <c r="G785" s="65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spans="1:26" ht="14.25" customHeight="1" x14ac:dyDescent="0.3">
      <c r="A786" s="61"/>
      <c r="B786" s="61"/>
      <c r="C786" s="61"/>
      <c r="D786" s="61"/>
      <c r="E786" s="65"/>
      <c r="F786" s="65"/>
      <c r="G786" s="65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spans="1:26" ht="14.25" customHeight="1" x14ac:dyDescent="0.3">
      <c r="A787" s="61"/>
      <c r="B787" s="61"/>
      <c r="C787" s="61"/>
      <c r="D787" s="61"/>
      <c r="E787" s="65"/>
      <c r="F787" s="65"/>
      <c r="G787" s="65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spans="1:26" ht="14.25" customHeight="1" x14ac:dyDescent="0.3">
      <c r="A788" s="61"/>
      <c r="B788" s="61"/>
      <c r="C788" s="61"/>
      <c r="D788" s="61"/>
      <c r="E788" s="65"/>
      <c r="F788" s="65"/>
      <c r="G788" s="65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spans="1:26" ht="14.25" customHeight="1" x14ac:dyDescent="0.3">
      <c r="A789" s="61"/>
      <c r="B789" s="61"/>
      <c r="C789" s="61"/>
      <c r="D789" s="61"/>
      <c r="E789" s="65"/>
      <c r="F789" s="65"/>
      <c r="G789" s="65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spans="1:26" ht="14.25" customHeight="1" x14ac:dyDescent="0.3">
      <c r="A790" s="61"/>
      <c r="B790" s="61"/>
      <c r="C790" s="61"/>
      <c r="D790" s="61"/>
      <c r="E790" s="65"/>
      <c r="F790" s="65"/>
      <c r="G790" s="65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spans="1:26" ht="14.25" customHeight="1" x14ac:dyDescent="0.3">
      <c r="A791" s="61"/>
      <c r="B791" s="61"/>
      <c r="C791" s="61"/>
      <c r="D791" s="61"/>
      <c r="E791" s="65"/>
      <c r="F791" s="65"/>
      <c r="G791" s="65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spans="1:26" ht="14.25" customHeight="1" x14ac:dyDescent="0.3">
      <c r="A792" s="61"/>
      <c r="B792" s="61"/>
      <c r="C792" s="61"/>
      <c r="D792" s="61"/>
      <c r="E792" s="65"/>
      <c r="F792" s="65"/>
      <c r="G792" s="65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spans="1:26" ht="14.25" customHeight="1" x14ac:dyDescent="0.3">
      <c r="A793" s="61"/>
      <c r="B793" s="61"/>
      <c r="C793" s="61"/>
      <c r="D793" s="61"/>
      <c r="E793" s="65"/>
      <c r="F793" s="65"/>
      <c r="G793" s="65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spans="1:26" ht="14.25" customHeight="1" x14ac:dyDescent="0.3">
      <c r="A794" s="61"/>
      <c r="B794" s="61"/>
      <c r="C794" s="61"/>
      <c r="D794" s="61"/>
      <c r="E794" s="65"/>
      <c r="F794" s="65"/>
      <c r="G794" s="65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spans="1:26" ht="14.25" customHeight="1" x14ac:dyDescent="0.3">
      <c r="A795" s="61"/>
      <c r="B795" s="61"/>
      <c r="C795" s="61"/>
      <c r="D795" s="61"/>
      <c r="E795" s="65"/>
      <c r="F795" s="65"/>
      <c r="G795" s="65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spans="1:26" ht="14.25" customHeight="1" x14ac:dyDescent="0.3">
      <c r="A796" s="61"/>
      <c r="B796" s="61"/>
      <c r="C796" s="61"/>
      <c r="D796" s="61"/>
      <c r="E796" s="65"/>
      <c r="F796" s="65"/>
      <c r="G796" s="65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spans="1:26" ht="14.25" customHeight="1" x14ac:dyDescent="0.3">
      <c r="A797" s="61"/>
      <c r="B797" s="61"/>
      <c r="C797" s="61"/>
      <c r="D797" s="61"/>
      <c r="E797" s="65"/>
      <c r="F797" s="65"/>
      <c r="G797" s="65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spans="1:26" ht="14.25" customHeight="1" x14ac:dyDescent="0.3">
      <c r="A798" s="61"/>
      <c r="B798" s="61"/>
      <c r="C798" s="61"/>
      <c r="D798" s="61"/>
      <c r="E798" s="65"/>
      <c r="F798" s="65"/>
      <c r="G798" s="65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spans="1:26" ht="14.25" customHeight="1" x14ac:dyDescent="0.3">
      <c r="A799" s="61"/>
      <c r="B799" s="61"/>
      <c r="C799" s="61"/>
      <c r="D799" s="61"/>
      <c r="E799" s="65"/>
      <c r="F799" s="65"/>
      <c r="G799" s="65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spans="1:26" ht="14.25" customHeight="1" x14ac:dyDescent="0.3">
      <c r="A800" s="61"/>
      <c r="B800" s="61"/>
      <c r="C800" s="61"/>
      <c r="D800" s="61"/>
      <c r="E800" s="65"/>
      <c r="F800" s="65"/>
      <c r="G800" s="65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spans="1:26" ht="14.25" customHeight="1" x14ac:dyDescent="0.3">
      <c r="A801" s="61"/>
      <c r="B801" s="61"/>
      <c r="C801" s="61"/>
      <c r="D801" s="61"/>
      <c r="E801" s="65"/>
      <c r="F801" s="65"/>
      <c r="G801" s="65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spans="1:26" ht="14.25" customHeight="1" x14ac:dyDescent="0.3">
      <c r="A802" s="61"/>
      <c r="B802" s="61"/>
      <c r="C802" s="61"/>
      <c r="D802" s="61"/>
      <c r="E802" s="65"/>
      <c r="F802" s="65"/>
      <c r="G802" s="65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spans="1:26" ht="14.25" customHeight="1" x14ac:dyDescent="0.3">
      <c r="A803" s="61"/>
      <c r="B803" s="61"/>
      <c r="C803" s="61"/>
      <c r="D803" s="61"/>
      <c r="E803" s="65"/>
      <c r="F803" s="65"/>
      <c r="G803" s="65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spans="1:26" ht="14.25" customHeight="1" x14ac:dyDescent="0.3">
      <c r="A804" s="61"/>
      <c r="B804" s="61"/>
      <c r="C804" s="61"/>
      <c r="D804" s="61"/>
      <c r="E804" s="65"/>
      <c r="F804" s="65"/>
      <c r="G804" s="65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spans="1:26" ht="14.25" customHeight="1" x14ac:dyDescent="0.3">
      <c r="A805" s="61"/>
      <c r="B805" s="61"/>
      <c r="C805" s="61"/>
      <c r="D805" s="61"/>
      <c r="E805" s="65"/>
      <c r="F805" s="65"/>
      <c r="G805" s="65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spans="1:26" ht="14.25" customHeight="1" x14ac:dyDescent="0.3">
      <c r="A806" s="61"/>
      <c r="B806" s="61"/>
      <c r="C806" s="61"/>
      <c r="D806" s="61"/>
      <c r="E806" s="65"/>
      <c r="F806" s="65"/>
      <c r="G806" s="65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spans="1:26" ht="14.25" customHeight="1" x14ac:dyDescent="0.3">
      <c r="A807" s="61"/>
      <c r="B807" s="61"/>
      <c r="C807" s="61"/>
      <c r="D807" s="61"/>
      <c r="E807" s="65"/>
      <c r="F807" s="65"/>
      <c r="G807" s="65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spans="1:26" ht="14.25" customHeight="1" x14ac:dyDescent="0.3">
      <c r="A808" s="61"/>
      <c r="B808" s="61"/>
      <c r="C808" s="61"/>
      <c r="D808" s="61"/>
      <c r="E808" s="65"/>
      <c r="F808" s="65"/>
      <c r="G808" s="65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spans="1:26" ht="14.25" customHeight="1" x14ac:dyDescent="0.3">
      <c r="A809" s="61"/>
      <c r="B809" s="61"/>
      <c r="C809" s="61"/>
      <c r="D809" s="61"/>
      <c r="E809" s="65"/>
      <c r="F809" s="65"/>
      <c r="G809" s="65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spans="1:26" ht="14.25" customHeight="1" x14ac:dyDescent="0.3">
      <c r="A810" s="61"/>
      <c r="B810" s="61"/>
      <c r="C810" s="61"/>
      <c r="D810" s="61"/>
      <c r="E810" s="65"/>
      <c r="F810" s="65"/>
      <c r="G810" s="65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spans="1:26" ht="14.25" customHeight="1" x14ac:dyDescent="0.3">
      <c r="A811" s="61"/>
      <c r="B811" s="61"/>
      <c r="C811" s="61"/>
      <c r="D811" s="61"/>
      <c r="E811" s="65"/>
      <c r="F811" s="65"/>
      <c r="G811" s="65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spans="1:26" ht="14.25" customHeight="1" x14ac:dyDescent="0.3">
      <c r="A812" s="61"/>
      <c r="B812" s="61"/>
      <c r="C812" s="61"/>
      <c r="D812" s="61"/>
      <c r="E812" s="65"/>
      <c r="F812" s="65"/>
      <c r="G812" s="65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spans="1:26" ht="14.25" customHeight="1" x14ac:dyDescent="0.3">
      <c r="A813" s="61"/>
      <c r="B813" s="61"/>
      <c r="C813" s="61"/>
      <c r="D813" s="61"/>
      <c r="E813" s="65"/>
      <c r="F813" s="65"/>
      <c r="G813" s="65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spans="1:26" ht="14.25" customHeight="1" x14ac:dyDescent="0.3">
      <c r="A814" s="61"/>
      <c r="B814" s="61"/>
      <c r="C814" s="61"/>
      <c r="D814" s="61"/>
      <c r="E814" s="65"/>
      <c r="F814" s="65"/>
      <c r="G814" s="65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spans="1:26" ht="14.25" customHeight="1" x14ac:dyDescent="0.3">
      <c r="A815" s="61"/>
      <c r="B815" s="61"/>
      <c r="C815" s="61"/>
      <c r="D815" s="61"/>
      <c r="E815" s="65"/>
      <c r="F815" s="65"/>
      <c r="G815" s="65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spans="1:26" ht="14.25" customHeight="1" x14ac:dyDescent="0.3">
      <c r="A816" s="61"/>
      <c r="B816" s="61"/>
      <c r="C816" s="61"/>
      <c r="D816" s="61"/>
      <c r="E816" s="65"/>
      <c r="F816" s="65"/>
      <c r="G816" s="65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spans="1:26" ht="14.25" customHeight="1" x14ac:dyDescent="0.3">
      <c r="A817" s="61"/>
      <c r="B817" s="61"/>
      <c r="C817" s="61"/>
      <c r="D817" s="61"/>
      <c r="E817" s="65"/>
      <c r="F817" s="65"/>
      <c r="G817" s="65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spans="1:26" ht="14.25" customHeight="1" x14ac:dyDescent="0.3">
      <c r="A818" s="61"/>
      <c r="B818" s="61"/>
      <c r="C818" s="61"/>
      <c r="D818" s="61"/>
      <c r="E818" s="65"/>
      <c r="F818" s="65"/>
      <c r="G818" s="65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spans="1:26" ht="14.25" customHeight="1" x14ac:dyDescent="0.3">
      <c r="A819" s="61"/>
      <c r="B819" s="61"/>
      <c r="C819" s="61"/>
      <c r="D819" s="61"/>
      <c r="E819" s="65"/>
      <c r="F819" s="65"/>
      <c r="G819" s="65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spans="1:26" ht="14.25" customHeight="1" x14ac:dyDescent="0.3">
      <c r="A820" s="61"/>
      <c r="B820" s="61"/>
      <c r="C820" s="61"/>
      <c r="D820" s="61"/>
      <c r="E820" s="65"/>
      <c r="F820" s="65"/>
      <c r="G820" s="65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spans="1:26" ht="14.25" customHeight="1" x14ac:dyDescent="0.3">
      <c r="A821" s="61"/>
      <c r="B821" s="61"/>
      <c r="C821" s="61"/>
      <c r="D821" s="61"/>
      <c r="E821" s="65"/>
      <c r="F821" s="65"/>
      <c r="G821" s="65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spans="1:26" ht="14.25" customHeight="1" x14ac:dyDescent="0.3">
      <c r="A822" s="61"/>
      <c r="B822" s="61"/>
      <c r="C822" s="61"/>
      <c r="D822" s="61"/>
      <c r="E822" s="65"/>
      <c r="F822" s="65"/>
      <c r="G822" s="65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spans="1:26" ht="14.25" customHeight="1" x14ac:dyDescent="0.3">
      <c r="A823" s="61"/>
      <c r="B823" s="61"/>
      <c r="C823" s="61"/>
      <c r="D823" s="61"/>
      <c r="E823" s="65"/>
      <c r="F823" s="65"/>
      <c r="G823" s="65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spans="1:26" ht="14.25" customHeight="1" x14ac:dyDescent="0.3">
      <c r="A824" s="61"/>
      <c r="B824" s="61"/>
      <c r="C824" s="61"/>
      <c r="D824" s="61"/>
      <c r="E824" s="65"/>
      <c r="F824" s="65"/>
      <c r="G824" s="65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spans="1:26" ht="14.25" customHeight="1" x14ac:dyDescent="0.3">
      <c r="A825" s="61"/>
      <c r="B825" s="61"/>
      <c r="C825" s="61"/>
      <c r="D825" s="61"/>
      <c r="E825" s="65"/>
      <c r="F825" s="65"/>
      <c r="G825" s="65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spans="1:26" ht="14.25" customHeight="1" x14ac:dyDescent="0.3">
      <c r="A826" s="61"/>
      <c r="B826" s="61"/>
      <c r="C826" s="61"/>
      <c r="D826" s="61"/>
      <c r="E826" s="65"/>
      <c r="F826" s="65"/>
      <c r="G826" s="65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spans="1:26" ht="14.25" customHeight="1" x14ac:dyDescent="0.3">
      <c r="A827" s="61"/>
      <c r="B827" s="61"/>
      <c r="C827" s="61"/>
      <c r="D827" s="61"/>
      <c r="E827" s="65"/>
      <c r="F827" s="65"/>
      <c r="G827" s="65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spans="1:26" ht="14.25" customHeight="1" x14ac:dyDescent="0.3">
      <c r="A828" s="61"/>
      <c r="B828" s="61"/>
      <c r="C828" s="61"/>
      <c r="D828" s="61"/>
      <c r="E828" s="65"/>
      <c r="F828" s="65"/>
      <c r="G828" s="65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spans="1:26" ht="14.25" customHeight="1" x14ac:dyDescent="0.3">
      <c r="A829" s="61"/>
      <c r="B829" s="61"/>
      <c r="C829" s="61"/>
      <c r="D829" s="61"/>
      <c r="E829" s="65"/>
      <c r="F829" s="65"/>
      <c r="G829" s="65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spans="1:26" ht="14.25" customHeight="1" x14ac:dyDescent="0.3">
      <c r="A830" s="61"/>
      <c r="B830" s="61"/>
      <c r="C830" s="61"/>
      <c r="D830" s="61"/>
      <c r="E830" s="65"/>
      <c r="F830" s="65"/>
      <c r="G830" s="65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spans="1:26" ht="14.25" customHeight="1" x14ac:dyDescent="0.3">
      <c r="A831" s="61"/>
      <c r="B831" s="61"/>
      <c r="C831" s="61"/>
      <c r="D831" s="61"/>
      <c r="E831" s="65"/>
      <c r="F831" s="65"/>
      <c r="G831" s="65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spans="1:26" ht="14.25" customHeight="1" x14ac:dyDescent="0.3">
      <c r="A832" s="61"/>
      <c r="B832" s="61"/>
      <c r="C832" s="61"/>
      <c r="D832" s="61"/>
      <c r="E832" s="65"/>
      <c r="F832" s="65"/>
      <c r="G832" s="65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spans="1:26" ht="14.25" customHeight="1" x14ac:dyDescent="0.3">
      <c r="A833" s="61"/>
      <c r="B833" s="61"/>
      <c r="C833" s="61"/>
      <c r="D833" s="61"/>
      <c r="E833" s="65"/>
      <c r="F833" s="65"/>
      <c r="G833" s="65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spans="1:26" ht="14.25" customHeight="1" x14ac:dyDescent="0.3">
      <c r="A834" s="61"/>
      <c r="B834" s="61"/>
      <c r="C834" s="61"/>
      <c r="D834" s="61"/>
      <c r="E834" s="65"/>
      <c r="F834" s="65"/>
      <c r="G834" s="65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spans="1:26" ht="14.25" customHeight="1" x14ac:dyDescent="0.3">
      <c r="A835" s="61"/>
      <c r="B835" s="61"/>
      <c r="C835" s="61"/>
      <c r="D835" s="61"/>
      <c r="E835" s="65"/>
      <c r="F835" s="65"/>
      <c r="G835" s="65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spans="1:26" ht="14.25" customHeight="1" x14ac:dyDescent="0.3">
      <c r="A836" s="61"/>
      <c r="B836" s="61"/>
      <c r="C836" s="61"/>
      <c r="D836" s="61"/>
      <c r="E836" s="65"/>
      <c r="F836" s="65"/>
      <c r="G836" s="65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spans="1:26" ht="14.25" customHeight="1" x14ac:dyDescent="0.3">
      <c r="A837" s="61"/>
      <c r="B837" s="61"/>
      <c r="C837" s="61"/>
      <c r="D837" s="61"/>
      <c r="E837" s="65"/>
      <c r="F837" s="65"/>
      <c r="G837" s="65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spans="1:26" ht="14.25" customHeight="1" x14ac:dyDescent="0.3">
      <c r="A838" s="61"/>
      <c r="B838" s="61"/>
      <c r="C838" s="61"/>
      <c r="D838" s="61"/>
      <c r="E838" s="65"/>
      <c r="F838" s="65"/>
      <c r="G838" s="65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spans="1:26" ht="14.25" customHeight="1" x14ac:dyDescent="0.3">
      <c r="A839" s="61"/>
      <c r="B839" s="61"/>
      <c r="C839" s="61"/>
      <c r="D839" s="61"/>
      <c r="E839" s="65"/>
      <c r="F839" s="65"/>
      <c r="G839" s="65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spans="1:26" ht="14.25" customHeight="1" x14ac:dyDescent="0.3">
      <c r="A840" s="61"/>
      <c r="B840" s="61"/>
      <c r="C840" s="61"/>
      <c r="D840" s="61"/>
      <c r="E840" s="65"/>
      <c r="F840" s="65"/>
      <c r="G840" s="65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spans="1:26" ht="14.25" customHeight="1" x14ac:dyDescent="0.3">
      <c r="A841" s="61"/>
      <c r="B841" s="61"/>
      <c r="C841" s="61"/>
      <c r="D841" s="61"/>
      <c r="E841" s="65"/>
      <c r="F841" s="65"/>
      <c r="G841" s="65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spans="1:26" ht="14.25" customHeight="1" x14ac:dyDescent="0.3">
      <c r="A842" s="61"/>
      <c r="B842" s="61"/>
      <c r="C842" s="61"/>
      <c r="D842" s="61"/>
      <c r="E842" s="65"/>
      <c r="F842" s="65"/>
      <c r="G842" s="65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spans="1:26" ht="14.25" customHeight="1" x14ac:dyDescent="0.3">
      <c r="A843" s="61"/>
      <c r="B843" s="61"/>
      <c r="C843" s="61"/>
      <c r="D843" s="61"/>
      <c r="E843" s="65"/>
      <c r="F843" s="65"/>
      <c r="G843" s="65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spans="1:26" ht="14.25" customHeight="1" x14ac:dyDescent="0.3">
      <c r="A844" s="61"/>
      <c r="B844" s="61"/>
      <c r="C844" s="61"/>
      <c r="D844" s="61"/>
      <c r="E844" s="65"/>
      <c r="F844" s="65"/>
      <c r="G844" s="65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spans="1:26" ht="14.25" customHeight="1" x14ac:dyDescent="0.3">
      <c r="A845" s="61"/>
      <c r="B845" s="61"/>
      <c r="C845" s="61"/>
      <c r="D845" s="61"/>
      <c r="E845" s="65"/>
      <c r="F845" s="65"/>
      <c r="G845" s="65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spans="1:26" ht="14.25" customHeight="1" x14ac:dyDescent="0.3">
      <c r="A846" s="61"/>
      <c r="B846" s="61"/>
      <c r="C846" s="61"/>
      <c r="D846" s="61"/>
      <c r="E846" s="65"/>
      <c r="F846" s="65"/>
      <c r="G846" s="65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spans="1:26" ht="14.25" customHeight="1" x14ac:dyDescent="0.3">
      <c r="A847" s="61"/>
      <c r="B847" s="61"/>
      <c r="C847" s="61"/>
      <c r="D847" s="61"/>
      <c r="E847" s="65"/>
      <c r="F847" s="65"/>
      <c r="G847" s="65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spans="1:26" ht="14.25" customHeight="1" x14ac:dyDescent="0.3">
      <c r="A848" s="61"/>
      <c r="B848" s="61"/>
      <c r="C848" s="61"/>
      <c r="D848" s="61"/>
      <c r="E848" s="65"/>
      <c r="F848" s="65"/>
      <c r="G848" s="65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spans="1:26" ht="14.25" customHeight="1" x14ac:dyDescent="0.3">
      <c r="A849" s="61"/>
      <c r="B849" s="61"/>
      <c r="C849" s="61"/>
      <c r="D849" s="61"/>
      <c r="E849" s="65"/>
      <c r="F849" s="65"/>
      <c r="G849" s="65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spans="1:26" ht="14.25" customHeight="1" x14ac:dyDescent="0.3">
      <c r="A850" s="61"/>
      <c r="B850" s="61"/>
      <c r="C850" s="61"/>
      <c r="D850" s="61"/>
      <c r="E850" s="65"/>
      <c r="F850" s="65"/>
      <c r="G850" s="65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spans="1:26" ht="14.25" customHeight="1" x14ac:dyDescent="0.3">
      <c r="A851" s="61"/>
      <c r="B851" s="61"/>
      <c r="C851" s="61"/>
      <c r="D851" s="61"/>
      <c r="E851" s="65"/>
      <c r="F851" s="65"/>
      <c r="G851" s="65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spans="1:26" ht="14.25" customHeight="1" x14ac:dyDescent="0.3">
      <c r="A852" s="61"/>
      <c r="B852" s="61"/>
      <c r="C852" s="61"/>
      <c r="D852" s="61"/>
      <c r="E852" s="65"/>
      <c r="F852" s="65"/>
      <c r="G852" s="65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spans="1:26" ht="14.25" customHeight="1" x14ac:dyDescent="0.3">
      <c r="A853" s="61"/>
      <c r="B853" s="61"/>
      <c r="C853" s="61"/>
      <c r="D853" s="61"/>
      <c r="E853" s="65"/>
      <c r="F853" s="65"/>
      <c r="G853" s="65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spans="1:26" ht="14.25" customHeight="1" x14ac:dyDescent="0.3">
      <c r="A854" s="61"/>
      <c r="B854" s="61"/>
      <c r="C854" s="61"/>
      <c r="D854" s="61"/>
      <c r="E854" s="65"/>
      <c r="F854" s="65"/>
      <c r="G854" s="65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spans="1:26" ht="14.25" customHeight="1" x14ac:dyDescent="0.3">
      <c r="A855" s="61"/>
      <c r="B855" s="61"/>
      <c r="C855" s="61"/>
      <c r="D855" s="61"/>
      <c r="E855" s="65"/>
      <c r="F855" s="65"/>
      <c r="G855" s="65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spans="1:26" ht="14.25" customHeight="1" x14ac:dyDescent="0.3">
      <c r="A856" s="61"/>
      <c r="B856" s="61"/>
      <c r="C856" s="61"/>
      <c r="D856" s="61"/>
      <c r="E856" s="65"/>
      <c r="F856" s="65"/>
      <c r="G856" s="65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spans="1:26" ht="14.25" customHeight="1" x14ac:dyDescent="0.3">
      <c r="A857" s="61"/>
      <c r="B857" s="61"/>
      <c r="C857" s="61"/>
      <c r="D857" s="61"/>
      <c r="E857" s="65"/>
      <c r="F857" s="65"/>
      <c r="G857" s="65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spans="1:26" ht="14.25" customHeight="1" x14ac:dyDescent="0.3">
      <c r="A858" s="61"/>
      <c r="B858" s="61"/>
      <c r="C858" s="61"/>
      <c r="D858" s="61"/>
      <c r="E858" s="65"/>
      <c r="F858" s="65"/>
      <c r="G858" s="65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spans="1:26" ht="14.25" customHeight="1" x14ac:dyDescent="0.3">
      <c r="A859" s="61"/>
      <c r="B859" s="61"/>
      <c r="C859" s="61"/>
      <c r="D859" s="61"/>
      <c r="E859" s="65"/>
      <c r="F859" s="65"/>
      <c r="G859" s="65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spans="1:26" ht="14.25" customHeight="1" x14ac:dyDescent="0.3">
      <c r="A860" s="61"/>
      <c r="B860" s="61"/>
      <c r="C860" s="61"/>
      <c r="D860" s="61"/>
      <c r="E860" s="65"/>
      <c r="F860" s="65"/>
      <c r="G860" s="65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spans="1:26" ht="14.25" customHeight="1" x14ac:dyDescent="0.3">
      <c r="A861" s="61"/>
      <c r="B861" s="61"/>
      <c r="C861" s="61"/>
      <c r="D861" s="61"/>
      <c r="E861" s="65"/>
      <c r="F861" s="65"/>
      <c r="G861" s="65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spans="1:26" ht="14.25" customHeight="1" x14ac:dyDescent="0.3">
      <c r="A862" s="61"/>
      <c r="B862" s="61"/>
      <c r="C862" s="61"/>
      <c r="D862" s="61"/>
      <c r="E862" s="65"/>
      <c r="F862" s="65"/>
      <c r="G862" s="65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spans="1:26" ht="14.25" customHeight="1" x14ac:dyDescent="0.3">
      <c r="A863" s="61"/>
      <c r="B863" s="61"/>
      <c r="C863" s="61"/>
      <c r="D863" s="61"/>
      <c r="E863" s="65"/>
      <c r="F863" s="65"/>
      <c r="G863" s="65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spans="1:26" ht="14.25" customHeight="1" x14ac:dyDescent="0.3">
      <c r="A864" s="61"/>
      <c r="B864" s="61"/>
      <c r="C864" s="61"/>
      <c r="D864" s="61"/>
      <c r="E864" s="65"/>
      <c r="F864" s="65"/>
      <c r="G864" s="65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spans="1:26" ht="14.25" customHeight="1" x14ac:dyDescent="0.3">
      <c r="A865" s="61"/>
      <c r="B865" s="61"/>
      <c r="C865" s="61"/>
      <c r="D865" s="61"/>
      <c r="E865" s="65"/>
      <c r="F865" s="65"/>
      <c r="G865" s="65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spans="1:26" ht="14.25" customHeight="1" x14ac:dyDescent="0.3">
      <c r="A866" s="61"/>
      <c r="B866" s="61"/>
      <c r="C866" s="61"/>
      <c r="D866" s="61"/>
      <c r="E866" s="65"/>
      <c r="F866" s="65"/>
      <c r="G866" s="65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spans="1:26" ht="14.25" customHeight="1" x14ac:dyDescent="0.3">
      <c r="A867" s="61"/>
      <c r="B867" s="61"/>
      <c r="C867" s="61"/>
      <c r="D867" s="61"/>
      <c r="E867" s="65"/>
      <c r="F867" s="65"/>
      <c r="G867" s="65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spans="1:26" ht="14.25" customHeight="1" x14ac:dyDescent="0.3">
      <c r="A868" s="61"/>
      <c r="B868" s="61"/>
      <c r="C868" s="61"/>
      <c r="D868" s="61"/>
      <c r="E868" s="65"/>
      <c r="F868" s="65"/>
      <c r="G868" s="65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spans="1:26" ht="14.25" customHeight="1" x14ac:dyDescent="0.3">
      <c r="A869" s="61"/>
      <c r="B869" s="61"/>
      <c r="C869" s="61"/>
      <c r="D869" s="61"/>
      <c r="E869" s="65"/>
      <c r="F869" s="65"/>
      <c r="G869" s="65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spans="1:26" ht="14.25" customHeight="1" x14ac:dyDescent="0.3">
      <c r="A870" s="61"/>
      <c r="B870" s="61"/>
      <c r="C870" s="61"/>
      <c r="D870" s="61"/>
      <c r="E870" s="65"/>
      <c r="F870" s="65"/>
      <c r="G870" s="65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spans="1:26" ht="14.25" customHeight="1" x14ac:dyDescent="0.3">
      <c r="A871" s="61"/>
      <c r="B871" s="61"/>
      <c r="C871" s="61"/>
      <c r="D871" s="61"/>
      <c r="E871" s="65"/>
      <c r="F871" s="65"/>
      <c r="G871" s="65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spans="1:26" ht="14.25" customHeight="1" x14ac:dyDescent="0.3">
      <c r="A872" s="61"/>
      <c r="B872" s="61"/>
      <c r="C872" s="61"/>
      <c r="D872" s="61"/>
      <c r="E872" s="65"/>
      <c r="F872" s="65"/>
      <c r="G872" s="65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spans="1:26" ht="14.25" customHeight="1" x14ac:dyDescent="0.3">
      <c r="A873" s="61"/>
      <c r="B873" s="61"/>
      <c r="C873" s="61"/>
      <c r="D873" s="61"/>
      <c r="E873" s="65"/>
      <c r="F873" s="65"/>
      <c r="G873" s="65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spans="1:26" ht="14.25" customHeight="1" x14ac:dyDescent="0.3">
      <c r="A874" s="61"/>
      <c r="B874" s="61"/>
      <c r="C874" s="61"/>
      <c r="D874" s="61"/>
      <c r="E874" s="65"/>
      <c r="F874" s="65"/>
      <c r="G874" s="65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spans="1:26" ht="14.25" customHeight="1" x14ac:dyDescent="0.3">
      <c r="A875" s="61"/>
      <c r="B875" s="61"/>
      <c r="C875" s="61"/>
      <c r="D875" s="61"/>
      <c r="E875" s="65"/>
      <c r="F875" s="65"/>
      <c r="G875" s="65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spans="1:26" ht="14.25" customHeight="1" x14ac:dyDescent="0.3">
      <c r="A876" s="61"/>
      <c r="B876" s="61"/>
      <c r="C876" s="61"/>
      <c r="D876" s="61"/>
      <c r="E876" s="65"/>
      <c r="F876" s="65"/>
      <c r="G876" s="65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spans="1:26" ht="14.25" customHeight="1" x14ac:dyDescent="0.3">
      <c r="A877" s="61"/>
      <c r="B877" s="61"/>
      <c r="C877" s="61"/>
      <c r="D877" s="61"/>
      <c r="E877" s="65"/>
      <c r="F877" s="65"/>
      <c r="G877" s="65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spans="1:26" ht="14.25" customHeight="1" x14ac:dyDescent="0.3">
      <c r="A878" s="61"/>
      <c r="B878" s="61"/>
      <c r="C878" s="61"/>
      <c r="D878" s="61"/>
      <c r="E878" s="65"/>
      <c r="F878" s="65"/>
      <c r="G878" s="65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spans="1:26" ht="14.25" customHeight="1" x14ac:dyDescent="0.3">
      <c r="A879" s="61"/>
      <c r="B879" s="61"/>
      <c r="C879" s="61"/>
      <c r="D879" s="61"/>
      <c r="E879" s="65"/>
      <c r="F879" s="65"/>
      <c r="G879" s="65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spans="1:26" ht="14.25" customHeight="1" x14ac:dyDescent="0.3">
      <c r="A880" s="61"/>
      <c r="B880" s="61"/>
      <c r="C880" s="61"/>
      <c r="D880" s="61"/>
      <c r="E880" s="65"/>
      <c r="F880" s="65"/>
      <c r="G880" s="65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spans="1:26" ht="14.25" customHeight="1" x14ac:dyDescent="0.3">
      <c r="A881" s="61"/>
      <c r="B881" s="61"/>
      <c r="C881" s="61"/>
      <c r="D881" s="61"/>
      <c r="E881" s="65"/>
      <c r="F881" s="65"/>
      <c r="G881" s="65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spans="1:26" ht="14.25" customHeight="1" x14ac:dyDescent="0.3">
      <c r="A882" s="61"/>
      <c r="B882" s="61"/>
      <c r="C882" s="61"/>
      <c r="D882" s="61"/>
      <c r="E882" s="65"/>
      <c r="F882" s="65"/>
      <c r="G882" s="65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spans="1:26" ht="14.25" customHeight="1" x14ac:dyDescent="0.3">
      <c r="A883" s="61"/>
      <c r="B883" s="61"/>
      <c r="C883" s="61"/>
      <c r="D883" s="61"/>
      <c r="E883" s="65"/>
      <c r="F883" s="65"/>
      <c r="G883" s="65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spans="1:26" ht="14.25" customHeight="1" x14ac:dyDescent="0.3">
      <c r="A884" s="61"/>
      <c r="B884" s="61"/>
      <c r="C884" s="61"/>
      <c r="D884" s="61"/>
      <c r="E884" s="65"/>
      <c r="F884" s="65"/>
      <c r="G884" s="65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spans="1:26" ht="14.25" customHeight="1" x14ac:dyDescent="0.3">
      <c r="A885" s="61"/>
      <c r="B885" s="61"/>
      <c r="C885" s="61"/>
      <c r="D885" s="61"/>
      <c r="E885" s="65"/>
      <c r="F885" s="65"/>
      <c r="G885" s="65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spans="1:26" ht="14.25" customHeight="1" x14ac:dyDescent="0.3">
      <c r="A886" s="61"/>
      <c r="B886" s="61"/>
      <c r="C886" s="61"/>
      <c r="D886" s="61"/>
      <c r="E886" s="65"/>
      <c r="F886" s="65"/>
      <c r="G886" s="65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spans="1:26" ht="14.25" customHeight="1" x14ac:dyDescent="0.3">
      <c r="A887" s="61"/>
      <c r="B887" s="61"/>
      <c r="C887" s="61"/>
      <c r="D887" s="61"/>
      <c r="E887" s="65"/>
      <c r="F887" s="65"/>
      <c r="G887" s="65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spans="1:26" ht="14.25" customHeight="1" x14ac:dyDescent="0.3">
      <c r="A888" s="61"/>
      <c r="B888" s="61"/>
      <c r="C888" s="61"/>
      <c r="D888" s="61"/>
      <c r="E888" s="65"/>
      <c r="F888" s="65"/>
      <c r="G888" s="65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spans="1:26" ht="14.25" customHeight="1" x14ac:dyDescent="0.3">
      <c r="A889" s="61"/>
      <c r="B889" s="61"/>
      <c r="C889" s="61"/>
      <c r="D889" s="61"/>
      <c r="E889" s="65"/>
      <c r="F889" s="65"/>
      <c r="G889" s="65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spans="1:26" ht="14.25" customHeight="1" x14ac:dyDescent="0.3">
      <c r="A890" s="61"/>
      <c r="B890" s="61"/>
      <c r="C890" s="61"/>
      <c r="D890" s="61"/>
      <c r="E890" s="65"/>
      <c r="F890" s="65"/>
      <c r="G890" s="65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spans="1:26" ht="14.25" customHeight="1" x14ac:dyDescent="0.3">
      <c r="A891" s="61"/>
      <c r="B891" s="61"/>
      <c r="C891" s="61"/>
      <c r="D891" s="61"/>
      <c r="E891" s="65"/>
      <c r="F891" s="65"/>
      <c r="G891" s="65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spans="1:26" ht="14.25" customHeight="1" x14ac:dyDescent="0.3">
      <c r="A892" s="61"/>
      <c r="B892" s="61"/>
      <c r="C892" s="61"/>
      <c r="D892" s="61"/>
      <c r="E892" s="65"/>
      <c r="F892" s="65"/>
      <c r="G892" s="65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spans="1:26" ht="14.25" customHeight="1" x14ac:dyDescent="0.3">
      <c r="A893" s="61"/>
      <c r="B893" s="61"/>
      <c r="C893" s="61"/>
      <c r="D893" s="61"/>
      <c r="E893" s="65"/>
      <c r="F893" s="65"/>
      <c r="G893" s="65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spans="1:26" ht="14.25" customHeight="1" x14ac:dyDescent="0.3">
      <c r="A894" s="61"/>
      <c r="B894" s="61"/>
      <c r="C894" s="61"/>
      <c r="D894" s="61"/>
      <c r="E894" s="65"/>
      <c r="F894" s="65"/>
      <c r="G894" s="65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spans="1:26" ht="14.25" customHeight="1" x14ac:dyDescent="0.3">
      <c r="A895" s="61"/>
      <c r="B895" s="61"/>
      <c r="C895" s="61"/>
      <c r="D895" s="61"/>
      <c r="E895" s="65"/>
      <c r="F895" s="65"/>
      <c r="G895" s="65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spans="1:26" ht="14.25" customHeight="1" x14ac:dyDescent="0.3">
      <c r="A896" s="61"/>
      <c r="B896" s="61"/>
      <c r="C896" s="61"/>
      <c r="D896" s="61"/>
      <c r="E896" s="65"/>
      <c r="F896" s="65"/>
      <c r="G896" s="65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spans="1:26" ht="14.25" customHeight="1" x14ac:dyDescent="0.3">
      <c r="A897" s="61"/>
      <c r="B897" s="61"/>
      <c r="C897" s="61"/>
      <c r="D897" s="61"/>
      <c r="E897" s="65"/>
      <c r="F897" s="65"/>
      <c r="G897" s="65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spans="1:26" ht="14.25" customHeight="1" x14ac:dyDescent="0.3">
      <c r="A898" s="61"/>
      <c r="B898" s="61"/>
      <c r="C898" s="61"/>
      <c r="D898" s="61"/>
      <c r="E898" s="65"/>
      <c r="F898" s="65"/>
      <c r="G898" s="65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spans="1:26" ht="14.25" customHeight="1" x14ac:dyDescent="0.3">
      <c r="A899" s="61"/>
      <c r="B899" s="61"/>
      <c r="C899" s="61"/>
      <c r="D899" s="61"/>
      <c r="E899" s="65"/>
      <c r="F899" s="65"/>
      <c r="G899" s="65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spans="1:26" ht="14.25" customHeight="1" x14ac:dyDescent="0.3">
      <c r="A900" s="61"/>
      <c r="B900" s="61"/>
      <c r="C900" s="61"/>
      <c r="D900" s="61"/>
      <c r="E900" s="65"/>
      <c r="F900" s="65"/>
      <c r="G900" s="65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spans="1:26" ht="14.25" customHeight="1" x14ac:dyDescent="0.3">
      <c r="A901" s="61"/>
      <c r="B901" s="61"/>
      <c r="C901" s="61"/>
      <c r="D901" s="61"/>
      <c r="E901" s="65"/>
      <c r="F901" s="65"/>
      <c r="G901" s="65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spans="1:26" ht="14.25" customHeight="1" x14ac:dyDescent="0.3">
      <c r="A902" s="61"/>
      <c r="B902" s="61"/>
      <c r="C902" s="61"/>
      <c r="D902" s="61"/>
      <c r="E902" s="65"/>
      <c r="F902" s="65"/>
      <c r="G902" s="65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spans="1:26" ht="14.25" customHeight="1" x14ac:dyDescent="0.3">
      <c r="A903" s="61"/>
      <c r="B903" s="61"/>
      <c r="C903" s="61"/>
      <c r="D903" s="61"/>
      <c r="E903" s="65"/>
      <c r="F903" s="65"/>
      <c r="G903" s="65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spans="1:26" ht="14.25" customHeight="1" x14ac:dyDescent="0.3">
      <c r="A904" s="61"/>
      <c r="B904" s="61"/>
      <c r="C904" s="61"/>
      <c r="D904" s="61"/>
      <c r="E904" s="65"/>
      <c r="F904" s="65"/>
      <c r="G904" s="65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spans="1:26" ht="14.25" customHeight="1" x14ac:dyDescent="0.3">
      <c r="A905" s="61"/>
      <c r="B905" s="61"/>
      <c r="C905" s="61"/>
      <c r="D905" s="61"/>
      <c r="E905" s="65"/>
      <c r="F905" s="65"/>
      <c r="G905" s="65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spans="1:26" ht="14.25" customHeight="1" x14ac:dyDescent="0.3">
      <c r="A906" s="61"/>
      <c r="B906" s="61"/>
      <c r="C906" s="61"/>
      <c r="D906" s="61"/>
      <c r="E906" s="65"/>
      <c r="F906" s="65"/>
      <c r="G906" s="65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spans="1:26" ht="14.25" customHeight="1" x14ac:dyDescent="0.3">
      <c r="A907" s="61"/>
      <c r="B907" s="61"/>
      <c r="C907" s="61"/>
      <c r="D907" s="61"/>
      <c r="E907" s="65"/>
      <c r="F907" s="65"/>
      <c r="G907" s="65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spans="1:26" ht="14.25" customHeight="1" x14ac:dyDescent="0.3">
      <c r="A908" s="61"/>
      <c r="B908" s="61"/>
      <c r="C908" s="61"/>
      <c r="D908" s="61"/>
      <c r="E908" s="65"/>
      <c r="F908" s="65"/>
      <c r="G908" s="65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spans="1:26" ht="14.25" customHeight="1" x14ac:dyDescent="0.3">
      <c r="A909" s="61"/>
      <c r="B909" s="61"/>
      <c r="C909" s="61"/>
      <c r="D909" s="61"/>
      <c r="E909" s="65"/>
      <c r="F909" s="65"/>
      <c r="G909" s="65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spans="1:26" ht="14.25" customHeight="1" x14ac:dyDescent="0.3">
      <c r="A910" s="61"/>
      <c r="B910" s="61"/>
      <c r="C910" s="61"/>
      <c r="D910" s="61"/>
      <c r="E910" s="65"/>
      <c r="F910" s="65"/>
      <c r="G910" s="65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spans="1:26" ht="14.25" customHeight="1" x14ac:dyDescent="0.3">
      <c r="A911" s="61"/>
      <c r="B911" s="61"/>
      <c r="C911" s="61"/>
      <c r="D911" s="61"/>
      <c r="E911" s="65"/>
      <c r="F911" s="65"/>
      <c r="G911" s="65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spans="1:26" ht="14.25" customHeight="1" x14ac:dyDescent="0.3">
      <c r="A912" s="61"/>
      <c r="B912" s="61"/>
      <c r="C912" s="61"/>
      <c r="D912" s="61"/>
      <c r="E912" s="65"/>
      <c r="F912" s="65"/>
      <c r="G912" s="65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spans="1:26" ht="14.25" customHeight="1" x14ac:dyDescent="0.3">
      <c r="A913" s="61"/>
      <c r="B913" s="61"/>
      <c r="C913" s="61"/>
      <c r="D913" s="61"/>
      <c r="E913" s="65"/>
      <c r="F913" s="65"/>
      <c r="G913" s="65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spans="1:26" ht="14.25" customHeight="1" x14ac:dyDescent="0.3">
      <c r="A914" s="61"/>
      <c r="B914" s="61"/>
      <c r="C914" s="61"/>
      <c r="D914" s="61"/>
      <c r="E914" s="65"/>
      <c r="F914" s="65"/>
      <c r="G914" s="65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spans="1:26" ht="14.25" customHeight="1" x14ac:dyDescent="0.3">
      <c r="A915" s="61"/>
      <c r="B915" s="61"/>
      <c r="C915" s="61"/>
      <c r="D915" s="61"/>
      <c r="E915" s="65"/>
      <c r="F915" s="65"/>
      <c r="G915" s="65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spans="1:26" ht="14.25" customHeight="1" x14ac:dyDescent="0.3">
      <c r="A916" s="61"/>
      <c r="B916" s="61"/>
      <c r="C916" s="61"/>
      <c r="D916" s="61"/>
      <c r="E916" s="65"/>
      <c r="F916" s="65"/>
      <c r="G916" s="65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spans="1:26" ht="14.25" customHeight="1" x14ac:dyDescent="0.3">
      <c r="A917" s="61"/>
      <c r="B917" s="61"/>
      <c r="C917" s="61"/>
      <c r="D917" s="61"/>
      <c r="E917" s="65"/>
      <c r="F917" s="65"/>
      <c r="G917" s="65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spans="1:26" ht="14.25" customHeight="1" x14ac:dyDescent="0.3">
      <c r="A918" s="61"/>
      <c r="B918" s="61"/>
      <c r="C918" s="61"/>
      <c r="D918" s="61"/>
      <c r="E918" s="65"/>
      <c r="F918" s="65"/>
      <c r="G918" s="65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spans="1:26" ht="14.25" customHeight="1" x14ac:dyDescent="0.3">
      <c r="A919" s="61"/>
      <c r="B919" s="61"/>
      <c r="C919" s="61"/>
      <c r="D919" s="61"/>
      <c r="E919" s="65"/>
      <c r="F919" s="65"/>
      <c r="G919" s="65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spans="1:26" ht="14.25" customHeight="1" x14ac:dyDescent="0.3">
      <c r="A920" s="61"/>
      <c r="B920" s="61"/>
      <c r="C920" s="61"/>
      <c r="D920" s="61"/>
      <c r="E920" s="65"/>
      <c r="F920" s="65"/>
      <c r="G920" s="65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spans="1:26" ht="14.25" customHeight="1" x14ac:dyDescent="0.3">
      <c r="A921" s="61"/>
      <c r="B921" s="61"/>
      <c r="C921" s="61"/>
      <c r="D921" s="61"/>
      <c r="E921" s="65"/>
      <c r="F921" s="65"/>
      <c r="G921" s="65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spans="1:26" ht="14.25" customHeight="1" x14ac:dyDescent="0.3">
      <c r="A922" s="61"/>
      <c r="B922" s="61"/>
      <c r="C922" s="61"/>
      <c r="D922" s="61"/>
      <c r="E922" s="65"/>
      <c r="F922" s="65"/>
      <c r="G922" s="65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spans="1:26" ht="14.25" customHeight="1" x14ac:dyDescent="0.3">
      <c r="A923" s="61"/>
      <c r="B923" s="61"/>
      <c r="C923" s="61"/>
      <c r="D923" s="61"/>
      <c r="E923" s="65"/>
      <c r="F923" s="65"/>
      <c r="G923" s="65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spans="1:26" ht="14.25" customHeight="1" x14ac:dyDescent="0.3">
      <c r="A924" s="61"/>
      <c r="B924" s="61"/>
      <c r="C924" s="61"/>
      <c r="D924" s="61"/>
      <c r="E924" s="65"/>
      <c r="F924" s="65"/>
      <c r="G924" s="65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spans="1:26" ht="14.25" customHeight="1" x14ac:dyDescent="0.3">
      <c r="A925" s="61"/>
      <c r="B925" s="61"/>
      <c r="C925" s="61"/>
      <c r="D925" s="61"/>
      <c r="E925" s="65"/>
      <c r="F925" s="65"/>
      <c r="G925" s="65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spans="1:26" ht="14.25" customHeight="1" x14ac:dyDescent="0.3">
      <c r="A926" s="61"/>
      <c r="B926" s="61"/>
      <c r="C926" s="61"/>
      <c r="D926" s="61"/>
      <c r="E926" s="65"/>
      <c r="F926" s="65"/>
      <c r="G926" s="65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spans="1:26" ht="14.25" customHeight="1" x14ac:dyDescent="0.3">
      <c r="A927" s="61"/>
      <c r="B927" s="61"/>
      <c r="C927" s="61"/>
      <c r="D927" s="61"/>
      <c r="E927" s="65"/>
      <c r="F927" s="65"/>
      <c r="G927" s="65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spans="1:26" ht="14.25" customHeight="1" x14ac:dyDescent="0.3">
      <c r="A928" s="61"/>
      <c r="B928" s="61"/>
      <c r="C928" s="61"/>
      <c r="D928" s="61"/>
      <c r="E928" s="65"/>
      <c r="F928" s="65"/>
      <c r="G928" s="65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spans="1:26" ht="14.25" customHeight="1" x14ac:dyDescent="0.3">
      <c r="A929" s="61"/>
      <c r="B929" s="61"/>
      <c r="C929" s="61"/>
      <c r="D929" s="61"/>
      <c r="E929" s="65"/>
      <c r="F929" s="65"/>
      <c r="G929" s="65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spans="1:26" ht="14.25" customHeight="1" x14ac:dyDescent="0.3">
      <c r="A930" s="61"/>
      <c r="B930" s="61"/>
      <c r="C930" s="61"/>
      <c r="D930" s="61"/>
      <c r="E930" s="65"/>
      <c r="F930" s="65"/>
      <c r="G930" s="65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spans="1:26" ht="14.25" customHeight="1" x14ac:dyDescent="0.3">
      <c r="A931" s="61"/>
      <c r="B931" s="61"/>
      <c r="C931" s="61"/>
      <c r="D931" s="61"/>
      <c r="E931" s="65"/>
      <c r="F931" s="65"/>
      <c r="G931" s="65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spans="1:26" ht="14.25" customHeight="1" x14ac:dyDescent="0.3">
      <c r="A932" s="61"/>
      <c r="B932" s="61"/>
      <c r="C932" s="61"/>
      <c r="D932" s="61"/>
      <c r="E932" s="65"/>
      <c r="F932" s="65"/>
      <c r="G932" s="65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spans="1:26" ht="14.25" customHeight="1" x14ac:dyDescent="0.3">
      <c r="A933" s="61"/>
      <c r="B933" s="61"/>
      <c r="C933" s="61"/>
      <c r="D933" s="61"/>
      <c r="E933" s="65"/>
      <c r="F933" s="65"/>
      <c r="G933" s="65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spans="1:26" ht="14.25" customHeight="1" x14ac:dyDescent="0.3">
      <c r="A934" s="61"/>
      <c r="B934" s="61"/>
      <c r="C934" s="61"/>
      <c r="D934" s="61"/>
      <c r="E934" s="65"/>
      <c r="F934" s="65"/>
      <c r="G934" s="65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spans="1:26" ht="14.25" customHeight="1" x14ac:dyDescent="0.3">
      <c r="A935" s="61"/>
      <c r="B935" s="61"/>
      <c r="C935" s="61"/>
      <c r="D935" s="61"/>
      <c r="E935" s="65"/>
      <c r="F935" s="65"/>
      <c r="G935" s="65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spans="1:26" ht="14.25" customHeight="1" x14ac:dyDescent="0.3">
      <c r="A936" s="61"/>
      <c r="B936" s="61"/>
      <c r="C936" s="61"/>
      <c r="D936" s="61"/>
      <c r="E936" s="65"/>
      <c r="F936" s="65"/>
      <c r="G936" s="65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spans="1:26" ht="14.25" customHeight="1" x14ac:dyDescent="0.3">
      <c r="A937" s="61"/>
      <c r="B937" s="61"/>
      <c r="C937" s="61"/>
      <c r="D937" s="61"/>
      <c r="E937" s="65"/>
      <c r="F937" s="65"/>
      <c r="G937" s="65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spans="1:26" ht="14.25" customHeight="1" x14ac:dyDescent="0.3">
      <c r="A938" s="61"/>
      <c r="B938" s="61"/>
      <c r="C938" s="61"/>
      <c r="D938" s="61"/>
      <c r="E938" s="65"/>
      <c r="F938" s="65"/>
      <c r="G938" s="65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spans="1:26" ht="14.25" customHeight="1" x14ac:dyDescent="0.3">
      <c r="A939" s="61"/>
      <c r="B939" s="61"/>
      <c r="C939" s="61"/>
      <c r="D939" s="61"/>
      <c r="E939" s="65"/>
      <c r="F939" s="65"/>
      <c r="G939" s="65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spans="1:26" ht="14.25" customHeight="1" x14ac:dyDescent="0.3">
      <c r="A940" s="61"/>
      <c r="B940" s="61"/>
      <c r="C940" s="61"/>
      <c r="D940" s="61"/>
      <c r="E940" s="65"/>
      <c r="F940" s="65"/>
      <c r="G940" s="65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spans="1:26" ht="14.25" customHeight="1" x14ac:dyDescent="0.3">
      <c r="A941" s="61"/>
      <c r="B941" s="61"/>
      <c r="C941" s="61"/>
      <c r="D941" s="61"/>
      <c r="E941" s="65"/>
      <c r="F941" s="65"/>
      <c r="G941" s="65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spans="1:26" ht="14.25" customHeight="1" x14ac:dyDescent="0.3">
      <c r="A942" s="61"/>
      <c r="B942" s="61"/>
      <c r="C942" s="61"/>
      <c r="D942" s="61"/>
      <c r="E942" s="65"/>
      <c r="F942" s="65"/>
      <c r="G942" s="65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spans="1:26" ht="14.25" customHeight="1" x14ac:dyDescent="0.3">
      <c r="A943" s="61"/>
      <c r="B943" s="61"/>
      <c r="C943" s="61"/>
      <c r="D943" s="61"/>
      <c r="E943" s="65"/>
      <c r="F943" s="65"/>
      <c r="G943" s="65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spans="1:26" ht="14.25" customHeight="1" x14ac:dyDescent="0.3">
      <c r="A944" s="61"/>
      <c r="B944" s="61"/>
      <c r="C944" s="61"/>
      <c r="D944" s="61"/>
      <c r="E944" s="65"/>
      <c r="F944" s="65"/>
      <c r="G944" s="65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spans="1:26" ht="14.25" customHeight="1" x14ac:dyDescent="0.3">
      <c r="A945" s="61"/>
      <c r="B945" s="61"/>
      <c r="C945" s="61"/>
      <c r="D945" s="61"/>
      <c r="E945" s="65"/>
      <c r="F945" s="65"/>
      <c r="G945" s="65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spans="1:26" ht="14.25" customHeight="1" x14ac:dyDescent="0.3">
      <c r="A946" s="61"/>
      <c r="B946" s="61"/>
      <c r="C946" s="61"/>
      <c r="D946" s="61"/>
      <c r="E946" s="65"/>
      <c r="F946" s="65"/>
      <c r="G946" s="65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spans="1:26" ht="14.25" customHeight="1" x14ac:dyDescent="0.3">
      <c r="A947" s="61"/>
      <c r="B947" s="61"/>
      <c r="C947" s="61"/>
      <c r="D947" s="61"/>
      <c r="E947" s="65"/>
      <c r="F947" s="65"/>
      <c r="G947" s="65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spans="1:26" ht="14.25" customHeight="1" x14ac:dyDescent="0.3">
      <c r="A948" s="61"/>
      <c r="B948" s="61"/>
      <c r="C948" s="61"/>
      <c r="D948" s="61"/>
      <c r="E948" s="65"/>
      <c r="F948" s="65"/>
      <c r="G948" s="65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spans="1:26" ht="14.25" customHeight="1" x14ac:dyDescent="0.3">
      <c r="A949" s="61"/>
      <c r="B949" s="61"/>
      <c r="C949" s="61"/>
      <c r="D949" s="61"/>
      <c r="E949" s="65"/>
      <c r="F949" s="65"/>
      <c r="G949" s="65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spans="1:26" ht="14.25" customHeight="1" x14ac:dyDescent="0.3">
      <c r="A950" s="61"/>
      <c r="B950" s="61"/>
      <c r="C950" s="61"/>
      <c r="D950" s="61"/>
      <c r="E950" s="65"/>
      <c r="F950" s="65"/>
      <c r="G950" s="65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spans="1:26" ht="14.25" customHeight="1" x14ac:dyDescent="0.3">
      <c r="A951" s="61"/>
      <c r="B951" s="61"/>
      <c r="C951" s="61"/>
      <c r="D951" s="61"/>
      <c r="E951" s="65"/>
      <c r="F951" s="65"/>
      <c r="G951" s="65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spans="1:26" ht="14.25" customHeight="1" x14ac:dyDescent="0.3">
      <c r="A952" s="61"/>
      <c r="B952" s="61"/>
      <c r="C952" s="61"/>
      <c r="D952" s="61"/>
      <c r="E952" s="65"/>
      <c r="F952" s="65"/>
      <c r="G952" s="65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spans="1:26" ht="14.25" customHeight="1" x14ac:dyDescent="0.3">
      <c r="A953" s="61"/>
      <c r="B953" s="61"/>
      <c r="C953" s="61"/>
      <c r="D953" s="61"/>
      <c r="E953" s="65"/>
      <c r="F953" s="65"/>
      <c r="G953" s="65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spans="1:26" ht="14.25" customHeight="1" x14ac:dyDescent="0.3">
      <c r="A954" s="61"/>
      <c r="B954" s="61"/>
      <c r="C954" s="61"/>
      <c r="D954" s="61"/>
      <c r="E954" s="65"/>
      <c r="F954" s="65"/>
      <c r="G954" s="65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spans="1:26" ht="14.25" customHeight="1" x14ac:dyDescent="0.3">
      <c r="A955" s="61"/>
      <c r="B955" s="61"/>
      <c r="C955" s="61"/>
      <c r="D955" s="61"/>
      <c r="E955" s="65"/>
      <c r="F955" s="65"/>
      <c r="G955" s="65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spans="1:26" ht="14.25" customHeight="1" x14ac:dyDescent="0.3">
      <c r="A956" s="61"/>
      <c r="B956" s="61"/>
      <c r="C956" s="61"/>
      <c r="D956" s="61"/>
      <c r="E956" s="65"/>
      <c r="F956" s="65"/>
      <c r="G956" s="65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spans="1:26" ht="14.25" customHeight="1" x14ac:dyDescent="0.3">
      <c r="A957" s="61"/>
      <c r="B957" s="61"/>
      <c r="C957" s="61"/>
      <c r="D957" s="61"/>
      <c r="E957" s="65"/>
      <c r="F957" s="65"/>
      <c r="G957" s="65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spans="1:26" ht="14.25" customHeight="1" x14ac:dyDescent="0.3">
      <c r="A958" s="61"/>
      <c r="B958" s="61"/>
      <c r="C958" s="61"/>
      <c r="D958" s="61"/>
      <c r="E958" s="65"/>
      <c r="F958" s="65"/>
      <c r="G958" s="65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spans="1:26" ht="14.25" customHeight="1" x14ac:dyDescent="0.3">
      <c r="A959" s="61"/>
      <c r="B959" s="61"/>
      <c r="C959" s="61"/>
      <c r="D959" s="61"/>
      <c r="E959" s="65"/>
      <c r="F959" s="65"/>
      <c r="G959" s="65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spans="1:26" ht="14.25" customHeight="1" x14ac:dyDescent="0.3">
      <c r="A960" s="61"/>
      <c r="B960" s="61"/>
      <c r="C960" s="61"/>
      <c r="D960" s="61"/>
      <c r="E960" s="65"/>
      <c r="F960" s="65"/>
      <c r="G960" s="65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spans="1:26" ht="14.25" customHeight="1" x14ac:dyDescent="0.3">
      <c r="A961" s="61"/>
      <c r="B961" s="61"/>
      <c r="C961" s="61"/>
      <c r="D961" s="61"/>
      <c r="E961" s="65"/>
      <c r="F961" s="65"/>
      <c r="G961" s="65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spans="1:26" ht="14.25" customHeight="1" x14ac:dyDescent="0.3">
      <c r="A962" s="61"/>
      <c r="B962" s="61"/>
      <c r="C962" s="61"/>
      <c r="D962" s="61"/>
      <c r="E962" s="65"/>
      <c r="F962" s="65"/>
      <c r="G962" s="65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spans="1:26" ht="14.25" customHeight="1" x14ac:dyDescent="0.3">
      <c r="A963" s="61"/>
      <c r="B963" s="61"/>
      <c r="C963" s="61"/>
      <c r="D963" s="61"/>
      <c r="E963" s="65"/>
      <c r="F963" s="65"/>
      <c r="G963" s="65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spans="1:26" ht="14.25" customHeight="1" x14ac:dyDescent="0.3">
      <c r="A964" s="61"/>
      <c r="B964" s="61"/>
      <c r="C964" s="61"/>
      <c r="D964" s="61"/>
      <c r="E964" s="65"/>
      <c r="F964" s="65"/>
      <c r="G964" s="65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spans="1:26" ht="14.25" customHeight="1" x14ac:dyDescent="0.3">
      <c r="A965" s="61"/>
      <c r="B965" s="61"/>
      <c r="C965" s="61"/>
      <c r="D965" s="61"/>
      <c r="E965" s="65"/>
      <c r="F965" s="65"/>
      <c r="G965" s="65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spans="1:26" ht="14.25" customHeight="1" x14ac:dyDescent="0.3">
      <c r="A966" s="61"/>
      <c r="B966" s="61"/>
      <c r="C966" s="61"/>
      <c r="D966" s="61"/>
      <c r="E966" s="65"/>
      <c r="F966" s="65"/>
      <c r="G966" s="65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spans="1:26" ht="14.25" customHeight="1" x14ac:dyDescent="0.3">
      <c r="A967" s="61"/>
      <c r="B967" s="61"/>
      <c r="C967" s="61"/>
      <c r="D967" s="61"/>
      <c r="E967" s="65"/>
      <c r="F967" s="65"/>
      <c r="G967" s="65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spans="1:26" ht="14.25" customHeight="1" x14ac:dyDescent="0.3">
      <c r="A968" s="61"/>
      <c r="B968" s="61"/>
      <c r="C968" s="61"/>
      <c r="D968" s="61"/>
      <c r="E968" s="65"/>
      <c r="F968" s="65"/>
      <c r="G968" s="65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spans="1:26" ht="14.25" customHeight="1" x14ac:dyDescent="0.3">
      <c r="A969" s="61"/>
      <c r="B969" s="61"/>
      <c r="C969" s="61"/>
      <c r="D969" s="61"/>
      <c r="E969" s="65"/>
      <c r="F969" s="65"/>
      <c r="G969" s="65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spans="1:26" ht="14.25" customHeight="1" x14ac:dyDescent="0.3">
      <c r="A970" s="61"/>
      <c r="B970" s="61"/>
      <c r="C970" s="61"/>
      <c r="D970" s="61"/>
      <c r="E970" s="65"/>
      <c r="F970" s="65"/>
      <c r="G970" s="65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spans="1:26" ht="14.25" customHeight="1" x14ac:dyDescent="0.3">
      <c r="A971" s="61"/>
      <c r="B971" s="61"/>
      <c r="C971" s="61"/>
      <c r="D971" s="61"/>
      <c r="E971" s="65"/>
      <c r="F971" s="65"/>
      <c r="G971" s="65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spans="1:26" ht="14.25" customHeight="1" x14ac:dyDescent="0.3">
      <c r="A972" s="61"/>
      <c r="B972" s="61"/>
      <c r="C972" s="61"/>
      <c r="D972" s="61"/>
      <c r="E972" s="65"/>
      <c r="F972" s="65"/>
      <c r="G972" s="65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spans="1:26" ht="14.25" customHeight="1" x14ac:dyDescent="0.3">
      <c r="A973" s="61"/>
      <c r="B973" s="61"/>
      <c r="C973" s="61"/>
      <c r="D973" s="61"/>
      <c r="E973" s="65"/>
      <c r="F973" s="65"/>
      <c r="G973" s="65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spans="1:26" ht="14.25" customHeight="1" x14ac:dyDescent="0.3">
      <c r="A974" s="61"/>
      <c r="B974" s="61"/>
      <c r="C974" s="61"/>
      <c r="D974" s="61"/>
      <c r="E974" s="65"/>
      <c r="F974" s="65"/>
      <c r="G974" s="65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spans="1:26" ht="14.25" customHeight="1" x14ac:dyDescent="0.3">
      <c r="A975" s="61"/>
      <c r="B975" s="61"/>
      <c r="C975" s="61"/>
      <c r="D975" s="61"/>
      <c r="E975" s="65"/>
      <c r="F975" s="65"/>
      <c r="G975" s="65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spans="1:26" ht="14.25" customHeight="1" x14ac:dyDescent="0.3">
      <c r="A976" s="61"/>
      <c r="B976" s="61"/>
      <c r="C976" s="61"/>
      <c r="D976" s="61"/>
      <c r="E976" s="65"/>
      <c r="F976" s="65"/>
      <c r="G976" s="65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spans="1:26" ht="14.25" customHeight="1" x14ac:dyDescent="0.3">
      <c r="A977" s="61"/>
      <c r="B977" s="61"/>
      <c r="C977" s="61"/>
      <c r="D977" s="61"/>
      <c r="E977" s="65"/>
      <c r="F977" s="65"/>
      <c r="G977" s="65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spans="1:26" ht="14.25" customHeight="1" x14ac:dyDescent="0.3">
      <c r="A978" s="61"/>
      <c r="B978" s="61"/>
      <c r="C978" s="61"/>
      <c r="D978" s="61"/>
      <c r="E978" s="65"/>
      <c r="F978" s="65"/>
      <c r="G978" s="65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spans="1:26" ht="14.25" customHeight="1" x14ac:dyDescent="0.3">
      <c r="A979" s="61"/>
      <c r="B979" s="61"/>
      <c r="C979" s="61"/>
      <c r="D979" s="61"/>
      <c r="E979" s="65"/>
      <c r="F979" s="65"/>
      <c r="G979" s="65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spans="1:26" ht="14.25" customHeight="1" x14ac:dyDescent="0.3">
      <c r="A980" s="61"/>
      <c r="B980" s="61"/>
      <c r="C980" s="61"/>
      <c r="D980" s="61"/>
      <c r="E980" s="65"/>
      <c r="F980" s="65"/>
      <c r="G980" s="65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spans="1:26" ht="14.25" customHeight="1" x14ac:dyDescent="0.3">
      <c r="A981" s="61"/>
      <c r="B981" s="61"/>
      <c r="C981" s="61"/>
      <c r="D981" s="61"/>
      <c r="E981" s="65"/>
      <c r="F981" s="65"/>
      <c r="G981" s="65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spans="1:26" ht="14.25" customHeight="1" x14ac:dyDescent="0.3">
      <c r="A982" s="61"/>
      <c r="B982" s="61"/>
      <c r="C982" s="61"/>
      <c r="D982" s="61"/>
      <c r="E982" s="65"/>
      <c r="F982" s="65"/>
      <c r="G982" s="65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spans="1:26" ht="14.25" customHeight="1" x14ac:dyDescent="0.3">
      <c r="A983" s="61"/>
      <c r="B983" s="61"/>
      <c r="C983" s="61"/>
      <c r="D983" s="61"/>
      <c r="E983" s="65"/>
      <c r="F983" s="65"/>
      <c r="G983" s="65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spans="1:26" ht="14.25" customHeight="1" x14ac:dyDescent="0.3">
      <c r="A984" s="61"/>
      <c r="B984" s="61"/>
      <c r="C984" s="61"/>
      <c r="D984" s="61"/>
      <c r="E984" s="65"/>
      <c r="F984" s="65"/>
      <c r="G984" s="65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spans="1:26" ht="14.25" customHeight="1" x14ac:dyDescent="0.3">
      <c r="A985" s="61"/>
      <c r="B985" s="61"/>
      <c r="C985" s="61"/>
      <c r="D985" s="61"/>
      <c r="E985" s="65"/>
      <c r="F985" s="65"/>
      <c r="G985" s="65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spans="1:26" ht="14.25" customHeight="1" x14ac:dyDescent="0.3">
      <c r="A986" s="61"/>
      <c r="B986" s="61"/>
      <c r="C986" s="61"/>
      <c r="D986" s="61"/>
      <c r="E986" s="65"/>
      <c r="F986" s="65"/>
      <c r="G986" s="65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spans="1:26" ht="14.25" customHeight="1" x14ac:dyDescent="0.3">
      <c r="A987" s="61"/>
      <c r="B987" s="61"/>
      <c r="C987" s="61"/>
      <c r="D987" s="61"/>
      <c r="E987" s="65"/>
      <c r="F987" s="65"/>
      <c r="G987" s="65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spans="1:26" ht="14.25" customHeight="1" x14ac:dyDescent="0.3">
      <c r="A988" s="61"/>
      <c r="B988" s="61"/>
      <c r="C988" s="61"/>
      <c r="D988" s="61"/>
      <c r="E988" s="65"/>
      <c r="F988" s="65"/>
      <c r="G988" s="65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spans="1:26" ht="14.25" customHeight="1" x14ac:dyDescent="0.3">
      <c r="A989" s="61"/>
      <c r="B989" s="61"/>
      <c r="C989" s="61"/>
      <c r="D989" s="61"/>
      <c r="E989" s="65"/>
      <c r="F989" s="65"/>
      <c r="G989" s="65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spans="1:26" ht="14.25" customHeight="1" x14ac:dyDescent="0.3">
      <c r="A990" s="61"/>
      <c r="B990" s="61"/>
      <c r="C990" s="61"/>
      <c r="D990" s="61"/>
      <c r="E990" s="65"/>
      <c r="F990" s="65"/>
      <c r="G990" s="65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spans="1:26" ht="14.25" customHeight="1" x14ac:dyDescent="0.3">
      <c r="A991" s="61"/>
      <c r="B991" s="61"/>
      <c r="C991" s="61"/>
      <c r="D991" s="61"/>
      <c r="E991" s="65"/>
      <c r="F991" s="65"/>
      <c r="G991" s="65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spans="1:26" ht="14.25" customHeight="1" x14ac:dyDescent="0.3">
      <c r="A992" s="61"/>
      <c r="B992" s="61"/>
      <c r="C992" s="61"/>
      <c r="D992" s="61"/>
      <c r="E992" s="65"/>
      <c r="F992" s="65"/>
      <c r="G992" s="65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spans="1:26" ht="14.25" customHeight="1" x14ac:dyDescent="0.3">
      <c r="A993" s="61"/>
      <c r="B993" s="61"/>
      <c r="C993" s="61"/>
      <c r="D993" s="61"/>
      <c r="E993" s="65"/>
      <c r="F993" s="65"/>
      <c r="G993" s="65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spans="1:26" ht="14.25" customHeight="1" x14ac:dyDescent="0.3">
      <c r="A994" s="61"/>
      <c r="B994" s="61"/>
      <c r="C994" s="61"/>
      <c r="D994" s="61"/>
      <c r="E994" s="65"/>
      <c r="F994" s="65"/>
      <c r="G994" s="65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spans="1:26" ht="14.25" customHeight="1" x14ac:dyDescent="0.3">
      <c r="A995" s="61"/>
      <c r="B995" s="61"/>
      <c r="C995" s="61"/>
      <c r="D995" s="61"/>
      <c r="E995" s="65"/>
      <c r="F995" s="65"/>
      <c r="G995" s="65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spans="1:26" ht="14.25" customHeight="1" x14ac:dyDescent="0.3">
      <c r="A996" s="61"/>
      <c r="B996" s="61"/>
      <c r="C996" s="61"/>
      <c r="D996" s="61"/>
      <c r="E996" s="65"/>
      <c r="F996" s="65"/>
      <c r="G996" s="65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spans="1:26" ht="14.25" customHeight="1" x14ac:dyDescent="0.3">
      <c r="A997" s="61"/>
      <c r="B997" s="61"/>
      <c r="C997" s="61"/>
      <c r="D997" s="61"/>
      <c r="E997" s="65"/>
      <c r="F997" s="65"/>
      <c r="G997" s="65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spans="1:26" ht="14.25" customHeight="1" x14ac:dyDescent="0.3">
      <c r="A998" s="61"/>
      <c r="B998" s="61"/>
      <c r="C998" s="61"/>
      <c r="D998" s="61"/>
      <c r="E998" s="65"/>
      <c r="F998" s="65"/>
      <c r="G998" s="65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spans="1:26" ht="14.25" customHeight="1" x14ac:dyDescent="0.3">
      <c r="A999" s="61"/>
      <c r="B999" s="61"/>
      <c r="C999" s="61"/>
      <c r="D999" s="61"/>
      <c r="E999" s="65"/>
      <c r="F999" s="65"/>
      <c r="G999" s="65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spans="1:26" ht="14.25" customHeight="1" x14ac:dyDescent="0.3">
      <c r="A1000" s="61"/>
      <c r="B1000" s="61"/>
      <c r="C1000" s="61"/>
      <c r="D1000" s="61"/>
      <c r="E1000" s="65"/>
      <c r="F1000" s="65"/>
      <c r="G1000" s="65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pane ySplit="1" topLeftCell="A2" activePane="bottomLeft" state="frozen"/>
      <selection pane="bottomLeft" activeCell="I2" sqref="I2:I7"/>
    </sheetView>
  </sheetViews>
  <sheetFormatPr defaultColWidth="14.44140625" defaultRowHeight="15" customHeight="1" x14ac:dyDescent="0.3"/>
  <cols>
    <col min="1" max="1" width="13.33203125" customWidth="1"/>
    <col min="2" max="2" width="16" customWidth="1"/>
    <col min="3" max="3" width="58.5546875" customWidth="1"/>
    <col min="4" max="4" width="6.33203125" customWidth="1"/>
    <col min="5" max="5" width="9.33203125" customWidth="1"/>
    <col min="6" max="6" width="14" customWidth="1"/>
    <col min="7" max="7" width="7.5546875" customWidth="1"/>
    <col min="8" max="8" width="1.6640625" customWidth="1"/>
    <col min="9" max="9" width="8.6640625" customWidth="1"/>
    <col min="10" max="10" width="9.33203125" customWidth="1"/>
    <col min="11" max="11" width="7.5546875" customWidth="1"/>
    <col min="12" max="26" width="8.6640625" customWidth="1"/>
  </cols>
  <sheetData>
    <row r="1" spans="1:26" ht="12.7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2" t="s">
        <v>4</v>
      </c>
      <c r="F1" s="2" t="s">
        <v>6</v>
      </c>
      <c r="G1" s="3" t="s">
        <v>7</v>
      </c>
      <c r="H1" s="3"/>
      <c r="I1" s="3" t="s">
        <v>8</v>
      </c>
      <c r="J1" s="2" t="s">
        <v>9</v>
      </c>
      <c r="K1" s="3" t="s">
        <v>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1873</v>
      </c>
      <c r="B2" s="4" t="s">
        <v>1874</v>
      </c>
      <c r="C2" s="4" t="s">
        <v>1875</v>
      </c>
      <c r="D2" s="5" t="s">
        <v>1876</v>
      </c>
      <c r="E2" s="6">
        <v>65</v>
      </c>
      <c r="F2" s="6">
        <v>50.08</v>
      </c>
      <c r="G2" s="7">
        <f t="shared" ref="G2:G7" si="0">1-(F2/E2)</f>
        <v>0.22953846153846158</v>
      </c>
      <c r="H2" s="7"/>
      <c r="I2" s="7">
        <v>0.05</v>
      </c>
      <c r="J2" s="6">
        <f t="shared" ref="J2:J7" si="1">E2*(1-I2)</f>
        <v>61.75</v>
      </c>
      <c r="K2" s="7">
        <f t="shared" ref="K2:K7" si="2">1-(F2/J2)</f>
        <v>0.18898785425101217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1873</v>
      </c>
      <c r="B3" s="4" t="s">
        <v>1877</v>
      </c>
      <c r="C3" s="4" t="s">
        <v>1878</v>
      </c>
      <c r="D3" s="5" t="s">
        <v>1876</v>
      </c>
      <c r="E3" s="6">
        <v>95</v>
      </c>
      <c r="F3" s="6">
        <v>73.2</v>
      </c>
      <c r="G3" s="7">
        <f t="shared" si="0"/>
        <v>0.22947368421052627</v>
      </c>
      <c r="H3" s="7"/>
      <c r="I3" s="7">
        <v>0.05</v>
      </c>
      <c r="J3" s="6">
        <f t="shared" si="1"/>
        <v>90.25</v>
      </c>
      <c r="K3" s="7">
        <f t="shared" si="2"/>
        <v>0.18891966759002765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1873</v>
      </c>
      <c r="B4" s="4" t="s">
        <v>1879</v>
      </c>
      <c r="C4" s="4" t="s">
        <v>1880</v>
      </c>
      <c r="D4" s="5" t="s">
        <v>1876</v>
      </c>
      <c r="E4" s="6">
        <v>129</v>
      </c>
      <c r="F4" s="6">
        <v>99.39</v>
      </c>
      <c r="G4" s="7">
        <f t="shared" si="0"/>
        <v>0.22953488372093023</v>
      </c>
      <c r="H4" s="7"/>
      <c r="I4" s="7">
        <v>0.05</v>
      </c>
      <c r="J4" s="6">
        <f t="shared" si="1"/>
        <v>122.55</v>
      </c>
      <c r="K4" s="7">
        <f t="shared" si="2"/>
        <v>0.18898408812729495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1873</v>
      </c>
      <c r="B5" s="4" t="s">
        <v>1881</v>
      </c>
      <c r="C5" s="4" t="s">
        <v>1882</v>
      </c>
      <c r="D5" s="5" t="s">
        <v>1876</v>
      </c>
      <c r="E5" s="6">
        <v>189</v>
      </c>
      <c r="F5" s="6">
        <v>145.62</v>
      </c>
      <c r="G5" s="7">
        <f t="shared" si="0"/>
        <v>0.22952380952380946</v>
      </c>
      <c r="H5" s="7"/>
      <c r="I5" s="7">
        <v>0.05</v>
      </c>
      <c r="J5" s="6">
        <f t="shared" si="1"/>
        <v>179.54999999999998</v>
      </c>
      <c r="K5" s="7">
        <f t="shared" si="2"/>
        <v>0.18897243107769413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1873</v>
      </c>
      <c r="B6" s="4" t="s">
        <v>1883</v>
      </c>
      <c r="C6" s="4" t="s">
        <v>1884</v>
      </c>
      <c r="D6" s="5" t="s">
        <v>1876</v>
      </c>
      <c r="E6" s="6">
        <v>176</v>
      </c>
      <c r="F6" s="6">
        <v>95.13</v>
      </c>
      <c r="G6" s="7">
        <f t="shared" si="0"/>
        <v>0.45948863636363635</v>
      </c>
      <c r="H6" s="7"/>
      <c r="I6" s="7">
        <v>0.33</v>
      </c>
      <c r="J6" s="6">
        <f t="shared" si="1"/>
        <v>117.91999999999999</v>
      </c>
      <c r="K6" s="7">
        <f t="shared" si="2"/>
        <v>0.19326662143826323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1873</v>
      </c>
      <c r="B7" s="4" t="s">
        <v>1885</v>
      </c>
      <c r="C7" s="4" t="s">
        <v>1886</v>
      </c>
      <c r="D7" s="5" t="s">
        <v>1876</v>
      </c>
      <c r="E7" s="6">
        <v>1090</v>
      </c>
      <c r="F7" s="6">
        <v>589.15</v>
      </c>
      <c r="G7" s="7">
        <f t="shared" si="0"/>
        <v>0.45949541284403672</v>
      </c>
      <c r="H7" s="7"/>
      <c r="I7" s="7">
        <v>0.33</v>
      </c>
      <c r="J7" s="6">
        <f t="shared" si="1"/>
        <v>730.3</v>
      </c>
      <c r="K7" s="7">
        <f t="shared" si="2"/>
        <v>0.19327673558811442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/>
      <c r="B8" s="4"/>
      <c r="C8" s="4"/>
      <c r="D8" s="5"/>
      <c r="E8" s="6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/>
      <c r="B9" s="4"/>
      <c r="C9" s="4"/>
      <c r="D9" s="5"/>
      <c r="E9" s="6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B10" s="4"/>
      <c r="C10" s="4"/>
      <c r="D10" s="5"/>
      <c r="E10" s="6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5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5"/>
      <c r="E12" s="6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5"/>
      <c r="E13" s="6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5"/>
      <c r="E14" s="6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5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5"/>
      <c r="E16" s="6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5"/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5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5"/>
      <c r="E19" s="6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5"/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5"/>
      <c r="E21" s="6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5"/>
      <c r="E22" s="6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5"/>
      <c r="E23" s="6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5"/>
      <c r="E24" s="6"/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5"/>
      <c r="E25" s="6"/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5"/>
      <c r="E26" s="6"/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5"/>
      <c r="E27" s="6"/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5"/>
      <c r="E28" s="6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5"/>
      <c r="E29" s="6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5"/>
      <c r="E30" s="6"/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5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5"/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5"/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5"/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5"/>
      <c r="E35" s="6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5"/>
      <c r="E36" s="6"/>
      <c r="F36" s="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5"/>
      <c r="E37" s="6"/>
      <c r="F37" s="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5"/>
      <c r="E38" s="6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5"/>
      <c r="E39" s="6"/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5"/>
      <c r="E40" s="6"/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5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5"/>
      <c r="E42" s="6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5"/>
      <c r="E43" s="6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5"/>
      <c r="E44" s="6"/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5"/>
      <c r="E45" s="6"/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5"/>
      <c r="E46" s="6"/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5"/>
      <c r="E47" s="6"/>
      <c r="F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5"/>
      <c r="E48" s="6"/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5"/>
      <c r="E49" s="6"/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5"/>
      <c r="E50" s="6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5"/>
      <c r="E51" s="6"/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5"/>
      <c r="E52" s="6"/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5"/>
      <c r="E53" s="6"/>
      <c r="F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5"/>
      <c r="E54" s="6"/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5"/>
      <c r="E55" s="6"/>
      <c r="F55" s="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5"/>
      <c r="E56" s="6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5"/>
      <c r="E57" s="6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5"/>
      <c r="E58" s="6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5"/>
      <c r="E59" s="6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5"/>
      <c r="E60" s="6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5"/>
      <c r="E61" s="6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5"/>
      <c r="E62" s="6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5"/>
      <c r="E63" s="6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5"/>
      <c r="E64" s="6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5"/>
      <c r="E65" s="6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5"/>
      <c r="E66" s="6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5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5"/>
      <c r="E68" s="6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5"/>
      <c r="E69" s="6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5"/>
      <c r="E70" s="6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5"/>
      <c r="E71" s="6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5"/>
      <c r="E72" s="6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5"/>
      <c r="E73" s="6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5"/>
      <c r="E74" s="6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5"/>
      <c r="E75" s="6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5"/>
      <c r="E76" s="6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5"/>
      <c r="E77" s="6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5"/>
      <c r="E78" s="6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5"/>
      <c r="E79" s="6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5"/>
      <c r="E80" s="6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5"/>
      <c r="E81" s="6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5"/>
      <c r="E82" s="6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5"/>
      <c r="E83" s="6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5"/>
      <c r="E84" s="6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5"/>
      <c r="E85" s="6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5"/>
      <c r="E86" s="6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5"/>
      <c r="E87" s="6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5"/>
      <c r="E88" s="6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5"/>
      <c r="E89" s="6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5"/>
      <c r="E90" s="6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5"/>
      <c r="E91" s="6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5"/>
      <c r="E92" s="6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5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5"/>
      <c r="E94" s="6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5"/>
      <c r="E95" s="6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5"/>
      <c r="E96" s="6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5"/>
      <c r="E97" s="6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5"/>
      <c r="E98" s="6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5"/>
      <c r="E99" s="6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5"/>
      <c r="E100" s="6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5"/>
      <c r="E101" s="6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5"/>
      <c r="E102" s="6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5"/>
      <c r="E103" s="6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5"/>
      <c r="E104" s="6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5"/>
      <c r="E105" s="6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5"/>
      <c r="E106" s="6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5"/>
      <c r="E107" s="6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5"/>
      <c r="E108" s="6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5"/>
      <c r="E109" s="6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5"/>
      <c r="E110" s="6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5"/>
      <c r="E111" s="6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5"/>
      <c r="E112" s="6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5"/>
      <c r="E113" s="6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5"/>
      <c r="E114" s="6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5"/>
      <c r="E115" s="6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5"/>
      <c r="E116" s="6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5"/>
      <c r="E117" s="6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5"/>
      <c r="E118" s="6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5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5"/>
      <c r="E120" s="6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5"/>
      <c r="E121" s="6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5"/>
      <c r="E122" s="6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5"/>
      <c r="E123" s="6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5"/>
      <c r="E124" s="6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5"/>
      <c r="E125" s="6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5"/>
      <c r="E126" s="6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5"/>
      <c r="E127" s="6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5"/>
      <c r="E128" s="6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5"/>
      <c r="E129" s="6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5"/>
      <c r="E130" s="6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5"/>
      <c r="E131" s="6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5"/>
      <c r="E132" s="6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5"/>
      <c r="E133" s="6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5"/>
      <c r="E134" s="6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5"/>
      <c r="E135" s="6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5"/>
      <c r="E136" s="6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5"/>
      <c r="E137" s="6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5"/>
      <c r="E138" s="6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5"/>
      <c r="E139" s="6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5"/>
      <c r="E140" s="6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5"/>
      <c r="E141" s="6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5"/>
      <c r="E142" s="6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5"/>
      <c r="E143" s="6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5"/>
      <c r="E144" s="6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5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5"/>
      <c r="E146" s="6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5"/>
      <c r="E147" s="6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5"/>
      <c r="E148" s="6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5"/>
      <c r="E149" s="6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5"/>
      <c r="E150" s="6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5"/>
      <c r="E151" s="6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5"/>
      <c r="E152" s="6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5"/>
      <c r="E153" s="6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5"/>
      <c r="E154" s="6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5"/>
      <c r="E155" s="6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5"/>
      <c r="E156" s="6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5"/>
      <c r="E157" s="6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5"/>
      <c r="E158" s="6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5"/>
      <c r="E159" s="6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5"/>
      <c r="E160" s="6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5"/>
      <c r="E161" s="6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5"/>
      <c r="E162" s="6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5"/>
      <c r="E163" s="6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5"/>
      <c r="E164" s="6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5"/>
      <c r="E165" s="6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5"/>
      <c r="E166" s="6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5"/>
      <c r="E167" s="6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5"/>
      <c r="E168" s="6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5"/>
      <c r="E169" s="6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5"/>
      <c r="E170" s="6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5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5"/>
      <c r="E172" s="6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5"/>
      <c r="E173" s="6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5"/>
      <c r="E174" s="6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5"/>
      <c r="E175" s="6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5"/>
      <c r="E176" s="6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5"/>
      <c r="E177" s="6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5"/>
      <c r="E178" s="6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5"/>
      <c r="E179" s="6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5"/>
      <c r="E180" s="6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5"/>
      <c r="E181" s="6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5"/>
      <c r="E182" s="6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5"/>
      <c r="E183" s="6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5"/>
      <c r="E184" s="6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5"/>
      <c r="E185" s="6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5"/>
      <c r="E186" s="6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5"/>
      <c r="E187" s="6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5"/>
      <c r="E188" s="6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5"/>
      <c r="E189" s="6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5"/>
      <c r="E190" s="6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5"/>
      <c r="E191" s="6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5"/>
      <c r="E192" s="6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5"/>
      <c r="E193" s="6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5"/>
      <c r="E194" s="6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5"/>
      <c r="E195" s="6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5"/>
      <c r="E196" s="6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5"/>
      <c r="E197" s="6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5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5"/>
      <c r="E199" s="6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5"/>
      <c r="E200" s="6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5"/>
      <c r="E201" s="6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5"/>
      <c r="E202" s="6"/>
      <c r="F202" s="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5"/>
      <c r="E203" s="6"/>
      <c r="F203" s="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5"/>
      <c r="E204" s="6"/>
      <c r="F204" s="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5"/>
      <c r="E205" s="6"/>
      <c r="F205" s="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5"/>
      <c r="E206" s="6"/>
      <c r="F206" s="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5"/>
      <c r="E207" s="6"/>
      <c r="F207" s="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5"/>
      <c r="E208" s="6"/>
      <c r="F208" s="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5"/>
      <c r="E209" s="6"/>
      <c r="F209" s="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5"/>
      <c r="E210" s="6"/>
      <c r="F210" s="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5"/>
      <c r="E211" s="6"/>
      <c r="F211" s="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5"/>
      <c r="E212" s="6"/>
      <c r="F212" s="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5"/>
      <c r="E213" s="6"/>
      <c r="F213" s="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5"/>
      <c r="E214" s="6"/>
      <c r="F214" s="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5"/>
      <c r="E215" s="6"/>
      <c r="F215" s="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5"/>
      <c r="E216" s="6"/>
      <c r="F216" s="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5"/>
      <c r="E217" s="6"/>
      <c r="F217" s="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5"/>
      <c r="E218" s="6"/>
      <c r="F218" s="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5"/>
      <c r="E219" s="6"/>
      <c r="F219" s="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5"/>
      <c r="E220" s="6"/>
      <c r="F220" s="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5"/>
      <c r="E221" s="6"/>
      <c r="F221" s="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5"/>
      <c r="E222" s="6"/>
      <c r="F222" s="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5"/>
      <c r="E223" s="6"/>
      <c r="F223" s="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5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5"/>
      <c r="E225" s="6"/>
      <c r="F225" s="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5"/>
      <c r="E226" s="6"/>
      <c r="F226" s="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5"/>
      <c r="E227" s="6"/>
      <c r="F227" s="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5"/>
      <c r="E228" s="6"/>
      <c r="F228" s="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5"/>
      <c r="E229" s="6"/>
      <c r="F229" s="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5"/>
      <c r="E230" s="6"/>
      <c r="F230" s="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5"/>
      <c r="E231" s="6"/>
      <c r="F231" s="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5"/>
      <c r="E232" s="6"/>
      <c r="F232" s="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5"/>
      <c r="E233" s="6"/>
      <c r="F233" s="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5"/>
      <c r="E234" s="6"/>
      <c r="F234" s="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5"/>
      <c r="E235" s="6"/>
      <c r="F235" s="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5"/>
      <c r="E236" s="6"/>
      <c r="F236" s="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5"/>
      <c r="E237" s="6"/>
      <c r="F237" s="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5"/>
      <c r="E238" s="6"/>
      <c r="F238" s="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5"/>
      <c r="E239" s="6"/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5"/>
      <c r="E240" s="6"/>
      <c r="F240" s="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5"/>
      <c r="E241" s="6"/>
      <c r="F241" s="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5"/>
      <c r="E242" s="6"/>
      <c r="F242" s="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5"/>
      <c r="E243" s="6"/>
      <c r="F243" s="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5"/>
      <c r="E244" s="6"/>
      <c r="F244" s="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5"/>
      <c r="E245" s="6"/>
      <c r="F245" s="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5"/>
      <c r="E246" s="6"/>
      <c r="F246" s="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5"/>
      <c r="E247" s="6"/>
      <c r="F247" s="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5"/>
      <c r="E248" s="6"/>
      <c r="F248" s="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5"/>
      <c r="E249" s="6"/>
      <c r="F249" s="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5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5"/>
      <c r="E251" s="6"/>
      <c r="F251" s="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5"/>
      <c r="E252" s="6"/>
      <c r="F252" s="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5"/>
      <c r="E253" s="6"/>
      <c r="F253" s="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5"/>
      <c r="E254" s="6"/>
      <c r="F254" s="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5"/>
      <c r="E255" s="6"/>
      <c r="F255" s="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5"/>
      <c r="E256" s="6"/>
      <c r="F256" s="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5"/>
      <c r="E257" s="6"/>
      <c r="F257" s="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5"/>
      <c r="E258" s="6"/>
      <c r="F258" s="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5"/>
      <c r="E259" s="6"/>
      <c r="F259" s="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5"/>
      <c r="E260" s="6"/>
      <c r="F260" s="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5"/>
      <c r="E261" s="6"/>
      <c r="F261" s="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5"/>
      <c r="E262" s="6"/>
      <c r="F262" s="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5"/>
      <c r="E263" s="6"/>
      <c r="F263" s="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5"/>
      <c r="E264" s="6"/>
      <c r="F264" s="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5"/>
      <c r="E265" s="6"/>
      <c r="F265" s="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5"/>
      <c r="E266" s="6"/>
      <c r="F266" s="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5"/>
      <c r="E267" s="6"/>
      <c r="F267" s="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5"/>
      <c r="E268" s="6"/>
      <c r="F268" s="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5"/>
      <c r="E269" s="6"/>
      <c r="F269" s="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5"/>
      <c r="E270" s="6"/>
      <c r="F270" s="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5"/>
      <c r="E271" s="6"/>
      <c r="F271" s="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5"/>
      <c r="E272" s="6"/>
      <c r="F272" s="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5"/>
      <c r="E273" s="6"/>
      <c r="F273" s="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5"/>
      <c r="E274" s="6"/>
      <c r="F274" s="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5"/>
      <c r="E275" s="6"/>
      <c r="F275" s="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5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5"/>
      <c r="E277" s="6"/>
      <c r="F277" s="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5"/>
      <c r="E278" s="6"/>
      <c r="F278" s="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5"/>
      <c r="E279" s="6"/>
      <c r="F279" s="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5"/>
      <c r="E280" s="6"/>
      <c r="F280" s="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5"/>
      <c r="E281" s="6"/>
      <c r="F281" s="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5"/>
      <c r="E282" s="6"/>
      <c r="F282" s="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5"/>
      <c r="E283" s="6"/>
      <c r="F283" s="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5"/>
      <c r="E284" s="6"/>
      <c r="F284" s="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5"/>
      <c r="E285" s="6"/>
      <c r="F285" s="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5"/>
      <c r="E286" s="6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5"/>
      <c r="E287" s="6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5"/>
      <c r="E288" s="6"/>
      <c r="F288" s="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5"/>
      <c r="E289" s="6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5"/>
      <c r="E290" s="6"/>
      <c r="F290" s="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5"/>
      <c r="E291" s="6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5"/>
      <c r="E292" s="6"/>
      <c r="F292" s="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5"/>
      <c r="E293" s="6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5"/>
      <c r="E294" s="6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5"/>
      <c r="E295" s="6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5"/>
      <c r="E296" s="6"/>
      <c r="F296" s="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5"/>
      <c r="E297" s="6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5"/>
      <c r="E298" s="6"/>
      <c r="F298" s="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5"/>
      <c r="E299" s="6"/>
      <c r="F299" s="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5"/>
      <c r="E300" s="6"/>
      <c r="F300" s="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5"/>
      <c r="E301" s="6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5"/>
      <c r="E302" s="6"/>
      <c r="F302" s="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5"/>
      <c r="E303" s="6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5"/>
      <c r="E304" s="6"/>
      <c r="F304" s="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5"/>
      <c r="E305" s="6"/>
      <c r="F305" s="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5"/>
      <c r="E306" s="6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5"/>
      <c r="E307" s="6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5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5"/>
      <c r="E309" s="6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5"/>
      <c r="E310" s="6"/>
      <c r="F310" s="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5"/>
      <c r="E311" s="6"/>
      <c r="F311" s="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5"/>
      <c r="E312" s="6"/>
      <c r="F312" s="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5"/>
      <c r="E313" s="6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5"/>
      <c r="E314" s="6"/>
      <c r="F314" s="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5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5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5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5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5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5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5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5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5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5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5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5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5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5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5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5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5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5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5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5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5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5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5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5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5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5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5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5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5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5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5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5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5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5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5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5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5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5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5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5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5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5"/>
      <c r="E356" s="6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5"/>
      <c r="E357" s="6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5"/>
      <c r="E358" s="6"/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5"/>
      <c r="E359" s="6"/>
      <c r="F359" s="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5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5"/>
      <c r="E361" s="6"/>
      <c r="F361" s="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5"/>
      <c r="E362" s="6"/>
      <c r="F362" s="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5"/>
      <c r="E363" s="6"/>
      <c r="F363" s="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5"/>
      <c r="E364" s="6"/>
      <c r="F364" s="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5"/>
      <c r="E365" s="6"/>
      <c r="F365" s="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5"/>
      <c r="E366" s="6"/>
      <c r="F366" s="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5"/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5"/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5"/>
      <c r="E369" s="6"/>
      <c r="F369" s="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5"/>
      <c r="E370" s="6"/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5"/>
      <c r="E371" s="6"/>
      <c r="F371" s="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5"/>
      <c r="E372" s="6"/>
      <c r="F372" s="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5"/>
      <c r="E373" s="6"/>
      <c r="F373" s="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5"/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5"/>
      <c r="E375" s="6"/>
      <c r="F375" s="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5"/>
      <c r="E376" s="6"/>
      <c r="F376" s="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5"/>
      <c r="E377" s="6"/>
      <c r="F377" s="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5"/>
      <c r="E378" s="6"/>
      <c r="F378" s="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5"/>
      <c r="E379" s="6"/>
      <c r="F379" s="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5"/>
      <c r="E380" s="6"/>
      <c r="F380" s="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5"/>
      <c r="E381" s="6"/>
      <c r="F381" s="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5"/>
      <c r="E382" s="6"/>
      <c r="F382" s="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5"/>
      <c r="E383" s="6"/>
      <c r="F383" s="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5"/>
      <c r="E384" s="6"/>
      <c r="F384" s="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5"/>
      <c r="E385" s="6"/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5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5"/>
      <c r="E387" s="6"/>
      <c r="F387" s="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5"/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5"/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5"/>
      <c r="E390" s="6"/>
      <c r="F390" s="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5"/>
      <c r="E391" s="6"/>
      <c r="F391" s="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5"/>
      <c r="E392" s="6"/>
      <c r="F392" s="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5"/>
      <c r="E393" s="6"/>
      <c r="F393" s="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5"/>
      <c r="E394" s="6"/>
      <c r="F394" s="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5"/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5"/>
      <c r="E396" s="6"/>
      <c r="F396" s="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5"/>
      <c r="E397" s="6"/>
      <c r="F397" s="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5"/>
      <c r="E398" s="6"/>
      <c r="F398" s="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5"/>
      <c r="E399" s="6"/>
      <c r="F399" s="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5"/>
      <c r="E400" s="6"/>
      <c r="F400" s="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5"/>
      <c r="E401" s="6"/>
      <c r="F401" s="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5"/>
      <c r="E402" s="6"/>
      <c r="F402" s="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5"/>
      <c r="E403" s="6"/>
      <c r="F403" s="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5"/>
      <c r="E404" s="6"/>
      <c r="F404" s="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5"/>
      <c r="E405" s="6"/>
      <c r="F405" s="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5"/>
      <c r="E406" s="6"/>
      <c r="F406" s="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5"/>
      <c r="E407" s="6"/>
      <c r="F407" s="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5"/>
      <c r="E408" s="6"/>
      <c r="F408" s="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5"/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5"/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5"/>
      <c r="E411" s="6"/>
      <c r="F411" s="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5"/>
      <c r="E412" s="6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5"/>
      <c r="E413" s="6"/>
      <c r="F413" s="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5"/>
      <c r="E414" s="6"/>
      <c r="F414" s="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5"/>
      <c r="E415" s="6"/>
      <c r="F415" s="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5"/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5"/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5"/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5"/>
      <c r="E419" s="6"/>
      <c r="F419" s="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5"/>
      <c r="E420" s="6"/>
      <c r="F420" s="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5"/>
      <c r="E421" s="6"/>
      <c r="F421" s="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5"/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5"/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5"/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5"/>
      <c r="E425" s="6"/>
      <c r="F425" s="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5"/>
      <c r="E426" s="6"/>
      <c r="F426" s="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5"/>
      <c r="E427" s="6"/>
      <c r="F427" s="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5"/>
      <c r="E428" s="6"/>
      <c r="F428" s="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5"/>
      <c r="E429" s="6"/>
      <c r="F429" s="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5"/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5"/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5"/>
      <c r="E432" s="6"/>
      <c r="F432" s="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5"/>
      <c r="E433" s="6"/>
      <c r="F433" s="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5"/>
      <c r="E434" s="6"/>
      <c r="F434" s="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5"/>
      <c r="E435" s="6"/>
      <c r="F435" s="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5"/>
      <c r="E436" s="6"/>
      <c r="F436" s="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5"/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5"/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5"/>
      <c r="E439" s="6"/>
      <c r="F439" s="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5"/>
      <c r="E440" s="6"/>
      <c r="F440" s="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5"/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5"/>
      <c r="E442" s="6"/>
      <c r="F442" s="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5"/>
      <c r="E443" s="6"/>
      <c r="F443" s="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5"/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5"/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5"/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5"/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5"/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5"/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5"/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5"/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5"/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5"/>
      <c r="E453" s="6"/>
      <c r="F453" s="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5"/>
      <c r="E454" s="6"/>
      <c r="F454" s="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5"/>
      <c r="E455" s="6"/>
      <c r="F455" s="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5"/>
      <c r="E456" s="6"/>
      <c r="F456" s="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5"/>
      <c r="E457" s="6"/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5"/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5"/>
      <c r="E459" s="6"/>
      <c r="F459" s="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5"/>
      <c r="E460" s="6"/>
      <c r="F460" s="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5"/>
      <c r="E461" s="6"/>
      <c r="F461" s="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5"/>
      <c r="E462" s="6"/>
      <c r="F462" s="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5"/>
      <c r="E463" s="6"/>
      <c r="F463" s="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5"/>
      <c r="E464" s="6"/>
      <c r="F464" s="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5"/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5"/>
      <c r="E466" s="6"/>
      <c r="F466" s="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5"/>
      <c r="E467" s="6"/>
      <c r="F467" s="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5"/>
      <c r="E468" s="6"/>
      <c r="F468" s="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5"/>
      <c r="E469" s="6"/>
      <c r="F469" s="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5"/>
      <c r="E470" s="6"/>
      <c r="F470" s="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5"/>
      <c r="E471" s="6"/>
      <c r="F471" s="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5"/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5"/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5"/>
      <c r="E474" s="6"/>
      <c r="F474" s="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5"/>
      <c r="E475" s="6"/>
      <c r="F475" s="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5"/>
      <c r="E476" s="6"/>
      <c r="F476" s="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5"/>
      <c r="E477" s="6"/>
      <c r="F477" s="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5"/>
      <c r="E478" s="6"/>
      <c r="F478" s="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5"/>
      <c r="E479" s="6"/>
      <c r="F479" s="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5"/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5"/>
      <c r="E481" s="6"/>
      <c r="F481" s="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5"/>
      <c r="E482" s="6"/>
      <c r="F482" s="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5"/>
      <c r="E483" s="6"/>
      <c r="F483" s="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5"/>
      <c r="E484" s="6"/>
      <c r="F484" s="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5"/>
      <c r="E485" s="6"/>
      <c r="F485" s="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5"/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5"/>
      <c r="E487" s="6"/>
      <c r="F487" s="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5"/>
      <c r="E488" s="6"/>
      <c r="F488" s="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5"/>
      <c r="E489" s="6"/>
      <c r="F489" s="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5"/>
      <c r="E490" s="6"/>
      <c r="F490" s="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5"/>
      <c r="E491" s="6"/>
      <c r="F491" s="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5"/>
      <c r="E492" s="6"/>
      <c r="F492" s="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5"/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5"/>
      <c r="E494" s="6"/>
      <c r="F494" s="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5"/>
      <c r="E495" s="6"/>
      <c r="F495" s="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5"/>
      <c r="E496" s="6"/>
      <c r="F496" s="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5"/>
      <c r="E497" s="6"/>
      <c r="F497" s="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5"/>
      <c r="E498" s="6"/>
      <c r="F498" s="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5"/>
      <c r="E499" s="6"/>
      <c r="F499" s="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5"/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5"/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5"/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5"/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5"/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5"/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5"/>
      <c r="E506" s="6"/>
      <c r="F506" s="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5"/>
      <c r="E507" s="6"/>
      <c r="F507" s="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5"/>
      <c r="E508" s="6"/>
      <c r="F508" s="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5"/>
      <c r="E509" s="6"/>
      <c r="F509" s="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5"/>
      <c r="E510" s="6"/>
      <c r="F510" s="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5"/>
      <c r="E511" s="6"/>
      <c r="F511" s="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5"/>
      <c r="E512" s="6"/>
      <c r="F512" s="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5"/>
      <c r="E513" s="6"/>
      <c r="F513" s="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5"/>
      <c r="E514" s="6"/>
      <c r="F514" s="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5"/>
      <c r="E515" s="6"/>
      <c r="F515" s="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5"/>
      <c r="E516" s="6"/>
      <c r="F516" s="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5"/>
      <c r="E517" s="6"/>
      <c r="F517" s="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5"/>
      <c r="E518" s="6"/>
      <c r="F518" s="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5"/>
      <c r="E519" s="6"/>
      <c r="F519" s="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5"/>
      <c r="E520" s="6"/>
      <c r="F520" s="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5"/>
      <c r="E521" s="6"/>
      <c r="F521" s="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5"/>
      <c r="E522" s="6"/>
      <c r="F522" s="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5"/>
      <c r="E523" s="6"/>
      <c r="F523" s="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5"/>
      <c r="E524" s="6"/>
      <c r="F524" s="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5"/>
      <c r="E525" s="6"/>
      <c r="F525" s="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5"/>
      <c r="E526" s="6"/>
      <c r="F526" s="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5"/>
      <c r="E527" s="6"/>
      <c r="F527" s="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5"/>
      <c r="E528" s="6"/>
      <c r="F528" s="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5"/>
      <c r="E529" s="6"/>
      <c r="F529" s="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5"/>
      <c r="E530" s="6"/>
      <c r="F530" s="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5"/>
      <c r="E531" s="6"/>
      <c r="F531" s="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5"/>
      <c r="E532" s="6"/>
      <c r="F532" s="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5"/>
      <c r="E533" s="6"/>
      <c r="F533" s="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5"/>
      <c r="E534" s="6"/>
      <c r="F534" s="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5"/>
      <c r="E535" s="6"/>
      <c r="F535" s="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5"/>
      <c r="E536" s="6"/>
      <c r="F536" s="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5"/>
      <c r="E537" s="6"/>
      <c r="F537" s="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5"/>
      <c r="E538" s="6"/>
      <c r="F538" s="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5"/>
      <c r="E539" s="6"/>
      <c r="F539" s="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5"/>
      <c r="E540" s="6"/>
      <c r="F540" s="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5"/>
      <c r="E541" s="6"/>
      <c r="F541" s="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5"/>
      <c r="E542" s="6"/>
      <c r="F542" s="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5"/>
      <c r="E543" s="6"/>
      <c r="F543" s="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5"/>
      <c r="E544" s="6"/>
      <c r="F544" s="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5"/>
      <c r="E545" s="6"/>
      <c r="F545" s="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5"/>
      <c r="E546" s="6"/>
      <c r="F546" s="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5"/>
      <c r="E547" s="6"/>
      <c r="F547" s="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5"/>
      <c r="E548" s="6"/>
      <c r="F548" s="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5"/>
      <c r="E549" s="6"/>
      <c r="F549" s="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5"/>
      <c r="E550" s="6"/>
      <c r="F550" s="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5"/>
      <c r="E551" s="6"/>
      <c r="F551" s="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5"/>
      <c r="E552" s="6"/>
      <c r="F552" s="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5"/>
      <c r="E553" s="6"/>
      <c r="F553" s="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5"/>
      <c r="E554" s="6"/>
      <c r="F554" s="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5"/>
      <c r="E555" s="6"/>
      <c r="F555" s="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5"/>
      <c r="E556" s="6"/>
      <c r="F556" s="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5"/>
      <c r="E557" s="6"/>
      <c r="F557" s="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5"/>
      <c r="E558" s="6"/>
      <c r="F558" s="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5"/>
      <c r="E559" s="6"/>
      <c r="F559" s="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5"/>
      <c r="E560" s="6"/>
      <c r="F560" s="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5"/>
      <c r="E561" s="6"/>
      <c r="F561" s="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5"/>
      <c r="E562" s="6"/>
      <c r="F562" s="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5"/>
      <c r="E563" s="6"/>
      <c r="F563" s="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5"/>
      <c r="E564" s="6"/>
      <c r="F564" s="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5"/>
      <c r="E565" s="6"/>
      <c r="F565" s="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5"/>
      <c r="E566" s="6"/>
      <c r="F566" s="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5"/>
      <c r="E567" s="6"/>
      <c r="F567" s="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5"/>
      <c r="E568" s="6"/>
      <c r="F568" s="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5"/>
      <c r="E569" s="6"/>
      <c r="F569" s="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5"/>
      <c r="E570" s="6"/>
      <c r="F570" s="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5"/>
      <c r="E571" s="6"/>
      <c r="F571" s="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5"/>
      <c r="E572" s="6"/>
      <c r="F572" s="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5"/>
      <c r="E573" s="6"/>
      <c r="F573" s="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5"/>
      <c r="E574" s="6"/>
      <c r="F574" s="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5"/>
      <c r="E575" s="6"/>
      <c r="F575" s="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5"/>
      <c r="E576" s="6"/>
      <c r="F576" s="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5"/>
      <c r="E577" s="6"/>
      <c r="F577" s="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5"/>
      <c r="E578" s="6"/>
      <c r="F578" s="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5"/>
      <c r="E579" s="6"/>
      <c r="F579" s="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5"/>
      <c r="E580" s="6"/>
      <c r="F580" s="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5"/>
      <c r="E581" s="6"/>
      <c r="F581" s="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5"/>
      <c r="E582" s="6"/>
      <c r="F582" s="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5"/>
      <c r="E583" s="6"/>
      <c r="F583" s="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5"/>
      <c r="E584" s="6"/>
      <c r="F584" s="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5"/>
      <c r="E585" s="6"/>
      <c r="F585" s="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5"/>
      <c r="E586" s="6"/>
      <c r="F586" s="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5"/>
      <c r="E587" s="6"/>
      <c r="F587" s="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5"/>
      <c r="E588" s="6"/>
      <c r="F588" s="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5"/>
      <c r="E589" s="6"/>
      <c r="F589" s="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5"/>
      <c r="E590" s="6"/>
      <c r="F590" s="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5"/>
      <c r="E591" s="6"/>
      <c r="F591" s="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5"/>
      <c r="E592" s="6"/>
      <c r="F592" s="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5"/>
      <c r="E593" s="6"/>
      <c r="F593" s="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5"/>
      <c r="E594" s="6"/>
      <c r="F594" s="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5"/>
      <c r="E595" s="6"/>
      <c r="F595" s="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5"/>
      <c r="E596" s="6"/>
      <c r="F596" s="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5"/>
      <c r="E597" s="6"/>
      <c r="F597" s="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5"/>
      <c r="E598" s="6"/>
      <c r="F598" s="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5"/>
      <c r="E599" s="6"/>
      <c r="F599" s="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5"/>
      <c r="E600" s="6"/>
      <c r="F600" s="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5"/>
      <c r="E601" s="6"/>
      <c r="F601" s="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5"/>
      <c r="E602" s="6"/>
      <c r="F602" s="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5"/>
      <c r="E603" s="6"/>
      <c r="F603" s="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5"/>
      <c r="E604" s="6"/>
      <c r="F604" s="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5"/>
      <c r="E605" s="6"/>
      <c r="F605" s="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5"/>
      <c r="E606" s="6"/>
      <c r="F606" s="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5"/>
      <c r="E607" s="6"/>
      <c r="F607" s="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5"/>
      <c r="E608" s="6"/>
      <c r="F608" s="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5"/>
      <c r="E609" s="6"/>
      <c r="F609" s="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5"/>
      <c r="E610" s="6"/>
      <c r="F610" s="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5"/>
      <c r="E611" s="6"/>
      <c r="F611" s="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5"/>
      <c r="E612" s="6"/>
      <c r="F612" s="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5"/>
      <c r="E613" s="6"/>
      <c r="F613" s="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5"/>
      <c r="E614" s="6"/>
      <c r="F614" s="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5"/>
      <c r="E615" s="6"/>
      <c r="F615" s="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5"/>
      <c r="E616" s="6"/>
      <c r="F616" s="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5"/>
      <c r="E617" s="6"/>
      <c r="F617" s="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5"/>
      <c r="E618" s="6"/>
      <c r="F618" s="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5"/>
      <c r="E619" s="6"/>
      <c r="F619" s="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5"/>
      <c r="E620" s="6"/>
      <c r="F620" s="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5"/>
      <c r="E621" s="6"/>
      <c r="F621" s="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5"/>
      <c r="E622" s="6"/>
      <c r="F622" s="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5"/>
      <c r="E623" s="6"/>
      <c r="F623" s="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5"/>
      <c r="E624" s="6"/>
      <c r="F624" s="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5"/>
      <c r="E625" s="6"/>
      <c r="F625" s="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5"/>
      <c r="E626" s="6"/>
      <c r="F626" s="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5"/>
      <c r="E627" s="6"/>
      <c r="F627" s="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5"/>
      <c r="E628" s="6"/>
      <c r="F628" s="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5"/>
      <c r="E629" s="6"/>
      <c r="F629" s="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5"/>
      <c r="E630" s="6"/>
      <c r="F630" s="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5"/>
      <c r="E631" s="6"/>
      <c r="F631" s="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5"/>
      <c r="E632" s="6"/>
      <c r="F632" s="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5"/>
      <c r="E633" s="6"/>
      <c r="F633" s="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5"/>
      <c r="E634" s="6"/>
      <c r="F634" s="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5"/>
      <c r="E635" s="6"/>
      <c r="F635" s="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5"/>
      <c r="E636" s="6"/>
      <c r="F636" s="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5"/>
      <c r="E637" s="6"/>
      <c r="F637" s="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5"/>
      <c r="E638" s="6"/>
      <c r="F638" s="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5"/>
      <c r="E639" s="6"/>
      <c r="F639" s="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5"/>
      <c r="E640" s="6"/>
      <c r="F640" s="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5"/>
      <c r="E641" s="6"/>
      <c r="F641" s="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5"/>
      <c r="E642" s="6"/>
      <c r="F642" s="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5"/>
      <c r="E643" s="6"/>
      <c r="F643" s="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5"/>
      <c r="E644" s="6"/>
      <c r="F644" s="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5"/>
      <c r="E645" s="6"/>
      <c r="F645" s="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5"/>
      <c r="E646" s="6"/>
      <c r="F646" s="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5"/>
      <c r="E647" s="6"/>
      <c r="F647" s="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5"/>
      <c r="E648" s="6"/>
      <c r="F648" s="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5"/>
      <c r="E649" s="6"/>
      <c r="F649" s="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5"/>
      <c r="E650" s="6"/>
      <c r="F650" s="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5"/>
      <c r="E651" s="6"/>
      <c r="F651" s="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5"/>
      <c r="E652" s="6"/>
      <c r="F652" s="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5"/>
      <c r="E653" s="6"/>
      <c r="F653" s="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5"/>
      <c r="E654" s="6"/>
      <c r="F654" s="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5"/>
      <c r="E655" s="6"/>
      <c r="F655" s="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5"/>
      <c r="E656" s="6"/>
      <c r="F656" s="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5"/>
      <c r="E657" s="6"/>
      <c r="F657" s="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5"/>
      <c r="E658" s="6"/>
      <c r="F658" s="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5"/>
      <c r="E659" s="6"/>
      <c r="F659" s="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5"/>
      <c r="E660" s="6"/>
      <c r="F660" s="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5"/>
      <c r="E661" s="6"/>
      <c r="F661" s="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5"/>
      <c r="E662" s="6"/>
      <c r="F662" s="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5"/>
      <c r="E663" s="6"/>
      <c r="F663" s="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5"/>
      <c r="E664" s="6"/>
      <c r="F664" s="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5"/>
      <c r="E665" s="6"/>
      <c r="F665" s="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5"/>
      <c r="E666" s="6"/>
      <c r="F666" s="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5"/>
      <c r="E667" s="6"/>
      <c r="F667" s="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5"/>
      <c r="E668" s="6"/>
      <c r="F668" s="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5"/>
      <c r="E669" s="6"/>
      <c r="F669" s="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5"/>
      <c r="E670" s="6"/>
      <c r="F670" s="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5"/>
      <c r="E671" s="6"/>
      <c r="F671" s="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5"/>
      <c r="E672" s="6"/>
      <c r="F672" s="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5"/>
      <c r="E673" s="6"/>
      <c r="F673" s="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5"/>
      <c r="E674" s="6"/>
      <c r="F674" s="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5"/>
      <c r="E675" s="6"/>
      <c r="F675" s="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5"/>
      <c r="E676" s="6"/>
      <c r="F676" s="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5"/>
      <c r="E677" s="6"/>
      <c r="F677" s="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5"/>
      <c r="E678" s="6"/>
      <c r="F678" s="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5"/>
      <c r="E679" s="6"/>
      <c r="F679" s="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5"/>
      <c r="E680" s="6"/>
      <c r="F680" s="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5"/>
      <c r="E681" s="6"/>
      <c r="F681" s="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5"/>
      <c r="E682" s="6"/>
      <c r="F682" s="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5"/>
      <c r="E683" s="6"/>
      <c r="F683" s="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5"/>
      <c r="E684" s="6"/>
      <c r="F684" s="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5"/>
      <c r="E685" s="6"/>
      <c r="F685" s="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5"/>
      <c r="E686" s="6"/>
      <c r="F686" s="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5"/>
      <c r="E687" s="6"/>
      <c r="F687" s="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5"/>
      <c r="E688" s="6"/>
      <c r="F688" s="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5"/>
      <c r="E689" s="6"/>
      <c r="F689" s="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5"/>
      <c r="E690" s="6"/>
      <c r="F690" s="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5"/>
      <c r="E691" s="6"/>
      <c r="F691" s="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5"/>
      <c r="E692" s="6"/>
      <c r="F692" s="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5"/>
      <c r="E693" s="6"/>
      <c r="F693" s="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5"/>
      <c r="E694" s="6"/>
      <c r="F694" s="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5"/>
      <c r="E695" s="6"/>
      <c r="F695" s="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5"/>
      <c r="E696" s="6"/>
      <c r="F696" s="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5"/>
      <c r="E697" s="6"/>
      <c r="F697" s="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5"/>
      <c r="E698" s="6"/>
      <c r="F698" s="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5"/>
      <c r="E699" s="6"/>
      <c r="F699" s="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5"/>
      <c r="E700" s="6"/>
      <c r="F700" s="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5"/>
      <c r="E701" s="6"/>
      <c r="F701" s="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5"/>
      <c r="E702" s="6"/>
      <c r="F702" s="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5"/>
      <c r="E703" s="6"/>
      <c r="F703" s="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5"/>
      <c r="E704" s="6"/>
      <c r="F704" s="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5"/>
      <c r="E705" s="6"/>
      <c r="F705" s="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5"/>
      <c r="E706" s="6"/>
      <c r="F706" s="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5"/>
      <c r="E707" s="6"/>
      <c r="F707" s="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5"/>
      <c r="E708" s="6"/>
      <c r="F708" s="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5"/>
      <c r="E709" s="6"/>
      <c r="F709" s="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5"/>
      <c r="E710" s="6"/>
      <c r="F710" s="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5"/>
      <c r="E711" s="6"/>
      <c r="F711" s="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5"/>
      <c r="E712" s="6"/>
      <c r="F712" s="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5"/>
      <c r="E713" s="6"/>
      <c r="F713" s="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5"/>
      <c r="E714" s="6"/>
      <c r="F714" s="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5"/>
      <c r="E715" s="6"/>
      <c r="F715" s="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5"/>
      <c r="E716" s="6"/>
      <c r="F716" s="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5"/>
      <c r="E717" s="6"/>
      <c r="F717" s="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5"/>
      <c r="E718" s="6"/>
      <c r="F718" s="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5"/>
      <c r="E719" s="6"/>
      <c r="F719" s="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5"/>
      <c r="E720" s="6"/>
      <c r="F720" s="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5"/>
      <c r="E721" s="6"/>
      <c r="F721" s="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5"/>
      <c r="E722" s="6"/>
      <c r="F722" s="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5"/>
      <c r="E723" s="6"/>
      <c r="F723" s="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5"/>
      <c r="E724" s="6"/>
      <c r="F724" s="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5"/>
      <c r="E725" s="6"/>
      <c r="F725" s="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5"/>
      <c r="E726" s="6"/>
      <c r="F726" s="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5"/>
      <c r="E727" s="6"/>
      <c r="F727" s="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5"/>
      <c r="E728" s="6"/>
      <c r="F728" s="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5"/>
      <c r="E729" s="6"/>
      <c r="F729" s="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5"/>
      <c r="E730" s="6"/>
      <c r="F730" s="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5"/>
      <c r="E731" s="6"/>
      <c r="F731" s="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5"/>
      <c r="E732" s="6"/>
      <c r="F732" s="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5"/>
      <c r="E733" s="6"/>
      <c r="F733" s="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5"/>
      <c r="E734" s="6"/>
      <c r="F734" s="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5"/>
      <c r="E735" s="6"/>
      <c r="F735" s="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5"/>
      <c r="E736" s="6"/>
      <c r="F736" s="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5"/>
      <c r="E737" s="6"/>
      <c r="F737" s="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5"/>
      <c r="E738" s="6"/>
      <c r="F738" s="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5"/>
      <c r="E739" s="6"/>
      <c r="F739" s="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5"/>
      <c r="E740" s="6"/>
      <c r="F740" s="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5"/>
      <c r="E741" s="6"/>
      <c r="F741" s="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5"/>
      <c r="E742" s="6"/>
      <c r="F742" s="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5"/>
      <c r="E743" s="6"/>
      <c r="F743" s="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5"/>
      <c r="E744" s="6"/>
      <c r="F744" s="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5"/>
      <c r="E745" s="6"/>
      <c r="F745" s="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5"/>
      <c r="E746" s="6"/>
      <c r="F746" s="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5"/>
      <c r="E747" s="6"/>
      <c r="F747" s="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5"/>
      <c r="E748" s="6"/>
      <c r="F748" s="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5"/>
      <c r="E749" s="6"/>
      <c r="F749" s="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5"/>
      <c r="E750" s="6"/>
      <c r="F750" s="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5"/>
      <c r="E751" s="6"/>
      <c r="F751" s="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5"/>
      <c r="E752" s="6"/>
      <c r="F752" s="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5"/>
      <c r="E753" s="6"/>
      <c r="F753" s="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5"/>
      <c r="E754" s="6"/>
      <c r="F754" s="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5"/>
      <c r="E755" s="6"/>
      <c r="F755" s="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5"/>
      <c r="E756" s="6"/>
      <c r="F756" s="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5"/>
      <c r="E757" s="6"/>
      <c r="F757" s="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5"/>
      <c r="E758" s="6"/>
      <c r="F758" s="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5"/>
      <c r="E759" s="6"/>
      <c r="F759" s="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5"/>
      <c r="E760" s="6"/>
      <c r="F760" s="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5"/>
      <c r="E761" s="6"/>
      <c r="F761" s="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5"/>
      <c r="E762" s="6"/>
      <c r="F762" s="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5"/>
      <c r="E763" s="6"/>
      <c r="F763" s="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5"/>
      <c r="E764" s="6"/>
      <c r="F764" s="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5"/>
      <c r="E765" s="6"/>
      <c r="F765" s="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5"/>
      <c r="E766" s="6"/>
      <c r="F766" s="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5"/>
      <c r="E767" s="6"/>
      <c r="F767" s="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5"/>
      <c r="E768" s="6"/>
      <c r="F768" s="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5"/>
      <c r="E769" s="6"/>
      <c r="F769" s="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5"/>
      <c r="E770" s="6"/>
      <c r="F770" s="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5"/>
      <c r="E771" s="6"/>
      <c r="F771" s="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5"/>
      <c r="E772" s="6"/>
      <c r="F772" s="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5"/>
      <c r="E773" s="6"/>
      <c r="F773" s="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5"/>
      <c r="E774" s="6"/>
      <c r="F774" s="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5"/>
      <c r="E775" s="6"/>
      <c r="F775" s="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5"/>
      <c r="E776" s="6"/>
      <c r="F776" s="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5"/>
      <c r="E777" s="6"/>
      <c r="F777" s="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5"/>
      <c r="E778" s="6"/>
      <c r="F778" s="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5"/>
      <c r="E779" s="6"/>
      <c r="F779" s="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5"/>
      <c r="E780" s="6"/>
      <c r="F780" s="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5"/>
      <c r="E781" s="6"/>
      <c r="F781" s="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5"/>
      <c r="E782" s="6"/>
      <c r="F782" s="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5"/>
      <c r="E783" s="6"/>
      <c r="F783" s="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5"/>
      <c r="E784" s="6"/>
      <c r="F784" s="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5"/>
      <c r="E785" s="6"/>
      <c r="F785" s="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5"/>
      <c r="E786" s="6"/>
      <c r="F786" s="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5"/>
      <c r="E787" s="6"/>
      <c r="F787" s="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5"/>
      <c r="E788" s="6"/>
      <c r="F788" s="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5"/>
      <c r="E789" s="6"/>
      <c r="F789" s="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5"/>
      <c r="E790" s="6"/>
      <c r="F790" s="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5"/>
      <c r="E791" s="6"/>
      <c r="F791" s="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5"/>
      <c r="E792" s="6"/>
      <c r="F792" s="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5"/>
      <c r="E793" s="6"/>
      <c r="F793" s="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5"/>
      <c r="E794" s="6"/>
      <c r="F794" s="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5"/>
      <c r="E795" s="6"/>
      <c r="F795" s="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5"/>
      <c r="E796" s="6"/>
      <c r="F796" s="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5"/>
      <c r="E797" s="6"/>
      <c r="F797" s="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5"/>
      <c r="E798" s="6"/>
      <c r="F798" s="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5"/>
      <c r="E799" s="6"/>
      <c r="F799" s="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5"/>
      <c r="E800" s="6"/>
      <c r="F800" s="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5"/>
      <c r="E801" s="6"/>
      <c r="F801" s="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5"/>
      <c r="E802" s="6"/>
      <c r="F802" s="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5"/>
      <c r="E803" s="6"/>
      <c r="F803" s="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5"/>
      <c r="E804" s="6"/>
      <c r="F804" s="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5"/>
      <c r="E805" s="6"/>
      <c r="F805" s="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5"/>
      <c r="E806" s="6"/>
      <c r="F806" s="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5"/>
      <c r="E807" s="6"/>
      <c r="F807" s="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5"/>
      <c r="E808" s="6"/>
      <c r="F808" s="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5"/>
      <c r="E809" s="6"/>
      <c r="F809" s="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5"/>
      <c r="E810" s="6"/>
      <c r="F810" s="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5"/>
      <c r="E811" s="6"/>
      <c r="F811" s="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5"/>
      <c r="E812" s="6"/>
      <c r="F812" s="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5"/>
      <c r="E813" s="6"/>
      <c r="F813" s="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5"/>
      <c r="E814" s="6"/>
      <c r="F814" s="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5"/>
      <c r="E815" s="6"/>
      <c r="F815" s="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5"/>
      <c r="E816" s="6"/>
      <c r="F816" s="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5"/>
      <c r="E817" s="6"/>
      <c r="F817" s="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5"/>
      <c r="E818" s="6"/>
      <c r="F818" s="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5"/>
      <c r="E819" s="6"/>
      <c r="F819" s="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5"/>
      <c r="E820" s="6"/>
      <c r="F820" s="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5"/>
      <c r="E821" s="6"/>
      <c r="F821" s="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5"/>
      <c r="E822" s="6"/>
      <c r="F822" s="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5"/>
      <c r="E823" s="6"/>
      <c r="F823" s="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5"/>
      <c r="E824" s="6"/>
      <c r="F824" s="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5"/>
      <c r="E825" s="6"/>
      <c r="F825" s="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5"/>
      <c r="E826" s="6"/>
      <c r="F826" s="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5"/>
      <c r="E827" s="6"/>
      <c r="F827" s="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5"/>
      <c r="E828" s="6"/>
      <c r="F828" s="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5"/>
      <c r="E829" s="6"/>
      <c r="F829" s="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5"/>
      <c r="E830" s="6"/>
      <c r="F830" s="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5"/>
      <c r="E831" s="6"/>
      <c r="F831" s="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5"/>
      <c r="E832" s="6"/>
      <c r="F832" s="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5"/>
      <c r="E833" s="6"/>
      <c r="F833" s="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5"/>
      <c r="E834" s="6"/>
      <c r="F834" s="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5"/>
      <c r="E835" s="6"/>
      <c r="F835" s="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5"/>
      <c r="E836" s="6"/>
      <c r="F836" s="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5"/>
      <c r="E837" s="6"/>
      <c r="F837" s="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5"/>
      <c r="E838" s="6"/>
      <c r="F838" s="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5"/>
      <c r="E839" s="6"/>
      <c r="F839" s="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5"/>
      <c r="E840" s="6"/>
      <c r="F840" s="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5"/>
      <c r="E841" s="6"/>
      <c r="F841" s="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5"/>
      <c r="E842" s="6"/>
      <c r="F842" s="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5"/>
      <c r="E843" s="6"/>
      <c r="F843" s="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5"/>
      <c r="E844" s="6"/>
      <c r="F844" s="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5"/>
      <c r="E845" s="6"/>
      <c r="F845" s="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5"/>
      <c r="E846" s="6"/>
      <c r="F846" s="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5"/>
      <c r="E847" s="6"/>
      <c r="F847" s="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5"/>
      <c r="E848" s="6"/>
      <c r="F848" s="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5"/>
      <c r="E849" s="6"/>
      <c r="F849" s="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5"/>
      <c r="E850" s="6"/>
      <c r="F850" s="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5"/>
      <c r="E851" s="6"/>
      <c r="F851" s="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5"/>
      <c r="E852" s="6"/>
      <c r="F852" s="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5"/>
      <c r="E853" s="6"/>
      <c r="F853" s="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5"/>
      <c r="E854" s="6"/>
      <c r="F854" s="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5"/>
      <c r="E855" s="6"/>
      <c r="F855" s="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5"/>
      <c r="E856" s="6"/>
      <c r="F856" s="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5"/>
      <c r="E857" s="6"/>
      <c r="F857" s="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5"/>
      <c r="E858" s="6"/>
      <c r="F858" s="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5"/>
      <c r="E859" s="6"/>
      <c r="F859" s="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5"/>
      <c r="E860" s="6"/>
      <c r="F860" s="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5"/>
      <c r="E861" s="6"/>
      <c r="F861" s="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5"/>
      <c r="E862" s="6"/>
      <c r="F862" s="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5"/>
      <c r="E863" s="6"/>
      <c r="F863" s="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5"/>
      <c r="E864" s="6"/>
      <c r="F864" s="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5"/>
      <c r="E865" s="6"/>
      <c r="F865" s="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5"/>
      <c r="E866" s="6"/>
      <c r="F866" s="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5"/>
      <c r="E867" s="6"/>
      <c r="F867" s="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5"/>
      <c r="E868" s="6"/>
      <c r="F868" s="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5"/>
      <c r="E869" s="6"/>
      <c r="F869" s="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5"/>
      <c r="E870" s="6"/>
      <c r="F870" s="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5"/>
      <c r="E871" s="6"/>
      <c r="F871" s="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5"/>
      <c r="E872" s="6"/>
      <c r="F872" s="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5"/>
      <c r="E873" s="6"/>
      <c r="F873" s="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5"/>
      <c r="E874" s="6"/>
      <c r="F874" s="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5"/>
      <c r="E875" s="6"/>
      <c r="F875" s="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5"/>
      <c r="E876" s="6"/>
      <c r="F876" s="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5"/>
      <c r="E877" s="6"/>
      <c r="F877" s="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5"/>
      <c r="E878" s="6"/>
      <c r="F878" s="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5"/>
      <c r="E879" s="6"/>
      <c r="F879" s="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5"/>
      <c r="E880" s="6"/>
      <c r="F880" s="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5"/>
      <c r="E881" s="6"/>
      <c r="F881" s="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5"/>
      <c r="E882" s="6"/>
      <c r="F882" s="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5"/>
      <c r="E883" s="6"/>
      <c r="F883" s="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5"/>
      <c r="E884" s="6"/>
      <c r="F884" s="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5"/>
      <c r="E885" s="6"/>
      <c r="F885" s="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5"/>
      <c r="E886" s="6"/>
      <c r="F886" s="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5"/>
      <c r="E887" s="6"/>
      <c r="F887" s="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5"/>
      <c r="E888" s="6"/>
      <c r="F888" s="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5"/>
      <c r="E889" s="6"/>
      <c r="F889" s="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5"/>
      <c r="E890" s="6"/>
      <c r="F890" s="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5"/>
      <c r="E891" s="6"/>
      <c r="F891" s="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5"/>
      <c r="E892" s="6"/>
      <c r="F892" s="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5"/>
      <c r="E893" s="6"/>
      <c r="F893" s="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5"/>
      <c r="E894" s="6"/>
      <c r="F894" s="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5"/>
      <c r="E895" s="6"/>
      <c r="F895" s="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5"/>
      <c r="E896" s="6"/>
      <c r="F896" s="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5"/>
      <c r="E897" s="6"/>
      <c r="F897" s="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5"/>
      <c r="E898" s="6"/>
      <c r="F898" s="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5"/>
      <c r="E899" s="6"/>
      <c r="F899" s="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5"/>
      <c r="E900" s="6"/>
      <c r="F900" s="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5"/>
      <c r="E901" s="6"/>
      <c r="F901" s="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5"/>
      <c r="E902" s="6"/>
      <c r="F902" s="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5"/>
      <c r="E903" s="6"/>
      <c r="F903" s="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5"/>
      <c r="E904" s="6"/>
      <c r="F904" s="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5"/>
      <c r="E905" s="6"/>
      <c r="F905" s="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5"/>
      <c r="E906" s="6"/>
      <c r="F906" s="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5"/>
      <c r="E907" s="6"/>
      <c r="F907" s="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5"/>
      <c r="E908" s="6"/>
      <c r="F908" s="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5"/>
      <c r="E909" s="6"/>
      <c r="F909" s="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5"/>
      <c r="E910" s="6"/>
      <c r="F910" s="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5"/>
      <c r="E911" s="6"/>
      <c r="F911" s="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5"/>
      <c r="E912" s="6"/>
      <c r="F912" s="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5"/>
      <c r="E913" s="6"/>
      <c r="F913" s="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5"/>
      <c r="E914" s="6"/>
      <c r="F914" s="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5"/>
      <c r="E915" s="6"/>
      <c r="F915" s="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5"/>
      <c r="E916" s="6"/>
      <c r="F916" s="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5"/>
      <c r="E917" s="6"/>
      <c r="F917" s="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5"/>
      <c r="E918" s="6"/>
      <c r="F918" s="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5"/>
      <c r="E919" s="6"/>
      <c r="F919" s="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5"/>
      <c r="E920" s="6"/>
      <c r="F920" s="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5"/>
      <c r="E921" s="6"/>
      <c r="F921" s="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5"/>
      <c r="E922" s="6"/>
      <c r="F922" s="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5"/>
      <c r="E923" s="6"/>
      <c r="F923" s="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5"/>
      <c r="E924" s="6"/>
      <c r="F924" s="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5"/>
      <c r="E925" s="6"/>
      <c r="F925" s="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5"/>
      <c r="E926" s="6"/>
      <c r="F926" s="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5"/>
      <c r="E927" s="6"/>
      <c r="F927" s="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5"/>
      <c r="E928" s="6"/>
      <c r="F928" s="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5"/>
      <c r="E929" s="6"/>
      <c r="F929" s="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5"/>
      <c r="E930" s="6"/>
      <c r="F930" s="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5"/>
      <c r="E931" s="6"/>
      <c r="F931" s="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5"/>
      <c r="E932" s="6"/>
      <c r="F932" s="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5"/>
      <c r="E933" s="6"/>
      <c r="F933" s="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5"/>
      <c r="E934" s="6"/>
      <c r="F934" s="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5"/>
      <c r="E935" s="6"/>
      <c r="F935" s="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5"/>
      <c r="E936" s="6"/>
      <c r="F936" s="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5"/>
      <c r="E937" s="6"/>
      <c r="F937" s="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5"/>
      <c r="E938" s="6"/>
      <c r="F938" s="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5"/>
      <c r="E939" s="6"/>
      <c r="F939" s="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5"/>
      <c r="E940" s="6"/>
      <c r="F940" s="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5"/>
      <c r="E941" s="6"/>
      <c r="F941" s="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5"/>
      <c r="E942" s="6"/>
      <c r="F942" s="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5"/>
      <c r="E943" s="6"/>
      <c r="F943" s="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5"/>
      <c r="E944" s="6"/>
      <c r="F944" s="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5"/>
      <c r="E945" s="6"/>
      <c r="F945" s="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5"/>
      <c r="E946" s="6"/>
      <c r="F946" s="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5"/>
      <c r="E947" s="6"/>
      <c r="F947" s="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5"/>
      <c r="E948" s="6"/>
      <c r="F948" s="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5"/>
      <c r="E949" s="6"/>
      <c r="F949" s="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5"/>
      <c r="E950" s="6"/>
      <c r="F950" s="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5"/>
      <c r="E951" s="6"/>
      <c r="F951" s="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5"/>
      <c r="E952" s="6"/>
      <c r="F952" s="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5"/>
      <c r="E953" s="6"/>
      <c r="F953" s="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5"/>
      <c r="E954" s="6"/>
      <c r="F954" s="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5"/>
      <c r="E955" s="6"/>
      <c r="F955" s="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5"/>
      <c r="E956" s="6"/>
      <c r="F956" s="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5"/>
      <c r="E957" s="6"/>
      <c r="F957" s="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5"/>
      <c r="E958" s="6"/>
      <c r="F958" s="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5"/>
      <c r="E959" s="6"/>
      <c r="F959" s="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5"/>
      <c r="E960" s="6"/>
      <c r="F960" s="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5"/>
      <c r="E961" s="6"/>
      <c r="F961" s="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5"/>
      <c r="E962" s="6"/>
      <c r="F962" s="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5"/>
      <c r="E963" s="6"/>
      <c r="F963" s="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5"/>
      <c r="E964" s="6"/>
      <c r="F964" s="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5"/>
      <c r="E965" s="6"/>
      <c r="F965" s="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5"/>
      <c r="E966" s="6"/>
      <c r="F966" s="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5"/>
      <c r="E967" s="6"/>
      <c r="F967" s="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5"/>
      <c r="E968" s="6"/>
      <c r="F968" s="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5"/>
      <c r="E969" s="6"/>
      <c r="F969" s="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5"/>
      <c r="E970" s="6"/>
      <c r="F970" s="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5"/>
      <c r="E971" s="6"/>
      <c r="F971" s="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5"/>
      <c r="E972" s="6"/>
      <c r="F972" s="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5"/>
      <c r="E973" s="6"/>
      <c r="F973" s="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5"/>
      <c r="E974" s="6"/>
      <c r="F974" s="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5"/>
      <c r="E975" s="6"/>
      <c r="F975" s="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5"/>
      <c r="E976" s="6"/>
      <c r="F976" s="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5"/>
      <c r="E977" s="6"/>
      <c r="F977" s="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5"/>
      <c r="E978" s="6"/>
      <c r="F978" s="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5"/>
      <c r="E979" s="6"/>
      <c r="F979" s="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5"/>
      <c r="E980" s="6"/>
      <c r="F980" s="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5"/>
      <c r="E981" s="6"/>
      <c r="F981" s="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5"/>
      <c r="E982" s="6"/>
      <c r="F982" s="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5"/>
      <c r="E983" s="6"/>
      <c r="F983" s="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5"/>
      <c r="E984" s="6"/>
      <c r="F984" s="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5"/>
      <c r="E985" s="6"/>
      <c r="F985" s="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5"/>
      <c r="E986" s="6"/>
      <c r="F986" s="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5"/>
      <c r="E987" s="6"/>
      <c r="F987" s="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5"/>
      <c r="E988" s="6"/>
      <c r="F988" s="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5"/>
      <c r="E989" s="6"/>
      <c r="F989" s="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5"/>
      <c r="E990" s="6"/>
      <c r="F990" s="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5"/>
      <c r="E991" s="6"/>
      <c r="F991" s="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5"/>
      <c r="E992" s="6"/>
      <c r="F992" s="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5"/>
      <c r="E993" s="6"/>
      <c r="F993" s="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5"/>
      <c r="E994" s="6"/>
      <c r="F994" s="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5"/>
      <c r="E995" s="6"/>
      <c r="F995" s="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5"/>
      <c r="E996" s="6"/>
      <c r="F996" s="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5"/>
      <c r="E997" s="6"/>
      <c r="F997" s="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5"/>
      <c r="E998" s="6"/>
      <c r="F998" s="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5"/>
      <c r="E999" s="6"/>
      <c r="F999" s="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" right="0" top="0" bottom="0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2"/>
  <sheetViews>
    <sheetView tabSelected="1" workbookViewId="0">
      <pane ySplit="1" topLeftCell="A71" activePane="bottomLeft" state="frozen"/>
      <selection pane="bottomLeft" activeCell="I2" sqref="I2:I100"/>
    </sheetView>
  </sheetViews>
  <sheetFormatPr defaultColWidth="14.44140625" defaultRowHeight="15" customHeight="1" x14ac:dyDescent="0.3"/>
  <cols>
    <col min="1" max="1" width="13.109375" customWidth="1"/>
    <col min="2" max="2" width="29.88671875" customWidth="1"/>
    <col min="3" max="3" width="40.33203125" customWidth="1"/>
    <col min="4" max="4" width="5.44140625" customWidth="1"/>
    <col min="5" max="5" width="9.109375" customWidth="1"/>
    <col min="6" max="6" width="13.88671875" customWidth="1"/>
    <col min="7" max="7" width="7.44140625" customWidth="1"/>
    <col min="8" max="8" width="2.44140625" customWidth="1"/>
    <col min="9" max="9" width="8.5546875" customWidth="1"/>
    <col min="10" max="10" width="9.109375" customWidth="1"/>
    <col min="11" max="11" width="7.44140625" customWidth="1"/>
    <col min="12" max="26" width="8.6640625" customWidth="1"/>
  </cols>
  <sheetData>
    <row r="1" spans="1:26" ht="12.7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71" t="s">
        <v>4</v>
      </c>
      <c r="F1" s="71" t="s">
        <v>6</v>
      </c>
      <c r="G1" s="72" t="s">
        <v>7</v>
      </c>
      <c r="H1" s="72"/>
      <c r="I1" s="72" t="s">
        <v>8</v>
      </c>
      <c r="J1" s="71" t="s">
        <v>9</v>
      </c>
      <c r="K1" s="72" t="s">
        <v>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tr">
        <f t="shared" ref="A2:A7" si="0">"Yealink"</f>
        <v>Yealink</v>
      </c>
      <c r="B2" s="4" t="str">
        <f>"YEA-SIP-T29G"</f>
        <v>YEA-SIP-T29G</v>
      </c>
      <c r="C2" s="4" t="str">
        <f>"Yealink Executive IP Phone w/POE"</f>
        <v>Yealink Executive IP Phone w/POE</v>
      </c>
      <c r="D2" s="5" t="s">
        <v>13</v>
      </c>
      <c r="E2" s="6">
        <v>229</v>
      </c>
      <c r="F2" s="6">
        <v>94</v>
      </c>
      <c r="G2" s="7">
        <f t="shared" ref="G2:G7" si="1">1-(F2/E2)</f>
        <v>0.58951965065502177</v>
      </c>
      <c r="H2" s="7"/>
      <c r="I2" s="7">
        <v>0.5</v>
      </c>
      <c r="J2" s="6">
        <f t="shared" ref="J2:J7" si="2">E2*(1-I2)</f>
        <v>114.5</v>
      </c>
      <c r="K2" s="7">
        <f t="shared" ref="K2:K7" si="3">1-(F2/J2)</f>
        <v>0.17903930131004364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tr">
        <f t="shared" si="0"/>
        <v>Yealink</v>
      </c>
      <c r="B3" s="4" t="str">
        <f>"YEA-SIP-T27G"</f>
        <v>YEA-SIP-T27G</v>
      </c>
      <c r="C3" s="4" t="str">
        <f>"Executive Gigabit IP Phone with POE"</f>
        <v>Executive Gigabit IP Phone with POE</v>
      </c>
      <c r="D3" s="5" t="s">
        <v>13</v>
      </c>
      <c r="E3" s="6">
        <v>145</v>
      </c>
      <c r="F3" s="6">
        <v>70</v>
      </c>
      <c r="G3" s="7">
        <f t="shared" si="1"/>
        <v>0.51724137931034475</v>
      </c>
      <c r="H3" s="7"/>
      <c r="I3" s="7">
        <v>0.42</v>
      </c>
      <c r="J3" s="6">
        <f t="shared" si="2"/>
        <v>84.100000000000009</v>
      </c>
      <c r="K3" s="7">
        <f t="shared" si="3"/>
        <v>0.16765755053507736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tr">
        <f t="shared" si="0"/>
        <v>Yealink</v>
      </c>
      <c r="B4" s="4" t="str">
        <f>"YEA-SIP-T23G"</f>
        <v>YEA-SIP-T23G</v>
      </c>
      <c r="C4" s="4" t="str">
        <f>"Yealink Professional Gigabit IP Phone"</f>
        <v>Yealink Professional Gigabit IP Phone</v>
      </c>
      <c r="D4" s="5" t="s">
        <v>13</v>
      </c>
      <c r="E4" s="6">
        <v>119</v>
      </c>
      <c r="F4" s="6">
        <v>51</v>
      </c>
      <c r="G4" s="7">
        <f t="shared" si="1"/>
        <v>0.5714285714285714</v>
      </c>
      <c r="H4" s="7"/>
      <c r="I4" s="7">
        <v>0.48</v>
      </c>
      <c r="J4" s="6">
        <f t="shared" si="2"/>
        <v>61.88</v>
      </c>
      <c r="K4" s="7">
        <f t="shared" si="3"/>
        <v>0.17582417582417587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tr">
        <f t="shared" si="0"/>
        <v>Yealink</v>
      </c>
      <c r="B5" s="4" t="str">
        <f>"YEA-SIP-T23P"</f>
        <v>YEA-SIP-T23P</v>
      </c>
      <c r="C5" s="4" t="str">
        <f>"Yealink Professional IP Phone HD Voice"</f>
        <v>Yealink Professional IP Phone HD Voice</v>
      </c>
      <c r="D5" s="5" t="s">
        <v>13</v>
      </c>
      <c r="E5" s="6">
        <v>89</v>
      </c>
      <c r="F5" s="6">
        <v>36</v>
      </c>
      <c r="G5" s="7">
        <f t="shared" si="1"/>
        <v>0.5955056179775281</v>
      </c>
      <c r="H5" s="7"/>
      <c r="I5" s="7">
        <v>0.5</v>
      </c>
      <c r="J5" s="6">
        <f t="shared" si="2"/>
        <v>44.5</v>
      </c>
      <c r="K5" s="7">
        <f t="shared" si="3"/>
        <v>0.1910112359550562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tr">
        <f t="shared" si="0"/>
        <v>Yealink</v>
      </c>
      <c r="B6" s="4" t="str">
        <f>"YEA-SIP-T21P-E2"</f>
        <v>YEA-SIP-T21P-E2</v>
      </c>
      <c r="C6" s="4" t="str">
        <f>"Entry Level IP Phone with POE; backlight"</f>
        <v>Entry Level IP Phone with POE; backlight</v>
      </c>
      <c r="D6" s="5" t="s">
        <v>13</v>
      </c>
      <c r="E6" s="6">
        <v>75</v>
      </c>
      <c r="F6" s="6">
        <v>34</v>
      </c>
      <c r="G6" s="7">
        <f t="shared" si="1"/>
        <v>0.54666666666666663</v>
      </c>
      <c r="H6" s="7"/>
      <c r="I6" s="7">
        <v>0.45</v>
      </c>
      <c r="J6" s="6">
        <f t="shared" si="2"/>
        <v>41.25</v>
      </c>
      <c r="K6" s="7">
        <f t="shared" si="3"/>
        <v>0.17575757575757578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8" t="str">
        <f t="shared" si="0"/>
        <v>Yealink</v>
      </c>
      <c r="B7" s="8" t="str">
        <f>"YEA-SIP-T19P-E2"</f>
        <v>YEA-SIP-T19P-E2</v>
      </c>
      <c r="C7" s="8" t="str">
        <f>"Entry-level IP Phone with 1 Line"</f>
        <v>Entry-level IP Phone with 1 Line</v>
      </c>
      <c r="D7" s="9" t="s">
        <v>13</v>
      </c>
      <c r="E7" s="10">
        <v>68</v>
      </c>
      <c r="F7" s="10">
        <v>31</v>
      </c>
      <c r="G7" s="11">
        <f t="shared" si="1"/>
        <v>0.54411764705882359</v>
      </c>
      <c r="H7" s="11"/>
      <c r="I7" s="11">
        <v>0.45</v>
      </c>
      <c r="J7" s="10">
        <f t="shared" si="2"/>
        <v>37.400000000000006</v>
      </c>
      <c r="K7" s="11">
        <f t="shared" si="3"/>
        <v>0.17112299465240655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tr">
        <f t="shared" ref="A8:A15" si="4">"Yealink"</f>
        <v>Yealink</v>
      </c>
      <c r="B8" s="4" t="str">
        <f>"YEA-SIP-T48G"</f>
        <v>YEA-SIP-T48G</v>
      </c>
      <c r="C8" s="4" t="str">
        <f t="shared" ref="C8:C9" si="5">"Yealink Ultra-Elegant Touchscreen"</f>
        <v>Yealink Ultra-Elegant Touchscreen</v>
      </c>
      <c r="D8" s="5" t="s">
        <v>13</v>
      </c>
      <c r="E8" s="6">
        <v>349</v>
      </c>
      <c r="F8" s="6">
        <v>175</v>
      </c>
      <c r="G8" s="7">
        <f t="shared" ref="G8:G15" si="6">1-(F8/E8)</f>
        <v>0.49856733524355301</v>
      </c>
      <c r="H8" s="7"/>
      <c r="I8" s="7">
        <v>0.38</v>
      </c>
      <c r="J8" s="6">
        <f t="shared" ref="J8:J15" si="7">E8*(1-I8)</f>
        <v>216.38</v>
      </c>
      <c r="K8" s="7">
        <f t="shared" ref="K8:K15" si="8">1-(F8/J8)</f>
        <v>0.19123763748960165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tr">
        <f t="shared" si="4"/>
        <v>Yealink</v>
      </c>
      <c r="B9" s="4" t="str">
        <f>"YEA-SIP-T48S"</f>
        <v>YEA-SIP-T48S</v>
      </c>
      <c r="C9" s="4" t="str">
        <f t="shared" si="5"/>
        <v>Yealink Ultra-Elegant Touchscreen</v>
      </c>
      <c r="D9" s="5" t="s">
        <v>13</v>
      </c>
      <c r="E9" s="6">
        <v>349</v>
      </c>
      <c r="F9" s="6">
        <v>175</v>
      </c>
      <c r="G9" s="7">
        <f t="shared" si="6"/>
        <v>0.49856733524355301</v>
      </c>
      <c r="H9" s="7"/>
      <c r="I9" s="7">
        <v>0.38</v>
      </c>
      <c r="J9" s="6">
        <f t="shared" si="7"/>
        <v>216.38</v>
      </c>
      <c r="K9" s="7">
        <f t="shared" si="8"/>
        <v>0.19123763748960165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tr">
        <f t="shared" si="4"/>
        <v>Yealink</v>
      </c>
      <c r="B10" s="4" t="str">
        <f>"YEA-SIP-T46G"</f>
        <v>YEA-SIP-T46G</v>
      </c>
      <c r="C10" s="4" t="str">
        <f t="shared" ref="C10:C11" si="9">"Ultra-elegant Gigabit IP Phone"</f>
        <v>Ultra-elegant Gigabit IP Phone</v>
      </c>
      <c r="D10" s="5" t="s">
        <v>13</v>
      </c>
      <c r="E10" s="6">
        <v>269</v>
      </c>
      <c r="F10" s="6">
        <v>130</v>
      </c>
      <c r="G10" s="7">
        <f t="shared" si="6"/>
        <v>0.51672862453531598</v>
      </c>
      <c r="H10" s="7"/>
      <c r="I10" s="7">
        <v>0.42</v>
      </c>
      <c r="J10" s="6">
        <f t="shared" si="7"/>
        <v>156.02000000000001</v>
      </c>
      <c r="K10" s="7">
        <f t="shared" si="8"/>
        <v>0.16677349057813107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tr">
        <f t="shared" si="4"/>
        <v>Yealink</v>
      </c>
      <c r="B11" s="4" t="str">
        <f>"YEA-SIP-T46S"</f>
        <v>YEA-SIP-T46S</v>
      </c>
      <c r="C11" s="4" t="str">
        <f t="shared" si="9"/>
        <v>Ultra-elegant Gigabit IP Phone</v>
      </c>
      <c r="D11" s="5" t="s">
        <v>13</v>
      </c>
      <c r="E11" s="6">
        <v>269</v>
      </c>
      <c r="F11" s="6">
        <v>130</v>
      </c>
      <c r="G11" s="7">
        <f t="shared" si="6"/>
        <v>0.51672862453531598</v>
      </c>
      <c r="H11" s="7"/>
      <c r="I11" s="7">
        <v>0.42</v>
      </c>
      <c r="J11" s="6">
        <f t="shared" si="7"/>
        <v>156.02000000000001</v>
      </c>
      <c r="K11" s="7">
        <f t="shared" si="8"/>
        <v>0.16677349057813107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tr">
        <f t="shared" si="4"/>
        <v>Yealink</v>
      </c>
      <c r="B12" s="4" t="str">
        <f>"YEA-SIP-T42G"</f>
        <v>YEA-SIP-T42G</v>
      </c>
      <c r="C12" s="4" t="str">
        <f>"Yealink T42G Gigabit IP Phone"</f>
        <v>Yealink T42G Gigabit IP Phone</v>
      </c>
      <c r="D12" s="5" t="s">
        <v>13</v>
      </c>
      <c r="E12" s="6">
        <v>179</v>
      </c>
      <c r="F12" s="6">
        <v>85</v>
      </c>
      <c r="G12" s="7">
        <f t="shared" si="6"/>
        <v>0.52513966480446927</v>
      </c>
      <c r="H12" s="7"/>
      <c r="I12" s="7">
        <v>0.42</v>
      </c>
      <c r="J12" s="6">
        <f t="shared" si="7"/>
        <v>103.82000000000001</v>
      </c>
      <c r="K12" s="7">
        <f t="shared" si="8"/>
        <v>0.18127528414563676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tr">
        <f t="shared" si="4"/>
        <v>Yealink</v>
      </c>
      <c r="B13" s="4" t="str">
        <f>"YEA-SIP-T42S"</f>
        <v>YEA-SIP-T42S</v>
      </c>
      <c r="C13" s="4" t="str">
        <f>"Yealink T42S Gigabit IP Phone"</f>
        <v>Yealink T42S Gigabit IP Phone</v>
      </c>
      <c r="D13" s="5" t="s">
        <v>13</v>
      </c>
      <c r="E13" s="6">
        <v>179</v>
      </c>
      <c r="F13" s="6">
        <v>85</v>
      </c>
      <c r="G13" s="7">
        <f t="shared" si="6"/>
        <v>0.52513966480446927</v>
      </c>
      <c r="H13" s="7"/>
      <c r="I13" s="7">
        <v>0.42</v>
      </c>
      <c r="J13" s="6">
        <f t="shared" si="7"/>
        <v>103.82000000000001</v>
      </c>
      <c r="K13" s="7">
        <f t="shared" si="8"/>
        <v>0.18127528414563676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tr">
        <f t="shared" si="4"/>
        <v>Yealink</v>
      </c>
      <c r="B14" s="4" t="str">
        <f>"YEA-SIP-T41S"</f>
        <v>YEA-SIP-T41S</v>
      </c>
      <c r="C14" s="4" t="str">
        <f>"Yealink T41S IP Desk Phone"</f>
        <v>Yealink T41S IP Desk Phone</v>
      </c>
      <c r="D14" s="5" t="s">
        <v>13</v>
      </c>
      <c r="E14" s="6">
        <v>139</v>
      </c>
      <c r="F14" s="6">
        <v>72</v>
      </c>
      <c r="G14" s="7">
        <f t="shared" si="6"/>
        <v>0.48201438848920863</v>
      </c>
      <c r="H14" s="7"/>
      <c r="I14" s="7">
        <v>0.38</v>
      </c>
      <c r="J14" s="6">
        <f t="shared" si="7"/>
        <v>86.179999999999993</v>
      </c>
      <c r="K14" s="7">
        <f t="shared" si="8"/>
        <v>0.16453933627291706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8" t="str">
        <f t="shared" si="4"/>
        <v>Yealink</v>
      </c>
      <c r="B15" s="8" t="str">
        <f>"YEA-SIP-T40G"</f>
        <v>YEA-SIP-T40G</v>
      </c>
      <c r="C15" s="8" t="str">
        <f>"Yealink T40G IP POE Phone"</f>
        <v>Yealink T40G IP POE Phone</v>
      </c>
      <c r="D15" s="9" t="s">
        <v>13</v>
      </c>
      <c r="E15" s="10">
        <v>119</v>
      </c>
      <c r="F15" s="10">
        <v>53</v>
      </c>
      <c r="G15" s="11">
        <f t="shared" si="6"/>
        <v>0.55462184873949583</v>
      </c>
      <c r="H15" s="11"/>
      <c r="I15" s="11">
        <v>0.45</v>
      </c>
      <c r="J15" s="10">
        <f t="shared" si="7"/>
        <v>65.45</v>
      </c>
      <c r="K15" s="11">
        <f t="shared" si="8"/>
        <v>0.19022154316271966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tr">
        <f t="shared" ref="A16:A22" si="10">"Yealink"</f>
        <v>Yealink</v>
      </c>
      <c r="B16" s="4" t="str">
        <f>"YEA-SIP-T58"</f>
        <v>YEA-SIP-T58</v>
      </c>
      <c r="C16" s="4" t="str">
        <f>"SIP-T58 Smart Media Android HD Phone"</f>
        <v>SIP-T58 Smart Media Android HD Phone</v>
      </c>
      <c r="D16" s="5" t="s">
        <v>13</v>
      </c>
      <c r="E16" s="6">
        <v>489</v>
      </c>
      <c r="F16" s="6">
        <v>220</v>
      </c>
      <c r="G16" s="7">
        <f t="shared" ref="G16:G22" si="11">1-(F16/E16)</f>
        <v>0.55010224948875264</v>
      </c>
      <c r="H16" s="7"/>
      <c r="I16" s="7">
        <v>0.45</v>
      </c>
      <c r="J16" s="6">
        <f t="shared" ref="J16:J22" si="12">E16*(1-I16)</f>
        <v>268.95000000000005</v>
      </c>
      <c r="K16" s="7">
        <f t="shared" ref="K16:K22" si="13">1-(F16/J16)</f>
        <v>0.1820040899795502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tr">
        <f t="shared" si="10"/>
        <v>Yealink</v>
      </c>
      <c r="B17" s="4" t="str">
        <f>"YEA-SIP-T58A"</f>
        <v>YEA-SIP-T58A</v>
      </c>
      <c r="C17" s="4" t="str">
        <f>"SIP-T58A Smart Media Android HD Phone"</f>
        <v>SIP-T58A Smart Media Android HD Phone</v>
      </c>
      <c r="D17" s="5" t="s">
        <v>13</v>
      </c>
      <c r="E17" s="6">
        <v>489</v>
      </c>
      <c r="F17" s="6">
        <v>220</v>
      </c>
      <c r="G17" s="7">
        <f t="shared" si="11"/>
        <v>0.55010224948875264</v>
      </c>
      <c r="H17" s="7"/>
      <c r="I17" s="7">
        <v>0.45</v>
      </c>
      <c r="J17" s="6">
        <f t="shared" si="12"/>
        <v>268.95000000000005</v>
      </c>
      <c r="K17" s="7">
        <f t="shared" si="13"/>
        <v>0.1820040899795502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tr">
        <f t="shared" si="10"/>
        <v>Yealink</v>
      </c>
      <c r="B18" s="4" t="str">
        <f>"YEA-SIP-T58A-CAM"</f>
        <v>YEA-SIP-T58A-CAM</v>
      </c>
      <c r="C18" s="4" t="str">
        <f>"T58A with CAM Smart Media HD Phone"</f>
        <v>T58A with CAM Smart Media HD Phone</v>
      </c>
      <c r="D18" s="5" t="s">
        <v>13</v>
      </c>
      <c r="E18" s="6">
        <v>599</v>
      </c>
      <c r="F18" s="6">
        <v>270</v>
      </c>
      <c r="G18" s="7">
        <f t="shared" si="11"/>
        <v>0.54924874791318867</v>
      </c>
      <c r="H18" s="7"/>
      <c r="I18" s="7">
        <v>0.45</v>
      </c>
      <c r="J18" s="6">
        <f t="shared" si="12"/>
        <v>329.45000000000005</v>
      </c>
      <c r="K18" s="7">
        <f t="shared" si="13"/>
        <v>0.18045226893307043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tr">
        <f t="shared" si="10"/>
        <v>Yealink</v>
      </c>
      <c r="B19" s="4" t="str">
        <f>"YEA-SIP-T58V"</f>
        <v>YEA-SIP-T58V</v>
      </c>
      <c r="C19" s="4" t="str">
        <f>"SIP-T58V Smart Media Android HD Phone"</f>
        <v>SIP-T58V Smart Media Android HD Phone</v>
      </c>
      <c r="D19" s="5" t="s">
        <v>13</v>
      </c>
      <c r="E19" s="6">
        <v>599</v>
      </c>
      <c r="F19" s="6">
        <v>270</v>
      </c>
      <c r="G19" s="7">
        <f t="shared" si="11"/>
        <v>0.54924874791318867</v>
      </c>
      <c r="H19" s="7"/>
      <c r="I19" s="7">
        <v>0.45</v>
      </c>
      <c r="J19" s="6">
        <f t="shared" si="12"/>
        <v>329.45000000000005</v>
      </c>
      <c r="K19" s="7">
        <f t="shared" si="13"/>
        <v>0.18045226893307043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tr">
        <f t="shared" si="10"/>
        <v>Yealink</v>
      </c>
      <c r="B20" s="4" t="str">
        <f>"YEA-SIP-T56A"</f>
        <v>YEA-SIP-T56A</v>
      </c>
      <c r="C20" s="4" t="str">
        <f>"SIP-T56A Smart Media Android HD Phone"</f>
        <v>SIP-T56A Smart Media Android HD Phone</v>
      </c>
      <c r="D20" s="5" t="s">
        <v>13</v>
      </c>
      <c r="E20" s="6">
        <v>459</v>
      </c>
      <c r="F20" s="6">
        <v>212</v>
      </c>
      <c r="G20" s="7">
        <f t="shared" si="11"/>
        <v>0.53812636165577343</v>
      </c>
      <c r="H20" s="7"/>
      <c r="I20" s="7">
        <v>0.45</v>
      </c>
      <c r="J20" s="6">
        <f t="shared" si="12"/>
        <v>252.45000000000002</v>
      </c>
      <c r="K20" s="7">
        <f t="shared" si="13"/>
        <v>0.16022974846504268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tr">
        <f t="shared" si="10"/>
        <v>Yealink</v>
      </c>
      <c r="B21" s="4" t="str">
        <f>"YEA-SIP-T54S"</f>
        <v>YEA-SIP-T54S</v>
      </c>
      <c r="C21" s="4" t="str">
        <f>"SIP-T54S Smart Media Linux HD Phone"</f>
        <v>SIP-T54S Smart Media Linux HD Phone</v>
      </c>
      <c r="D21" s="5" t="s">
        <v>13</v>
      </c>
      <c r="E21" s="6">
        <v>299.99</v>
      </c>
      <c r="F21" s="6">
        <v>143</v>
      </c>
      <c r="G21" s="7">
        <f t="shared" si="11"/>
        <v>0.52331744391479718</v>
      </c>
      <c r="H21" s="7"/>
      <c r="I21" s="7">
        <v>0.42</v>
      </c>
      <c r="J21" s="6">
        <f t="shared" si="12"/>
        <v>173.99420000000003</v>
      </c>
      <c r="K21" s="7">
        <f t="shared" si="13"/>
        <v>0.17813352399102977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8" t="str">
        <f t="shared" si="10"/>
        <v>Yealink</v>
      </c>
      <c r="B22" s="8" t="str">
        <f>"YEA-SIP-T52S"</f>
        <v>YEA-SIP-T52S</v>
      </c>
      <c r="C22" s="8" t="str">
        <f>"SIP-T52S Smart Media Linux HD Phone"</f>
        <v>SIP-T52S Smart Media Linux HD Phone</v>
      </c>
      <c r="D22" s="9" t="s">
        <v>13</v>
      </c>
      <c r="E22" s="10">
        <v>219</v>
      </c>
      <c r="F22" s="10">
        <v>106</v>
      </c>
      <c r="G22" s="11">
        <f t="shared" si="11"/>
        <v>0.51598173515981738</v>
      </c>
      <c r="H22" s="11"/>
      <c r="I22" s="11">
        <v>0.42</v>
      </c>
      <c r="J22" s="10">
        <f t="shared" si="12"/>
        <v>127.02000000000001</v>
      </c>
      <c r="K22" s="11">
        <f t="shared" si="13"/>
        <v>0.16548575027554724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1887</v>
      </c>
      <c r="B23" s="4" t="str">
        <f>"YEA-CP960-WM"</f>
        <v>YEA-CP960-WM</v>
      </c>
      <c r="C23" s="4" t="str">
        <f>"CP960 Wireless Mic Conference Phone"</f>
        <v>CP960 Wireless Mic Conference Phone</v>
      </c>
      <c r="D23" s="5" t="s">
        <v>13</v>
      </c>
      <c r="E23" s="6">
        <v>1099</v>
      </c>
      <c r="F23" s="6">
        <v>540</v>
      </c>
      <c r="G23" s="7">
        <f t="shared" ref="G23:G27" si="14">1-(F23/E23)</f>
        <v>0.50864422202001824</v>
      </c>
      <c r="H23" s="7"/>
      <c r="I23" s="7">
        <v>0.4</v>
      </c>
      <c r="J23" s="6">
        <f t="shared" ref="J23:J27" si="15">E23*(1-I23)</f>
        <v>659.4</v>
      </c>
      <c r="K23" s="7">
        <f t="shared" ref="K23:K27" si="16">1-(F23/J23)</f>
        <v>0.18107370336669693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tr">
        <f t="shared" ref="A24:A27" si="17">"Yealink"</f>
        <v>Yealink</v>
      </c>
      <c r="B24" s="4" t="str">
        <f>"YEA-CP960"</f>
        <v>YEA-CP960</v>
      </c>
      <c r="C24" s="4" t="str">
        <f>"Optima HD IP Conference Phone CP960"</f>
        <v>Optima HD IP Conference Phone CP960</v>
      </c>
      <c r="D24" s="5" t="s">
        <v>13</v>
      </c>
      <c r="E24" s="6">
        <v>899</v>
      </c>
      <c r="F24" s="6">
        <v>415</v>
      </c>
      <c r="G24" s="7">
        <f t="shared" si="14"/>
        <v>0.53837597330367082</v>
      </c>
      <c r="H24" s="7"/>
      <c r="I24" s="7">
        <v>0.45</v>
      </c>
      <c r="J24" s="6">
        <f t="shared" si="15"/>
        <v>494.45000000000005</v>
      </c>
      <c r="K24" s="7">
        <f t="shared" si="16"/>
        <v>0.16068358782485592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tr">
        <f t="shared" si="17"/>
        <v>Yealink</v>
      </c>
      <c r="B25" s="4" t="str">
        <f>"YEA-CP930W-BASE"</f>
        <v>YEA-CP930W-BASE</v>
      </c>
      <c r="C25" s="4" t="str">
        <f>"Yealink DECT Conference Phone with W60B"</f>
        <v>Yealink DECT Conference Phone with W60B</v>
      </c>
      <c r="D25" s="5" t="s">
        <v>13</v>
      </c>
      <c r="E25" s="6">
        <v>699</v>
      </c>
      <c r="F25" s="6">
        <v>390</v>
      </c>
      <c r="G25" s="7">
        <f t="shared" si="14"/>
        <v>0.44206008583690992</v>
      </c>
      <c r="H25" s="7"/>
      <c r="I25" s="7">
        <v>0.35</v>
      </c>
      <c r="J25" s="6">
        <f t="shared" si="15"/>
        <v>454.35</v>
      </c>
      <c r="K25" s="7">
        <f t="shared" si="16"/>
        <v>0.14163090128755373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tr">
        <f t="shared" si="17"/>
        <v>Yealink</v>
      </c>
      <c r="B26" s="4" t="str">
        <f>"YEA-CP930W"</f>
        <v>YEA-CP930W</v>
      </c>
      <c r="C26" s="4" t="str">
        <f>"Yealink DECT Conference Phone"</f>
        <v>Yealink DECT Conference Phone</v>
      </c>
      <c r="D26" s="5" t="s">
        <v>13</v>
      </c>
      <c r="E26" s="6">
        <v>599</v>
      </c>
      <c r="F26" s="6">
        <v>360</v>
      </c>
      <c r="G26" s="7">
        <f t="shared" si="14"/>
        <v>0.39899833055091816</v>
      </c>
      <c r="H26" s="7"/>
      <c r="I26" s="7">
        <v>0.28000000000000003</v>
      </c>
      <c r="J26" s="6">
        <f t="shared" si="15"/>
        <v>431.28</v>
      </c>
      <c r="K26" s="7">
        <f t="shared" si="16"/>
        <v>0.16527545909849739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8" t="str">
        <f t="shared" si="17"/>
        <v>Yealink</v>
      </c>
      <c r="B27" s="8" t="str">
        <f>"YEA-CP920"</f>
        <v>YEA-CP920</v>
      </c>
      <c r="C27" s="8" t="str">
        <f>"Touch-sensitive HD IP Conference Phone"</f>
        <v>Touch-sensitive HD IP Conference Phone</v>
      </c>
      <c r="D27" s="9" t="s">
        <v>13</v>
      </c>
      <c r="E27" s="10">
        <v>599</v>
      </c>
      <c r="F27" s="10">
        <v>275</v>
      </c>
      <c r="G27" s="11">
        <f t="shared" si="14"/>
        <v>0.54090150250417368</v>
      </c>
      <c r="H27" s="11"/>
      <c r="I27" s="11">
        <v>0.45</v>
      </c>
      <c r="J27" s="10">
        <f t="shared" si="15"/>
        <v>329.45000000000005</v>
      </c>
      <c r="K27" s="11">
        <f t="shared" si="16"/>
        <v>0.16527545909849761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tr">
        <f t="shared" ref="A28:A31" si="18">"Yealink"</f>
        <v>Yealink</v>
      </c>
      <c r="B28" s="4" t="str">
        <f>"YEA-W41P"</f>
        <v>YEA-W41P</v>
      </c>
      <c r="C28" s="4" t="str">
        <f>"Yealink DECT Desk Cordless Phone"</f>
        <v>Yealink DECT Desk Cordless Phone</v>
      </c>
      <c r="D28" s="5" t="s">
        <v>13</v>
      </c>
      <c r="E28" s="6">
        <v>268</v>
      </c>
      <c r="F28" s="6">
        <v>143</v>
      </c>
      <c r="G28" s="7">
        <f t="shared" ref="G28:G31" si="19">1-(F28/E28)</f>
        <v>0.46641791044776115</v>
      </c>
      <c r="H28" s="7"/>
      <c r="I28" s="7">
        <v>0.35</v>
      </c>
      <c r="J28" s="6">
        <f t="shared" ref="J28:J31" si="20">E28*(1-I28)</f>
        <v>174.20000000000002</v>
      </c>
      <c r="K28" s="7">
        <f t="shared" ref="K28:K31" si="21">1-(F28/J28)</f>
        <v>0.17910447761194037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tr">
        <f t="shared" si="18"/>
        <v>Yealink</v>
      </c>
      <c r="B29" s="4" t="str">
        <f>"YEA-W60P"</f>
        <v>YEA-W60P</v>
      </c>
      <c r="C29" s="4" t="str">
        <f>"IP DECT Phone bundle W56H with W60 base"</f>
        <v>IP DECT Phone bundle W56H with W60 base</v>
      </c>
      <c r="D29" s="5" t="s">
        <v>13</v>
      </c>
      <c r="E29" s="6">
        <v>189</v>
      </c>
      <c r="F29" s="6">
        <v>117</v>
      </c>
      <c r="G29" s="7">
        <f t="shared" si="19"/>
        <v>0.38095238095238093</v>
      </c>
      <c r="H29" s="7"/>
      <c r="I29" s="7">
        <v>0.25</v>
      </c>
      <c r="J29" s="6">
        <f t="shared" si="20"/>
        <v>141.75</v>
      </c>
      <c r="K29" s="7">
        <f t="shared" si="21"/>
        <v>0.17460317460317465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tr">
        <f t="shared" si="18"/>
        <v>Yealink</v>
      </c>
      <c r="B30" s="4" t="str">
        <f>"YEA-W53P"</f>
        <v>YEA-W53P</v>
      </c>
      <c r="C30" s="4" t="str">
        <f>"IP DECT Phone bundle W53H with W60 base"</f>
        <v>IP DECT Phone bundle W53H with W60 base</v>
      </c>
      <c r="D30" s="5" t="s">
        <v>13</v>
      </c>
      <c r="E30" s="6">
        <v>169</v>
      </c>
      <c r="F30" s="6">
        <v>100</v>
      </c>
      <c r="G30" s="7">
        <f t="shared" si="19"/>
        <v>0.40828402366863903</v>
      </c>
      <c r="H30" s="7"/>
      <c r="I30" s="7">
        <v>0.28000000000000003</v>
      </c>
      <c r="J30" s="6">
        <f t="shared" si="20"/>
        <v>121.67999999999999</v>
      </c>
      <c r="K30" s="7">
        <f t="shared" si="21"/>
        <v>0.17817225509533197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8" t="str">
        <f t="shared" si="18"/>
        <v>Yealink</v>
      </c>
      <c r="B31" s="8" t="str">
        <f>"YEA-W52P"</f>
        <v>YEA-W52P</v>
      </c>
      <c r="C31" s="8" t="str">
        <f>"IP DECT Phone bundle W52H with W60 base"</f>
        <v>IP DECT Phone bundle W52H with W60 base</v>
      </c>
      <c r="D31" s="9" t="s">
        <v>13</v>
      </c>
      <c r="E31" s="10">
        <v>159</v>
      </c>
      <c r="F31" s="10">
        <v>98</v>
      </c>
      <c r="G31" s="11">
        <f t="shared" si="19"/>
        <v>0.38364779874213839</v>
      </c>
      <c r="H31" s="11"/>
      <c r="I31" s="11">
        <v>0.25</v>
      </c>
      <c r="J31" s="10">
        <f t="shared" si="20"/>
        <v>119.25</v>
      </c>
      <c r="K31" s="11">
        <f t="shared" si="21"/>
        <v>0.17819706498951782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tr">
        <f t="shared" ref="A32:A43" si="22">"Yealink"</f>
        <v>Yealink</v>
      </c>
      <c r="B32" s="4" t="str">
        <f>"YEA-VC200"</f>
        <v>YEA-VC200</v>
      </c>
      <c r="C32" s="4" t="str">
        <f>"VC200 Vid Conf Endpoint"</f>
        <v>VC200 Vid Conf Endpoint</v>
      </c>
      <c r="D32" s="5" t="s">
        <v>13</v>
      </c>
      <c r="E32" s="6">
        <v>1599</v>
      </c>
      <c r="F32" s="6">
        <v>1265</v>
      </c>
      <c r="G32" s="7">
        <f t="shared" ref="G32:G43" si="23">1-(F32/E32)</f>
        <v>0.20888055034396502</v>
      </c>
      <c r="H32" s="7"/>
      <c r="I32" s="7">
        <v>0.05</v>
      </c>
      <c r="J32" s="6">
        <f t="shared" ref="J32:J43" si="24">E32*(1-I32)</f>
        <v>1519.05</v>
      </c>
      <c r="K32" s="7">
        <f t="shared" ref="K32:K43" si="25">1-(F32/J32)</f>
        <v>0.16724268457259472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tr">
        <f t="shared" si="22"/>
        <v>Yealink</v>
      </c>
      <c r="B33" s="4" t="str">
        <f>"YEA-VC200-WP"</f>
        <v>YEA-VC200-WP</v>
      </c>
      <c r="C33" s="4" t="str">
        <f>"VC200 Vid Conf Endpoint (WP)"</f>
        <v>VC200 Vid Conf Endpoint (WP)</v>
      </c>
      <c r="D33" s="5" t="s">
        <v>13</v>
      </c>
      <c r="E33" s="6">
        <v>1899</v>
      </c>
      <c r="F33" s="6">
        <v>1405</v>
      </c>
      <c r="G33" s="7">
        <f t="shared" si="23"/>
        <v>0.26013691416535023</v>
      </c>
      <c r="H33" s="7"/>
      <c r="I33" s="7">
        <v>0.1</v>
      </c>
      <c r="J33" s="6">
        <f t="shared" si="24"/>
        <v>1709.1000000000001</v>
      </c>
      <c r="K33" s="7">
        <f t="shared" si="25"/>
        <v>0.17792990462816693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tr">
        <f t="shared" si="22"/>
        <v>Yealink</v>
      </c>
      <c r="B34" s="4" t="str">
        <f>"YEA-VC500-Exclude-Mic"</f>
        <v>YEA-VC500-Exclude-Mic</v>
      </c>
      <c r="C34" s="4" t="str">
        <f>"VC500 Vid Conf Endpoint (Excluding Mics)"</f>
        <v>VC500 Vid Conf Endpoint (Excluding Mics)</v>
      </c>
      <c r="D34" s="5" t="s">
        <v>13</v>
      </c>
      <c r="E34" s="6">
        <v>3799</v>
      </c>
      <c r="F34" s="6">
        <v>1846</v>
      </c>
      <c r="G34" s="7">
        <f t="shared" si="23"/>
        <v>0.51408265332982361</v>
      </c>
      <c r="H34" s="7"/>
      <c r="I34" s="7">
        <v>0.4</v>
      </c>
      <c r="J34" s="6">
        <f t="shared" si="24"/>
        <v>2279.4</v>
      </c>
      <c r="K34" s="7">
        <f t="shared" si="25"/>
        <v>0.19013775554970613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tr">
        <f t="shared" si="22"/>
        <v>Yealink</v>
      </c>
      <c r="B35" s="4" t="str">
        <f>"YEA-VC500-Phone-Wired"</f>
        <v>YEA-VC500-Phone-Wired</v>
      </c>
      <c r="C35" s="4" t="str">
        <f>"VC500 Vid Conf Endpoint (Phone; Wired)"</f>
        <v>VC500 Vid Conf Endpoint (Phone; Wired)</v>
      </c>
      <c r="D35" s="5" t="s">
        <v>13</v>
      </c>
      <c r="E35" s="6">
        <v>5999</v>
      </c>
      <c r="F35" s="6">
        <v>2769</v>
      </c>
      <c r="G35" s="7">
        <f t="shared" si="23"/>
        <v>0.53842307051175198</v>
      </c>
      <c r="H35" s="7"/>
      <c r="I35" s="7">
        <v>0.45</v>
      </c>
      <c r="J35" s="6">
        <f t="shared" si="24"/>
        <v>3299.4500000000003</v>
      </c>
      <c r="K35" s="7">
        <f t="shared" si="25"/>
        <v>0.16076921911227637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tr">
        <f t="shared" si="22"/>
        <v>Yealink</v>
      </c>
      <c r="B36" s="4" t="str">
        <f>"YEA-VC500-Phone-Wired-WP"</f>
        <v>YEA-VC500-Phone-Wired-WP</v>
      </c>
      <c r="C36" s="4" t="str">
        <f>"VC500 Vid Conf Endpoint (Phone/Wired/WP)"</f>
        <v>VC500 Vid Conf Endpoint (Phone/Wired/WP)</v>
      </c>
      <c r="D36" s="5" t="s">
        <v>13</v>
      </c>
      <c r="E36" s="6">
        <v>5999</v>
      </c>
      <c r="F36" s="6">
        <v>2769</v>
      </c>
      <c r="G36" s="7">
        <f t="shared" si="23"/>
        <v>0.53842307051175198</v>
      </c>
      <c r="H36" s="7"/>
      <c r="I36" s="7">
        <v>0.45</v>
      </c>
      <c r="J36" s="6">
        <f t="shared" si="24"/>
        <v>3299.4500000000003</v>
      </c>
      <c r="K36" s="7">
        <f t="shared" si="25"/>
        <v>0.16076921911227637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tr">
        <f t="shared" si="22"/>
        <v>Yealink</v>
      </c>
      <c r="B37" s="4" t="str">
        <f>"YEA-VC500-Pro-Exclude-Mic"</f>
        <v>YEA-VC500-Pro-Exclude-Mic</v>
      </c>
      <c r="C37" s="4" t="str">
        <f>"VC500 Vid Conf Endpoint(Pro/Exclude/Mic)"</f>
        <v>VC500 Vid Conf Endpoint(Pro/Exclude/Mic)</v>
      </c>
      <c r="D37" s="5" t="s">
        <v>13</v>
      </c>
      <c r="E37" s="6">
        <v>4999</v>
      </c>
      <c r="F37" s="6">
        <v>2308</v>
      </c>
      <c r="G37" s="7">
        <f t="shared" si="23"/>
        <v>0.53830766153230647</v>
      </c>
      <c r="H37" s="7"/>
      <c r="I37" s="7">
        <v>0.45</v>
      </c>
      <c r="J37" s="6">
        <f t="shared" si="24"/>
        <v>2749.4500000000003</v>
      </c>
      <c r="K37" s="7">
        <f t="shared" si="25"/>
        <v>0.16055938460419361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tr">
        <f t="shared" si="22"/>
        <v>Yealink</v>
      </c>
      <c r="B38" s="4" t="str">
        <f>"YEA-VC500-Wireless-Micpod"</f>
        <v>YEA-VC500-Wireless-Micpod</v>
      </c>
      <c r="C38" s="4" t="str">
        <f>"VC500 Vid Conf Endpoint(Wireless/Micpod)"</f>
        <v>VC500 Vid Conf Endpoint(Wireless/Micpod)</v>
      </c>
      <c r="D38" s="5" t="s">
        <v>13</v>
      </c>
      <c r="E38" s="6">
        <v>3999</v>
      </c>
      <c r="F38" s="6">
        <v>2000</v>
      </c>
      <c r="G38" s="7">
        <f t="shared" si="23"/>
        <v>0.49987496874218551</v>
      </c>
      <c r="H38" s="7"/>
      <c r="I38" s="7">
        <v>0.38</v>
      </c>
      <c r="J38" s="6">
        <f t="shared" si="24"/>
        <v>2479.38</v>
      </c>
      <c r="K38" s="7">
        <f t="shared" si="25"/>
        <v>0.19334672377771867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tr">
        <f t="shared" si="22"/>
        <v>Yealink</v>
      </c>
      <c r="B39" s="4" t="str">
        <f>"YEA-VC500-Wireless-Micpod-WP"</f>
        <v>YEA-VC500-Wireless-Micpod-WP</v>
      </c>
      <c r="C39" s="4" t="str">
        <f>"VC500 Vid Conf Endpoint(Wless/Micpod/WP)"</f>
        <v>VC500 Vid Conf Endpoint(Wless/Micpod/WP)</v>
      </c>
      <c r="D39" s="5" t="s">
        <v>13</v>
      </c>
      <c r="E39" s="6">
        <v>3999</v>
      </c>
      <c r="F39" s="6">
        <v>2000</v>
      </c>
      <c r="G39" s="7">
        <f t="shared" si="23"/>
        <v>0.49987496874218551</v>
      </c>
      <c r="H39" s="7"/>
      <c r="I39" s="7">
        <v>0.38</v>
      </c>
      <c r="J39" s="6">
        <f t="shared" si="24"/>
        <v>2479.38</v>
      </c>
      <c r="K39" s="7">
        <f t="shared" si="25"/>
        <v>0.19334672377771867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tr">
        <f t="shared" si="22"/>
        <v>Yealink</v>
      </c>
      <c r="B40" s="4" t="str">
        <f>"YEA-VC800-ExcludeMic"</f>
        <v>YEA-VC800-ExcludeMic</v>
      </c>
      <c r="C40" s="4" t="str">
        <f>"VC800 Vid Conf Endpoint (Excluding Mics)"</f>
        <v>VC800 Vid Conf Endpoint (Excluding Mics)</v>
      </c>
      <c r="D40" s="5" t="s">
        <v>13</v>
      </c>
      <c r="E40" s="6">
        <v>6999</v>
      </c>
      <c r="F40" s="6">
        <v>3231</v>
      </c>
      <c r="G40" s="7">
        <f t="shared" si="23"/>
        <v>0.53836262323189032</v>
      </c>
      <c r="H40" s="7"/>
      <c r="I40" s="7">
        <v>0.45</v>
      </c>
      <c r="J40" s="6">
        <f t="shared" si="24"/>
        <v>3849.4500000000003</v>
      </c>
      <c r="K40" s="7">
        <f t="shared" si="25"/>
        <v>0.16065931496707331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tr">
        <f t="shared" si="22"/>
        <v>Yealink</v>
      </c>
      <c r="B41" s="4" t="str">
        <f>"YEA-VC800-Phone-Wireless"</f>
        <v>YEA-VC800-Phone-Wireless</v>
      </c>
      <c r="C41" s="4" t="str">
        <f>"VC800 Vid Conf Endpoint (Phone/Wireless)"</f>
        <v>VC800 Vid Conf Endpoint (Phone/Wireless)</v>
      </c>
      <c r="D41" s="5" t="s">
        <v>13</v>
      </c>
      <c r="E41" s="6">
        <v>7999</v>
      </c>
      <c r="F41" s="6">
        <v>3692</v>
      </c>
      <c r="G41" s="7">
        <f t="shared" si="23"/>
        <v>0.53844230528816106</v>
      </c>
      <c r="H41" s="7"/>
      <c r="I41" s="7">
        <v>0.45</v>
      </c>
      <c r="J41" s="6">
        <f t="shared" si="24"/>
        <v>4399.4500000000007</v>
      </c>
      <c r="K41" s="7">
        <f t="shared" si="25"/>
        <v>0.16080419143302016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tr">
        <f t="shared" si="22"/>
        <v>Yealink</v>
      </c>
      <c r="B42" s="4" t="str">
        <f>"YEA-VC800-Phone-WP"</f>
        <v>YEA-VC800-Phone-WP</v>
      </c>
      <c r="C42" s="4" t="str">
        <f>"VC800 Vid Conf Endpoint (Phone/WP)"</f>
        <v>VC800 Vid Conf Endpoint (Phone/WP)</v>
      </c>
      <c r="D42" s="5" t="s">
        <v>13</v>
      </c>
      <c r="E42" s="6">
        <v>7999</v>
      </c>
      <c r="F42" s="6">
        <v>3692</v>
      </c>
      <c r="G42" s="7">
        <f t="shared" si="23"/>
        <v>0.53844230528816106</v>
      </c>
      <c r="H42" s="7"/>
      <c r="I42" s="7">
        <v>0.45</v>
      </c>
      <c r="J42" s="6">
        <f t="shared" si="24"/>
        <v>4399.4500000000007</v>
      </c>
      <c r="K42" s="7">
        <f t="shared" si="25"/>
        <v>0.16080419143302016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8" t="str">
        <f t="shared" si="22"/>
        <v>Yealink</v>
      </c>
      <c r="B43" s="8" t="str">
        <f>"YEA-VC880"</f>
        <v>YEA-VC880</v>
      </c>
      <c r="C43" s="8" t="str">
        <f>"VC880 Vid Conf Endpoint"</f>
        <v>VC880 Vid Conf Endpoint</v>
      </c>
      <c r="D43" s="9" t="s">
        <v>13</v>
      </c>
      <c r="E43" s="10">
        <v>3999</v>
      </c>
      <c r="F43" s="10">
        <v>2000</v>
      </c>
      <c r="G43" s="11">
        <f t="shared" si="23"/>
        <v>0.49987496874218551</v>
      </c>
      <c r="H43" s="11"/>
      <c r="I43" s="11">
        <v>0.38</v>
      </c>
      <c r="J43" s="10">
        <f t="shared" si="24"/>
        <v>2479.38</v>
      </c>
      <c r="K43" s="11">
        <f t="shared" si="25"/>
        <v>0.19334672377771867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tr">
        <f t="shared" ref="A44:A51" si="26">"Yealink"</f>
        <v>Yealink</v>
      </c>
      <c r="B44" s="4" t="str">
        <f>"YEA-SFB-CP960"</f>
        <v>YEA-SFB-CP960</v>
      </c>
      <c r="C44" s="4" t="str">
        <f>"SKYPE ONLY! CP960 Conference Phone"</f>
        <v>SKYPE ONLY! CP960 Conference Phone</v>
      </c>
      <c r="D44" s="5" t="s">
        <v>13</v>
      </c>
      <c r="E44" s="6">
        <v>899</v>
      </c>
      <c r="F44" s="6">
        <v>415</v>
      </c>
      <c r="G44" s="7">
        <f t="shared" ref="G44:G51" si="27">1-(F44/E44)</f>
        <v>0.53837597330367082</v>
      </c>
      <c r="H44" s="7"/>
      <c r="I44" s="7">
        <v>0.45</v>
      </c>
      <c r="J44" s="6">
        <f t="shared" ref="J44:J51" si="28">E44*(1-I44)</f>
        <v>494.45000000000005</v>
      </c>
      <c r="K44" s="7">
        <f t="shared" ref="K44:K51" si="29">1-(F44/J44)</f>
        <v>0.16068358782485592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tr">
        <f t="shared" si="26"/>
        <v>Yealink</v>
      </c>
      <c r="B45" s="4" t="str">
        <f>"YEA-SFB-T41S"</f>
        <v>YEA-SFB-T41S</v>
      </c>
      <c r="C45" s="4" t="str">
        <f>"SKYPE ONLY! Skype for Business T41S"</f>
        <v>SKYPE ONLY! Skype for Business T41S</v>
      </c>
      <c r="D45" s="5" t="s">
        <v>13</v>
      </c>
      <c r="E45" s="6">
        <v>139</v>
      </c>
      <c r="F45" s="6">
        <v>72</v>
      </c>
      <c r="G45" s="7">
        <f t="shared" si="27"/>
        <v>0.48201438848920863</v>
      </c>
      <c r="H45" s="7"/>
      <c r="I45" s="7">
        <v>0.38</v>
      </c>
      <c r="J45" s="6">
        <f t="shared" si="28"/>
        <v>86.179999999999993</v>
      </c>
      <c r="K45" s="7">
        <f t="shared" si="29"/>
        <v>0.16453933627291706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tr">
        <f t="shared" si="26"/>
        <v>Yealink</v>
      </c>
      <c r="B46" s="4" t="str">
        <f>"YEA-SFB-T42G"</f>
        <v>YEA-SFB-T42G</v>
      </c>
      <c r="C46" s="4" t="str">
        <f>"SKYPE ONLY! Skype for Business T42G"</f>
        <v>SKYPE ONLY! Skype for Business T42G</v>
      </c>
      <c r="D46" s="5" t="s">
        <v>13</v>
      </c>
      <c r="E46" s="6">
        <v>179</v>
      </c>
      <c r="F46" s="6">
        <v>85</v>
      </c>
      <c r="G46" s="7">
        <f t="shared" si="27"/>
        <v>0.52513966480446927</v>
      </c>
      <c r="H46" s="7"/>
      <c r="I46" s="7">
        <v>0.42</v>
      </c>
      <c r="J46" s="6">
        <f t="shared" si="28"/>
        <v>103.82000000000001</v>
      </c>
      <c r="K46" s="7">
        <f t="shared" si="29"/>
        <v>0.18127528414563676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tr">
        <f t="shared" si="26"/>
        <v>Yealink</v>
      </c>
      <c r="B47" s="4" t="str">
        <f>"YEA-SFB-T42S"</f>
        <v>YEA-SFB-T42S</v>
      </c>
      <c r="C47" s="4" t="str">
        <f>"SKYPE ONLY! Skype for Business T42S"</f>
        <v>SKYPE ONLY! Skype for Business T42S</v>
      </c>
      <c r="D47" s="5" t="s">
        <v>13</v>
      </c>
      <c r="E47" s="6">
        <v>179</v>
      </c>
      <c r="F47" s="6">
        <v>85</v>
      </c>
      <c r="G47" s="7">
        <f t="shared" si="27"/>
        <v>0.52513966480446927</v>
      </c>
      <c r="H47" s="7"/>
      <c r="I47" s="7">
        <v>0.42</v>
      </c>
      <c r="J47" s="6">
        <f t="shared" si="28"/>
        <v>103.82000000000001</v>
      </c>
      <c r="K47" s="7">
        <f t="shared" si="29"/>
        <v>0.18127528414563676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tr">
        <f t="shared" si="26"/>
        <v>Yealink</v>
      </c>
      <c r="B48" s="4" t="str">
        <f>"YEA-SFB-T46S"</f>
        <v>YEA-SFB-T46S</v>
      </c>
      <c r="C48" s="4" t="str">
        <f>"SKYPE ONLY! Skype For Business SIP-T46S"</f>
        <v>SKYPE ONLY! Skype For Business SIP-T46S</v>
      </c>
      <c r="D48" s="5" t="s">
        <v>13</v>
      </c>
      <c r="E48" s="6">
        <v>269</v>
      </c>
      <c r="F48" s="6">
        <v>130</v>
      </c>
      <c r="G48" s="7">
        <f t="shared" si="27"/>
        <v>0.51672862453531598</v>
      </c>
      <c r="H48" s="7"/>
      <c r="I48" s="7">
        <v>0.42</v>
      </c>
      <c r="J48" s="6">
        <f t="shared" si="28"/>
        <v>156.02000000000001</v>
      </c>
      <c r="K48" s="7">
        <f t="shared" si="29"/>
        <v>0.16677349057813107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tr">
        <f t="shared" si="26"/>
        <v>Yealink</v>
      </c>
      <c r="B49" s="4" t="str">
        <f>"YEA-SFB-T48S"</f>
        <v>YEA-SFB-T48S</v>
      </c>
      <c r="C49" s="4" t="str">
        <f>"SKYPE ONLY! Skype For Business SIP-T48S"</f>
        <v>SKYPE ONLY! Skype For Business SIP-T48S</v>
      </c>
      <c r="D49" s="5" t="s">
        <v>13</v>
      </c>
      <c r="E49" s="6">
        <v>349</v>
      </c>
      <c r="F49" s="6">
        <v>175</v>
      </c>
      <c r="G49" s="7">
        <f t="shared" si="27"/>
        <v>0.49856733524355301</v>
      </c>
      <c r="H49" s="7"/>
      <c r="I49" s="7">
        <v>0.38</v>
      </c>
      <c r="J49" s="6">
        <f t="shared" si="28"/>
        <v>216.38</v>
      </c>
      <c r="K49" s="7">
        <f t="shared" si="29"/>
        <v>0.19123763748960165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tr">
        <f t="shared" si="26"/>
        <v>Yealink</v>
      </c>
      <c r="B50" s="4" t="str">
        <f>"YEA-SFB-T56A"</f>
        <v>YEA-SFB-T56A</v>
      </c>
      <c r="C50" s="4" t="str">
        <f>"Skype T56A Smart Media Android HD Phone"</f>
        <v>Skype T56A Smart Media Android HD Phone</v>
      </c>
      <c r="D50" s="5" t="s">
        <v>13</v>
      </c>
      <c r="E50" s="6">
        <v>459</v>
      </c>
      <c r="F50" s="6">
        <v>212</v>
      </c>
      <c r="G50" s="7">
        <f t="shared" si="27"/>
        <v>0.53812636165577343</v>
      </c>
      <c r="H50" s="7"/>
      <c r="I50" s="7">
        <v>0.45</v>
      </c>
      <c r="J50" s="6">
        <f t="shared" si="28"/>
        <v>252.45000000000002</v>
      </c>
      <c r="K50" s="7">
        <f t="shared" si="29"/>
        <v>0.16022974846504268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8" t="str">
        <f t="shared" si="26"/>
        <v>Yealink</v>
      </c>
      <c r="B51" s="8" t="str">
        <f>"YEA-SFB-T58A"</f>
        <v>YEA-SFB-T58A</v>
      </c>
      <c r="C51" s="8" t="str">
        <f>"Skype T58A Smart Media Android HD Phone"</f>
        <v>Skype T58A Smart Media Android HD Phone</v>
      </c>
      <c r="D51" s="9" t="s">
        <v>13</v>
      </c>
      <c r="E51" s="10">
        <v>489</v>
      </c>
      <c r="F51" s="10">
        <v>220</v>
      </c>
      <c r="G51" s="11">
        <f t="shared" si="27"/>
        <v>0.55010224948875264</v>
      </c>
      <c r="H51" s="11"/>
      <c r="I51" s="11">
        <v>0.45</v>
      </c>
      <c r="J51" s="10">
        <f t="shared" si="28"/>
        <v>268.95000000000005</v>
      </c>
      <c r="K51" s="11">
        <f t="shared" si="29"/>
        <v>0.1820040899795502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tr">
        <f t="shared" ref="A52:A100" si="30">"Yealink"</f>
        <v>Yealink</v>
      </c>
      <c r="B52" s="4" t="str">
        <f>"YEA-EXP50"</f>
        <v>YEA-EXP50</v>
      </c>
      <c r="C52" s="4" t="str">
        <f>"Yealink T5 series Expansion Module"</f>
        <v>Yealink T5 series Expansion Module</v>
      </c>
      <c r="D52" s="5" t="s">
        <v>13</v>
      </c>
      <c r="E52" s="6">
        <v>105</v>
      </c>
      <c r="F52" s="6">
        <v>76</v>
      </c>
      <c r="G52" s="7">
        <f t="shared" ref="G52:G100" si="31">1-(F52/E52)</f>
        <v>0.27619047619047621</v>
      </c>
      <c r="H52" s="7"/>
      <c r="I52" s="7">
        <v>0.12</v>
      </c>
      <c r="J52" s="6">
        <f t="shared" ref="J52:J100" si="32">E52*(1-I52)</f>
        <v>92.4</v>
      </c>
      <c r="K52" s="7">
        <f t="shared" ref="K52:K100" si="33">1-(F52/J52)</f>
        <v>0.17748917748917759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tr">
        <f t="shared" si="30"/>
        <v>Yealink</v>
      </c>
      <c r="B53" s="4" t="str">
        <f>"YEA-EXP40"</f>
        <v>YEA-EXP40</v>
      </c>
      <c r="C53" s="4" t="str">
        <f>"Yealink T4 series Expansion Module"</f>
        <v>Yealink T4 series Expansion Module</v>
      </c>
      <c r="D53" s="5" t="s">
        <v>13</v>
      </c>
      <c r="E53" s="6">
        <v>99</v>
      </c>
      <c r="F53" s="6">
        <v>71</v>
      </c>
      <c r="G53" s="7">
        <f t="shared" si="31"/>
        <v>0.28282828282828287</v>
      </c>
      <c r="H53" s="7"/>
      <c r="I53" s="7">
        <v>0.12</v>
      </c>
      <c r="J53" s="6">
        <f t="shared" si="32"/>
        <v>87.12</v>
      </c>
      <c r="K53" s="7">
        <f t="shared" si="33"/>
        <v>0.18503213957759412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19" t="str">
        <f t="shared" si="30"/>
        <v>Yealink</v>
      </c>
      <c r="B54" s="19" t="str">
        <f>"YEA-EXP20"</f>
        <v>YEA-EXP20</v>
      </c>
      <c r="C54" s="19" t="str">
        <f>"Yealink IP Phone Expansion T2x Series"</f>
        <v>Yealink IP Phone Expansion T2x Series</v>
      </c>
      <c r="D54" s="20" t="s">
        <v>13</v>
      </c>
      <c r="E54" s="22">
        <v>89</v>
      </c>
      <c r="F54" s="22">
        <v>65</v>
      </c>
      <c r="G54" s="23">
        <f t="shared" si="31"/>
        <v>0.2696629213483146</v>
      </c>
      <c r="H54" s="23"/>
      <c r="I54" s="23">
        <v>0.12</v>
      </c>
      <c r="J54" s="22">
        <f t="shared" si="32"/>
        <v>78.320000000000007</v>
      </c>
      <c r="K54" s="23">
        <f t="shared" si="33"/>
        <v>0.17007150153217576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73" t="str">
        <f t="shared" si="30"/>
        <v>Yealink</v>
      </c>
      <c r="B55" s="73" t="str">
        <f>"YEA-CAM50"</f>
        <v>YEA-CAM50</v>
      </c>
      <c r="C55" s="73" t="str">
        <f>"2 Mega-pixel HD Camera for T58V and T58A"</f>
        <v>2 Mega-pixel HD Camera for T58V and T58A</v>
      </c>
      <c r="D55" s="74" t="s">
        <v>13</v>
      </c>
      <c r="E55" s="75">
        <v>110</v>
      </c>
      <c r="F55" s="75">
        <v>68</v>
      </c>
      <c r="G55" s="23">
        <f t="shared" si="31"/>
        <v>0.38181818181818183</v>
      </c>
      <c r="H55" s="23"/>
      <c r="I55" s="23">
        <v>0.25</v>
      </c>
      <c r="J55" s="75">
        <f t="shared" si="32"/>
        <v>82.5</v>
      </c>
      <c r="K55" s="76">
        <f t="shared" si="33"/>
        <v>0.17575757575757578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77" t="str">
        <f t="shared" si="30"/>
        <v>Yealink</v>
      </c>
      <c r="B56" s="77" t="str">
        <f>"YEA-WF50"</f>
        <v>YEA-WF50</v>
      </c>
      <c r="C56" s="77" t="str">
        <f>"Dual Band WiFi USB Dongle"</f>
        <v>Dual Band WiFi USB Dongle</v>
      </c>
      <c r="D56" s="5" t="s">
        <v>13</v>
      </c>
      <c r="E56" s="78">
        <v>29</v>
      </c>
      <c r="F56" s="78">
        <v>24</v>
      </c>
      <c r="G56" s="7">
        <f t="shared" si="31"/>
        <v>0.17241379310344829</v>
      </c>
      <c r="H56" s="7"/>
      <c r="I56" s="7">
        <v>0</v>
      </c>
      <c r="J56" s="6">
        <f t="shared" si="32"/>
        <v>29</v>
      </c>
      <c r="K56" s="7">
        <f t="shared" si="33"/>
        <v>0.17241379310344829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19" t="str">
        <f t="shared" si="30"/>
        <v>Yealink</v>
      </c>
      <c r="B57" s="19" t="str">
        <f>"YEA-WF40"</f>
        <v>YEA-WF40</v>
      </c>
      <c r="C57" s="19" t="str">
        <f>"WiFi USB Dongle"</f>
        <v>WiFi USB Dongle</v>
      </c>
      <c r="D57" s="20" t="s">
        <v>13</v>
      </c>
      <c r="E57" s="22">
        <v>29</v>
      </c>
      <c r="F57" s="22">
        <v>21</v>
      </c>
      <c r="G57" s="23">
        <f t="shared" si="31"/>
        <v>0.27586206896551724</v>
      </c>
      <c r="H57" s="23"/>
      <c r="I57" s="23">
        <v>0.12</v>
      </c>
      <c r="J57" s="22">
        <f t="shared" si="32"/>
        <v>25.52</v>
      </c>
      <c r="K57" s="23">
        <f t="shared" si="33"/>
        <v>0.17711598746081503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tr">
        <f t="shared" si="30"/>
        <v>Yealink</v>
      </c>
      <c r="B58" s="4" t="str">
        <f>"YEA-PS5V2000US"</f>
        <v>YEA-PS5V2000US</v>
      </c>
      <c r="C58" s="4" t="str">
        <f>"Power Supply for Yealink 5-volt 2-amp"</f>
        <v>Power Supply for Yealink 5-volt 2-amp</v>
      </c>
      <c r="D58" s="5" t="s">
        <v>13</v>
      </c>
      <c r="E58" s="6">
        <v>15</v>
      </c>
      <c r="F58" s="6">
        <v>9</v>
      </c>
      <c r="G58" s="7">
        <f t="shared" si="31"/>
        <v>0.4</v>
      </c>
      <c r="H58" s="7"/>
      <c r="I58" s="7">
        <v>0.28000000000000003</v>
      </c>
      <c r="J58" s="6">
        <f t="shared" si="32"/>
        <v>10.799999999999999</v>
      </c>
      <c r="K58" s="7">
        <f t="shared" si="33"/>
        <v>0.16666666666666663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tr">
        <f t="shared" si="30"/>
        <v>Yealink</v>
      </c>
      <c r="B59" s="4" t="str">
        <f>"YEA-PS5V1200US"</f>
        <v>YEA-PS5V1200US</v>
      </c>
      <c r="C59" s="4" t="str">
        <f>"Power Supply for Yealink IP phones; 1.2A"</f>
        <v>Power Supply for Yealink IP phones; 1.2A</v>
      </c>
      <c r="D59" s="5" t="s">
        <v>13</v>
      </c>
      <c r="E59" s="6">
        <v>10</v>
      </c>
      <c r="F59" s="6">
        <v>8.75</v>
      </c>
      <c r="G59" s="7">
        <f t="shared" si="31"/>
        <v>0.125</v>
      </c>
      <c r="H59" s="7"/>
      <c r="I59" s="7">
        <v>0</v>
      </c>
      <c r="J59" s="6">
        <f t="shared" si="32"/>
        <v>10</v>
      </c>
      <c r="K59" s="7">
        <f t="shared" si="33"/>
        <v>0.125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tr">
        <f t="shared" si="30"/>
        <v>Yealink</v>
      </c>
      <c r="B60" s="4" t="str">
        <f>"YEA-PS5V3000US"</f>
        <v>YEA-PS5V3000US</v>
      </c>
      <c r="C60" s="4" t="str">
        <f>"Power supply for VP530 5-volt 3-Amp"</f>
        <v>Power supply for VP530 5-volt 3-Amp</v>
      </c>
      <c r="D60" s="5" t="s">
        <v>13</v>
      </c>
      <c r="E60" s="6">
        <v>20</v>
      </c>
      <c r="F60" s="6">
        <v>12</v>
      </c>
      <c r="G60" s="7">
        <f t="shared" si="31"/>
        <v>0.4</v>
      </c>
      <c r="H60" s="7"/>
      <c r="I60" s="7">
        <v>0.28000000000000003</v>
      </c>
      <c r="J60" s="6">
        <f t="shared" si="32"/>
        <v>14.399999999999999</v>
      </c>
      <c r="K60" s="7">
        <f t="shared" si="33"/>
        <v>0.16666666666666663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19" t="str">
        <f t="shared" si="30"/>
        <v>Yealink</v>
      </c>
      <c r="B61" s="19" t="str">
        <f>"YEA-PS5V600US"</f>
        <v>YEA-PS5V600US</v>
      </c>
      <c r="C61" s="19" t="str">
        <f>"Power supply for Yealink phones"</f>
        <v>Power supply for Yealink phones</v>
      </c>
      <c r="D61" s="20" t="s">
        <v>13</v>
      </c>
      <c r="E61" s="22">
        <v>10</v>
      </c>
      <c r="F61" s="22">
        <v>6</v>
      </c>
      <c r="G61" s="23">
        <f t="shared" si="31"/>
        <v>0.4</v>
      </c>
      <c r="H61" s="23"/>
      <c r="I61" s="23">
        <v>0.28000000000000003</v>
      </c>
      <c r="J61" s="22">
        <f t="shared" si="32"/>
        <v>7.1999999999999993</v>
      </c>
      <c r="K61" s="23">
        <f t="shared" si="33"/>
        <v>0.16666666666666663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tr">
        <f t="shared" si="30"/>
        <v>Yealink</v>
      </c>
      <c r="B62" s="4" t="str">
        <f>"YEA-HNDST-T5X"</f>
        <v>YEA-HNDST-T5X</v>
      </c>
      <c r="C62" s="4" t="str">
        <f>"Handset for T56A/T58A/T58V"</f>
        <v>Handset for T56A/T58A/T58V</v>
      </c>
      <c r="D62" s="5" t="s">
        <v>13</v>
      </c>
      <c r="E62" s="6">
        <v>25</v>
      </c>
      <c r="F62" s="6">
        <v>15</v>
      </c>
      <c r="G62" s="7">
        <f t="shared" si="31"/>
        <v>0.4</v>
      </c>
      <c r="H62" s="7"/>
      <c r="I62" s="7">
        <v>0.28000000000000003</v>
      </c>
      <c r="J62" s="6">
        <f t="shared" si="32"/>
        <v>18</v>
      </c>
      <c r="K62" s="7">
        <f t="shared" si="33"/>
        <v>0.16666666666666663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tr">
        <f t="shared" si="30"/>
        <v>Yealink</v>
      </c>
      <c r="B63" s="4" t="str">
        <f>"YEA-HNDST-T52-T54"</f>
        <v>YEA-HNDST-T52-T54</v>
      </c>
      <c r="C63" s="4" t="str">
        <f>"Handset for T52S/T54S"</f>
        <v>Handset for T52S/T54S</v>
      </c>
      <c r="D63" s="5" t="s">
        <v>13</v>
      </c>
      <c r="E63" s="6">
        <v>25</v>
      </c>
      <c r="F63" s="6">
        <v>15</v>
      </c>
      <c r="G63" s="7">
        <f t="shared" si="31"/>
        <v>0.4</v>
      </c>
      <c r="H63" s="7"/>
      <c r="I63" s="7">
        <v>0.28000000000000003</v>
      </c>
      <c r="J63" s="6">
        <f t="shared" si="32"/>
        <v>18</v>
      </c>
      <c r="K63" s="7">
        <f t="shared" si="33"/>
        <v>0.16666666666666663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tr">
        <f t="shared" si="30"/>
        <v>Yealink</v>
      </c>
      <c r="B64" s="4" t="str">
        <f>"YEA-HNDST-T46"</f>
        <v>YEA-HNDST-T46</v>
      </c>
      <c r="C64" s="4" t="str">
        <f>"Handset for T46/T48/T49 Series"</f>
        <v>Handset for T46/T48/T49 Series</v>
      </c>
      <c r="D64" s="5" t="s">
        <v>13</v>
      </c>
      <c r="E64" s="6">
        <v>25</v>
      </c>
      <c r="F64" s="6">
        <v>15</v>
      </c>
      <c r="G64" s="7">
        <f t="shared" si="31"/>
        <v>0.4</v>
      </c>
      <c r="H64" s="7"/>
      <c r="I64" s="7">
        <v>0.28000000000000003</v>
      </c>
      <c r="J64" s="6">
        <f t="shared" si="32"/>
        <v>18</v>
      </c>
      <c r="K64" s="7">
        <f t="shared" si="33"/>
        <v>0.16666666666666663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tr">
        <f t="shared" si="30"/>
        <v>Yealink</v>
      </c>
      <c r="B65" s="4" t="str">
        <f>"YEA-HNDST-T4S"</f>
        <v>YEA-HNDST-T4S</v>
      </c>
      <c r="C65" s="4" t="str">
        <f>"Yealink Handset for T41P and T42G"</f>
        <v>Yealink Handset for T41P and T42G</v>
      </c>
      <c r="D65" s="5" t="s">
        <v>13</v>
      </c>
      <c r="E65" s="6">
        <v>25</v>
      </c>
      <c r="F65" s="6">
        <v>15</v>
      </c>
      <c r="G65" s="7">
        <f t="shared" si="31"/>
        <v>0.4</v>
      </c>
      <c r="H65" s="7"/>
      <c r="I65" s="7">
        <v>0.28000000000000003</v>
      </c>
      <c r="J65" s="6">
        <f t="shared" si="32"/>
        <v>18</v>
      </c>
      <c r="K65" s="7">
        <f t="shared" si="33"/>
        <v>0.16666666666666663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tr">
        <f t="shared" si="30"/>
        <v>Yealink</v>
      </c>
      <c r="B66" s="4" t="str">
        <f>"YEA-HNDST1"</f>
        <v>YEA-HNDST1</v>
      </c>
      <c r="C66" s="4" t="str">
        <f>"HANDSET FOR T26/T28/T38"</f>
        <v>HANDSET FOR T26/T28/T38</v>
      </c>
      <c r="D66" s="5" t="s">
        <v>13</v>
      </c>
      <c r="E66" s="6">
        <v>25</v>
      </c>
      <c r="F66" s="6">
        <v>15</v>
      </c>
      <c r="G66" s="7">
        <f t="shared" si="31"/>
        <v>0.4</v>
      </c>
      <c r="H66" s="7"/>
      <c r="I66" s="7">
        <v>0.28000000000000003</v>
      </c>
      <c r="J66" s="6">
        <f t="shared" si="32"/>
        <v>18</v>
      </c>
      <c r="K66" s="7">
        <f t="shared" si="33"/>
        <v>0.16666666666666663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tr">
        <f t="shared" si="30"/>
        <v>Yealink</v>
      </c>
      <c r="B67" s="4" t="str">
        <f>"YEA-HNDST5"</f>
        <v>YEA-HNDST5</v>
      </c>
      <c r="C67" s="4" t="str">
        <f>"SIP-T21P Replacement Handset"</f>
        <v>SIP-T21P Replacement Handset</v>
      </c>
      <c r="D67" s="5" t="s">
        <v>13</v>
      </c>
      <c r="E67" s="6">
        <v>25</v>
      </c>
      <c r="F67" s="6">
        <v>15</v>
      </c>
      <c r="G67" s="7">
        <f t="shared" si="31"/>
        <v>0.4</v>
      </c>
      <c r="H67" s="7"/>
      <c r="I67" s="7">
        <v>0.28000000000000003</v>
      </c>
      <c r="J67" s="6">
        <f t="shared" si="32"/>
        <v>18</v>
      </c>
      <c r="K67" s="7">
        <f t="shared" si="33"/>
        <v>0.16666666666666663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tr">
        <f t="shared" si="30"/>
        <v>Yealink</v>
      </c>
      <c r="B68" s="4" t="str">
        <f>"YEA-HNDST6"</f>
        <v>YEA-HNDST6</v>
      </c>
      <c r="C68" s="4" t="str">
        <f>"Handset for T27P and T29G"</f>
        <v>Handset for T27P and T29G</v>
      </c>
      <c r="D68" s="5" t="s">
        <v>13</v>
      </c>
      <c r="E68" s="6">
        <v>25</v>
      </c>
      <c r="F68" s="6">
        <v>15</v>
      </c>
      <c r="G68" s="7">
        <f t="shared" si="31"/>
        <v>0.4</v>
      </c>
      <c r="H68" s="7"/>
      <c r="I68" s="7">
        <v>0.28000000000000003</v>
      </c>
      <c r="J68" s="6">
        <f t="shared" si="32"/>
        <v>18</v>
      </c>
      <c r="K68" s="7">
        <f t="shared" si="33"/>
        <v>0.16666666666666663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19" t="str">
        <f t="shared" si="30"/>
        <v>Yealink</v>
      </c>
      <c r="B69" s="19" t="str">
        <f>"YEA-HNDST7"</f>
        <v>YEA-HNDST7</v>
      </c>
      <c r="C69" s="19" t="str">
        <f>"Handset for T23G"</f>
        <v>Handset for T23G</v>
      </c>
      <c r="D69" s="20" t="s">
        <v>13</v>
      </c>
      <c r="E69" s="22">
        <v>25</v>
      </c>
      <c r="F69" s="22">
        <v>15</v>
      </c>
      <c r="G69" s="23">
        <f t="shared" si="31"/>
        <v>0.4</v>
      </c>
      <c r="H69" s="23"/>
      <c r="I69" s="23">
        <v>0.28000000000000003</v>
      </c>
      <c r="J69" s="22">
        <f t="shared" si="32"/>
        <v>18</v>
      </c>
      <c r="K69" s="23">
        <f t="shared" si="33"/>
        <v>0.16666666666666663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tr">
        <f t="shared" si="30"/>
        <v>Yealink</v>
      </c>
      <c r="B70" s="4" t="str">
        <f>"YEA-WMB-T2S"</f>
        <v>YEA-WMB-T2S</v>
      </c>
      <c r="C70" s="4" t="str">
        <f>"Wall Mount Bracket for T27G; T29G"</f>
        <v>Wall Mount Bracket for T27G; T29G</v>
      </c>
      <c r="D70" s="5" t="s">
        <v>13</v>
      </c>
      <c r="E70" s="6">
        <v>10</v>
      </c>
      <c r="F70" s="6">
        <v>5.5</v>
      </c>
      <c r="G70" s="7">
        <f t="shared" si="31"/>
        <v>0.44999999999999996</v>
      </c>
      <c r="H70" s="7"/>
      <c r="I70" s="7">
        <v>0.32</v>
      </c>
      <c r="J70" s="6">
        <f t="shared" si="32"/>
        <v>6.7999999999999989</v>
      </c>
      <c r="K70" s="7">
        <f t="shared" si="33"/>
        <v>0.19117647058823517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tr">
        <f t="shared" si="30"/>
        <v>Yealink</v>
      </c>
      <c r="B71" s="4" t="str">
        <f>"YEA-WMB-T46"</f>
        <v>YEA-WMB-T46</v>
      </c>
      <c r="C71" s="4" t="str">
        <f>"Wall Mount Bracket for T46 series"</f>
        <v>Wall Mount Bracket for T46 series</v>
      </c>
      <c r="D71" s="5" t="s">
        <v>13</v>
      </c>
      <c r="E71" s="6">
        <v>10</v>
      </c>
      <c r="F71" s="6">
        <v>5.5</v>
      </c>
      <c r="G71" s="7">
        <f t="shared" si="31"/>
        <v>0.44999999999999996</v>
      </c>
      <c r="H71" s="7"/>
      <c r="I71" s="7">
        <v>0.32</v>
      </c>
      <c r="J71" s="6">
        <f t="shared" si="32"/>
        <v>6.7999999999999989</v>
      </c>
      <c r="K71" s="7">
        <f t="shared" si="33"/>
        <v>0.19117647058823517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tr">
        <f t="shared" si="30"/>
        <v>Yealink</v>
      </c>
      <c r="B72" s="4" t="str">
        <f>"YEA-WMB-T48"</f>
        <v>YEA-WMB-T48</v>
      </c>
      <c r="C72" s="4" t="str">
        <f>"Wall Mount Bracket for T48 series"</f>
        <v>Wall Mount Bracket for T48 series</v>
      </c>
      <c r="D72" s="5" t="s">
        <v>13</v>
      </c>
      <c r="E72" s="6">
        <v>10</v>
      </c>
      <c r="F72" s="6">
        <v>5.5</v>
      </c>
      <c r="G72" s="7">
        <f t="shared" si="31"/>
        <v>0.44999999999999996</v>
      </c>
      <c r="H72" s="7"/>
      <c r="I72" s="7">
        <v>0.32</v>
      </c>
      <c r="J72" s="6">
        <f t="shared" si="32"/>
        <v>6.7999999999999989</v>
      </c>
      <c r="K72" s="7">
        <f t="shared" si="33"/>
        <v>0.19117647058823517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tr">
        <f t="shared" si="30"/>
        <v>Yealink</v>
      </c>
      <c r="B73" s="4" t="str">
        <f>"YEA-WMB-T4S"</f>
        <v>YEA-WMB-T4S</v>
      </c>
      <c r="C73" s="4" t="str">
        <f>"Wall Mount Bracket for T40P/T41P/T42G"</f>
        <v>Wall Mount Bracket for T40P/T41P/T42G</v>
      </c>
      <c r="D73" s="5" t="s">
        <v>13</v>
      </c>
      <c r="E73" s="6">
        <v>10</v>
      </c>
      <c r="F73" s="6">
        <v>5.5</v>
      </c>
      <c r="G73" s="7">
        <f t="shared" si="31"/>
        <v>0.44999999999999996</v>
      </c>
      <c r="H73" s="7"/>
      <c r="I73" s="7">
        <v>0.32</v>
      </c>
      <c r="J73" s="6">
        <f t="shared" si="32"/>
        <v>6.7999999999999989</v>
      </c>
      <c r="K73" s="7">
        <f t="shared" si="33"/>
        <v>0.19117647058823517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tr">
        <f t="shared" si="30"/>
        <v>Yealink</v>
      </c>
      <c r="B74" s="4" t="str">
        <f>"YEA-WMB-EXP40"</f>
        <v>YEA-WMB-EXP40</v>
      </c>
      <c r="C74" s="4" t="str">
        <f>"Wall Mount Bracket for EXP40"</f>
        <v>Wall Mount Bracket for EXP40</v>
      </c>
      <c r="D74" s="5" t="s">
        <v>13</v>
      </c>
      <c r="E74" s="6">
        <v>10</v>
      </c>
      <c r="F74" s="6">
        <v>5.5</v>
      </c>
      <c r="G74" s="7">
        <f t="shared" si="31"/>
        <v>0.44999999999999996</v>
      </c>
      <c r="H74" s="7"/>
      <c r="I74" s="7">
        <v>0.32</v>
      </c>
      <c r="J74" s="6">
        <f t="shared" si="32"/>
        <v>6.7999999999999989</v>
      </c>
      <c r="K74" s="7">
        <f t="shared" si="33"/>
        <v>0.19117647058823517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19" t="str">
        <f t="shared" si="30"/>
        <v>Yealink</v>
      </c>
      <c r="B75" s="19" t="str">
        <f>"YEA-WMB-T5X"</f>
        <v>YEA-WMB-T5X</v>
      </c>
      <c r="C75" s="19" t="str">
        <f>"Yealink Wall Bracket for all T5X phones"</f>
        <v>Yealink Wall Bracket for all T5X phones</v>
      </c>
      <c r="D75" s="20" t="s">
        <v>13</v>
      </c>
      <c r="E75" s="22">
        <v>10</v>
      </c>
      <c r="F75" s="22">
        <v>5.5</v>
      </c>
      <c r="G75" s="23">
        <f t="shared" si="31"/>
        <v>0.44999999999999996</v>
      </c>
      <c r="H75" s="23"/>
      <c r="I75" s="23">
        <v>0.32</v>
      </c>
      <c r="J75" s="22">
        <f t="shared" si="32"/>
        <v>6.7999999999999989</v>
      </c>
      <c r="K75" s="23">
        <f t="shared" si="33"/>
        <v>0.19117647058823517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tr">
        <f t="shared" si="30"/>
        <v>Yealink</v>
      </c>
      <c r="B76" s="4" t="str">
        <f>"YEA-STAND-T58"</f>
        <v>YEA-STAND-T58</v>
      </c>
      <c r="C76" s="4" t="str">
        <f>"Yealink Stand for T58 models"</f>
        <v>Yealink Stand for T58 models</v>
      </c>
      <c r="D76" s="5" t="s">
        <v>13</v>
      </c>
      <c r="E76" s="6">
        <v>10</v>
      </c>
      <c r="F76" s="6">
        <v>5</v>
      </c>
      <c r="G76" s="7">
        <f t="shared" si="31"/>
        <v>0.5</v>
      </c>
      <c r="H76" s="7"/>
      <c r="I76" s="7">
        <v>0.38</v>
      </c>
      <c r="J76" s="6">
        <f t="shared" si="32"/>
        <v>6.2</v>
      </c>
      <c r="K76" s="7">
        <f t="shared" si="33"/>
        <v>0.19354838709677424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tr">
        <f t="shared" si="30"/>
        <v>Yealink</v>
      </c>
      <c r="B77" s="4" t="str">
        <f>"YEA-STAND-T56"</f>
        <v>YEA-STAND-T56</v>
      </c>
      <c r="C77" s="4" t="str">
        <f>"Yealink Stand for T56 models"</f>
        <v>Yealink Stand for T56 models</v>
      </c>
      <c r="D77" s="5" t="s">
        <v>13</v>
      </c>
      <c r="E77" s="6">
        <v>10</v>
      </c>
      <c r="F77" s="6">
        <v>5</v>
      </c>
      <c r="G77" s="7">
        <f t="shared" si="31"/>
        <v>0.5</v>
      </c>
      <c r="H77" s="7"/>
      <c r="I77" s="7">
        <v>0.38</v>
      </c>
      <c r="J77" s="6">
        <f t="shared" si="32"/>
        <v>6.2</v>
      </c>
      <c r="K77" s="7">
        <f t="shared" si="33"/>
        <v>0.19354838709677424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tr">
        <f t="shared" si="30"/>
        <v>Yealink</v>
      </c>
      <c r="B78" s="4" t="str">
        <f>"YEA-STAND-T54"</f>
        <v>YEA-STAND-T54</v>
      </c>
      <c r="C78" s="4" t="str">
        <f>"Yealink Stand for T54 phone"</f>
        <v>Yealink Stand for T54 phone</v>
      </c>
      <c r="D78" s="5" t="s">
        <v>13</v>
      </c>
      <c r="E78" s="6">
        <v>10</v>
      </c>
      <c r="F78" s="6">
        <v>5</v>
      </c>
      <c r="G78" s="7">
        <f t="shared" si="31"/>
        <v>0.5</v>
      </c>
      <c r="H78" s="7"/>
      <c r="I78" s="7">
        <v>0.38</v>
      </c>
      <c r="J78" s="6">
        <f t="shared" si="32"/>
        <v>6.2</v>
      </c>
      <c r="K78" s="7">
        <f t="shared" si="33"/>
        <v>0.19354838709677424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tr">
        <f t="shared" si="30"/>
        <v>Yealink</v>
      </c>
      <c r="B79" s="4" t="str">
        <f>"YEA-STAND-T52"</f>
        <v>YEA-STAND-T52</v>
      </c>
      <c r="C79" s="4" t="str">
        <f>"Yealink Stand for T52 phone"</f>
        <v>Yealink Stand for T52 phone</v>
      </c>
      <c r="D79" s="5" t="s">
        <v>13</v>
      </c>
      <c r="E79" s="6">
        <v>10</v>
      </c>
      <c r="F79" s="6">
        <v>5</v>
      </c>
      <c r="G79" s="7">
        <f t="shared" si="31"/>
        <v>0.5</v>
      </c>
      <c r="H79" s="7"/>
      <c r="I79" s="7">
        <v>0.38</v>
      </c>
      <c r="J79" s="6">
        <f t="shared" si="32"/>
        <v>6.2</v>
      </c>
      <c r="K79" s="7">
        <f t="shared" si="33"/>
        <v>0.19354838709677424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tr">
        <f t="shared" si="30"/>
        <v>Yealink</v>
      </c>
      <c r="B80" s="4" t="str">
        <f>"YEA-STAND-T48"</f>
        <v>YEA-STAND-T48</v>
      </c>
      <c r="C80" s="4" t="str">
        <f>"Yealink Stand for T48G Phone"</f>
        <v>Yealink Stand for T48G Phone</v>
      </c>
      <c r="D80" s="5" t="s">
        <v>13</v>
      </c>
      <c r="E80" s="6">
        <v>10</v>
      </c>
      <c r="F80" s="6">
        <v>5</v>
      </c>
      <c r="G80" s="7">
        <f t="shared" si="31"/>
        <v>0.5</v>
      </c>
      <c r="H80" s="7"/>
      <c r="I80" s="7">
        <v>0.38</v>
      </c>
      <c r="J80" s="6">
        <f t="shared" si="32"/>
        <v>6.2</v>
      </c>
      <c r="K80" s="7">
        <f t="shared" si="33"/>
        <v>0.19354838709677424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tr">
        <f t="shared" si="30"/>
        <v>Yealink</v>
      </c>
      <c r="B81" s="4" t="str">
        <f>"YEA-STAND-T46"</f>
        <v>YEA-STAND-T46</v>
      </c>
      <c r="C81" s="4" t="str">
        <f>"Yealink Stand for T46G phone"</f>
        <v>Yealink Stand for T46G phone</v>
      </c>
      <c r="D81" s="5" t="s">
        <v>13</v>
      </c>
      <c r="E81" s="6">
        <v>10</v>
      </c>
      <c r="F81" s="6">
        <v>5</v>
      </c>
      <c r="G81" s="7">
        <f t="shared" si="31"/>
        <v>0.5</v>
      </c>
      <c r="H81" s="7"/>
      <c r="I81" s="7">
        <v>0.38</v>
      </c>
      <c r="J81" s="6">
        <f t="shared" si="32"/>
        <v>6.2</v>
      </c>
      <c r="K81" s="7">
        <f t="shared" si="33"/>
        <v>0.19354838709677424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tr">
        <f t="shared" si="30"/>
        <v>Yealink</v>
      </c>
      <c r="B82" s="4" t="str">
        <f>"YEA-STAND-T4S"</f>
        <v>YEA-STAND-T4S</v>
      </c>
      <c r="C82" s="4" t="str">
        <f>"Yealink Stand for T41P/T42G"</f>
        <v>Yealink Stand for T41P/T42G</v>
      </c>
      <c r="D82" s="5" t="s">
        <v>13</v>
      </c>
      <c r="E82" s="6">
        <v>10</v>
      </c>
      <c r="F82" s="6">
        <v>5</v>
      </c>
      <c r="G82" s="7">
        <f t="shared" si="31"/>
        <v>0.5</v>
      </c>
      <c r="H82" s="7"/>
      <c r="I82" s="7">
        <v>0.38</v>
      </c>
      <c r="J82" s="6">
        <f t="shared" si="32"/>
        <v>6.2</v>
      </c>
      <c r="K82" s="7">
        <f t="shared" si="33"/>
        <v>0.19354838709677424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19" t="str">
        <f t="shared" si="30"/>
        <v>Yealink</v>
      </c>
      <c r="B83" s="19" t="str">
        <f>"YEA-STAND-T27-T29"</f>
        <v>YEA-STAND-T27-T29</v>
      </c>
      <c r="C83" s="19" t="str">
        <f>"Yealink Stand for T27 and T29 models"</f>
        <v>Yealink Stand for T27 and T29 models</v>
      </c>
      <c r="D83" s="20" t="s">
        <v>13</v>
      </c>
      <c r="E83" s="22">
        <v>10</v>
      </c>
      <c r="F83" s="22">
        <v>5</v>
      </c>
      <c r="G83" s="23">
        <f t="shared" si="31"/>
        <v>0.5</v>
      </c>
      <c r="H83" s="23"/>
      <c r="I83" s="23">
        <v>0.38</v>
      </c>
      <c r="J83" s="22">
        <f t="shared" si="32"/>
        <v>6.2</v>
      </c>
      <c r="K83" s="23">
        <f t="shared" si="33"/>
        <v>0.19354838709677424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tr">
        <f t="shared" si="30"/>
        <v>Yealink</v>
      </c>
      <c r="B84" s="4" t="str">
        <f>"YEA-EHS36"</f>
        <v>YEA-EHS36</v>
      </c>
      <c r="C84" s="4" t="str">
        <f>"YealinkIP phone wireless headset adapter"</f>
        <v>YealinkIP phone wireless headset adapter</v>
      </c>
      <c r="D84" s="5" t="s">
        <v>13</v>
      </c>
      <c r="E84" s="6">
        <v>45</v>
      </c>
      <c r="F84" s="6">
        <v>25</v>
      </c>
      <c r="G84" s="7">
        <f t="shared" si="31"/>
        <v>0.44444444444444442</v>
      </c>
      <c r="H84" s="7"/>
      <c r="I84" s="7">
        <v>0.32</v>
      </c>
      <c r="J84" s="6">
        <f t="shared" si="32"/>
        <v>30.599999999999998</v>
      </c>
      <c r="K84" s="7">
        <f t="shared" si="33"/>
        <v>0.18300653594771232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tr">
        <f t="shared" si="30"/>
        <v>Yealink</v>
      </c>
      <c r="B85" s="4" t="str">
        <f>"YEA-BT40"</f>
        <v>YEA-BT40</v>
      </c>
      <c r="C85" s="4" t="str">
        <f>"Bluetooth USB Dongle for Yealink"</f>
        <v>Bluetooth USB Dongle for Yealink</v>
      </c>
      <c r="D85" s="5" t="s">
        <v>13</v>
      </c>
      <c r="E85" s="6">
        <v>29</v>
      </c>
      <c r="F85" s="6">
        <v>21</v>
      </c>
      <c r="G85" s="7">
        <f t="shared" si="31"/>
        <v>0.27586206896551724</v>
      </c>
      <c r="H85" s="7"/>
      <c r="I85" s="7">
        <v>0.12</v>
      </c>
      <c r="J85" s="6">
        <f t="shared" si="32"/>
        <v>25.52</v>
      </c>
      <c r="K85" s="7">
        <f t="shared" si="33"/>
        <v>0.17711598746081503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tr">
        <f t="shared" si="30"/>
        <v>Yealink</v>
      </c>
      <c r="B86" s="4" t="str">
        <f>"YEA-YHS33"</f>
        <v>YEA-YHS33</v>
      </c>
      <c r="C86" s="4" t="str">
        <f>"Wideband Headset for Yealink IP Phones"</f>
        <v>Wideband Headset for Yealink IP Phones</v>
      </c>
      <c r="D86" s="5" t="s">
        <v>13</v>
      </c>
      <c r="E86" s="6">
        <v>39</v>
      </c>
      <c r="F86" s="6">
        <v>21</v>
      </c>
      <c r="G86" s="7">
        <f t="shared" si="31"/>
        <v>0.46153846153846156</v>
      </c>
      <c r="H86" s="7"/>
      <c r="I86" s="7">
        <v>0.35</v>
      </c>
      <c r="J86" s="6">
        <f t="shared" si="32"/>
        <v>25.35</v>
      </c>
      <c r="K86" s="7">
        <f t="shared" si="33"/>
        <v>0.17159763313609477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19" t="str">
        <f t="shared" si="30"/>
        <v>Yealink</v>
      </c>
      <c r="B87" s="19" t="str">
        <f>"YEA-YHS33-USB"</f>
        <v>YEA-YHS33-USB</v>
      </c>
      <c r="C87" s="19" t="str">
        <f>"Wideband USB Headset for IP Phones"</f>
        <v>Wideband USB Headset for IP Phones</v>
      </c>
      <c r="D87" s="20" t="s">
        <v>13</v>
      </c>
      <c r="E87" s="22">
        <v>59</v>
      </c>
      <c r="F87" s="22">
        <v>31</v>
      </c>
      <c r="G87" s="23">
        <f t="shared" si="31"/>
        <v>0.47457627118644063</v>
      </c>
      <c r="H87" s="23"/>
      <c r="I87" s="23">
        <v>0.35</v>
      </c>
      <c r="J87" s="22">
        <f t="shared" si="32"/>
        <v>38.35</v>
      </c>
      <c r="K87" s="23">
        <f t="shared" si="33"/>
        <v>0.1916558018252934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tr">
        <f t="shared" si="30"/>
        <v>Yealink</v>
      </c>
      <c r="B88" s="4" t="str">
        <f>"YEA-CPW90"</f>
        <v>YEA-CPW90</v>
      </c>
      <c r="C88" s="4" t="str">
        <f>"Two wireless microphones for CP960"</f>
        <v>Two wireless microphones for CP960</v>
      </c>
      <c r="D88" s="5" t="s">
        <v>13</v>
      </c>
      <c r="E88" s="6">
        <v>200</v>
      </c>
      <c r="F88" s="6">
        <v>128</v>
      </c>
      <c r="G88" s="7">
        <f t="shared" si="31"/>
        <v>0.36</v>
      </c>
      <c r="H88" s="7"/>
      <c r="I88" s="7">
        <v>0.22</v>
      </c>
      <c r="J88" s="6">
        <f t="shared" si="32"/>
        <v>156</v>
      </c>
      <c r="K88" s="7">
        <f t="shared" si="33"/>
        <v>0.17948717948717952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tr">
        <f t="shared" si="30"/>
        <v>Yealink</v>
      </c>
      <c r="B89" s="4" t="str">
        <f>"YEA-CPE90"</f>
        <v>YEA-CPE90</v>
      </c>
      <c r="C89" s="4" t="str">
        <f>"Two wired microphones for CP960"</f>
        <v>Two wired microphones for CP960</v>
      </c>
      <c r="D89" s="5" t="s">
        <v>13</v>
      </c>
      <c r="E89" s="6">
        <v>160</v>
      </c>
      <c r="F89" s="6">
        <v>100</v>
      </c>
      <c r="G89" s="7">
        <f t="shared" si="31"/>
        <v>0.375</v>
      </c>
      <c r="H89" s="7"/>
      <c r="I89" s="7">
        <v>0.25</v>
      </c>
      <c r="J89" s="6">
        <f t="shared" si="32"/>
        <v>120</v>
      </c>
      <c r="K89" s="7">
        <f t="shared" si="33"/>
        <v>0.16666666666666663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tr">
        <f t="shared" si="30"/>
        <v>Yealink</v>
      </c>
      <c r="B90" s="4" t="str">
        <f>"YEA-CPN10"</f>
        <v>YEA-CPN10</v>
      </c>
      <c r="C90" s="4" t="str">
        <f>"PSTN box for Yealink conference phones"</f>
        <v>PSTN box for Yealink conference phones</v>
      </c>
      <c r="D90" s="5" t="s">
        <v>13</v>
      </c>
      <c r="E90" s="6">
        <v>20</v>
      </c>
      <c r="F90" s="6">
        <v>13</v>
      </c>
      <c r="G90" s="7">
        <f t="shared" si="31"/>
        <v>0.35</v>
      </c>
      <c r="H90" s="7"/>
      <c r="I90" s="7">
        <v>0.22</v>
      </c>
      <c r="J90" s="6">
        <f t="shared" si="32"/>
        <v>15.600000000000001</v>
      </c>
      <c r="K90" s="7">
        <f t="shared" si="33"/>
        <v>0.16666666666666674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19" t="str">
        <f t="shared" si="30"/>
        <v>Yealink</v>
      </c>
      <c r="B91" s="19" t="str">
        <f>"YEA-YLPOE30"</f>
        <v>YEA-YLPOE30</v>
      </c>
      <c r="C91" s="19" t="str">
        <f>"PoE Adapter"</f>
        <v>PoE Adapter</v>
      </c>
      <c r="D91" s="20" t="s">
        <v>13</v>
      </c>
      <c r="E91" s="22">
        <v>59</v>
      </c>
      <c r="F91" s="22">
        <v>26</v>
      </c>
      <c r="G91" s="23">
        <f t="shared" si="31"/>
        <v>0.55932203389830515</v>
      </c>
      <c r="H91" s="23"/>
      <c r="I91" s="23">
        <v>0.5</v>
      </c>
      <c r="J91" s="22">
        <f t="shared" si="32"/>
        <v>29.5</v>
      </c>
      <c r="K91" s="23">
        <f t="shared" si="33"/>
        <v>0.11864406779661019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tr">
        <f t="shared" si="30"/>
        <v>Yealink</v>
      </c>
      <c r="B92" s="4" t="str">
        <f>"YEA-W56H"</f>
        <v>YEA-W56H</v>
      </c>
      <c r="C92" s="4" t="str">
        <f>"Yealink IP DECT Add-on Phone W56H"</f>
        <v>Yealink IP DECT Add-on Phone W56H</v>
      </c>
      <c r="D92" s="5" t="s">
        <v>13</v>
      </c>
      <c r="E92" s="6">
        <v>105</v>
      </c>
      <c r="F92" s="6">
        <v>68</v>
      </c>
      <c r="G92" s="7">
        <f t="shared" si="31"/>
        <v>0.35238095238095235</v>
      </c>
      <c r="H92" s="7"/>
      <c r="I92" s="7">
        <v>0.22</v>
      </c>
      <c r="J92" s="6">
        <f t="shared" si="32"/>
        <v>81.900000000000006</v>
      </c>
      <c r="K92" s="7">
        <f t="shared" si="33"/>
        <v>0.16971916971916978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tr">
        <f t="shared" si="30"/>
        <v>Yealink</v>
      </c>
      <c r="B93" s="4" t="str">
        <f>"YEA-W53H"</f>
        <v>YEA-W53H</v>
      </c>
      <c r="C93" s="4" t="str">
        <f>"Yealink IP DECT Add-on Phone W53H"</f>
        <v>Yealink IP DECT Add-on Phone W53H</v>
      </c>
      <c r="D93" s="5" t="s">
        <v>13</v>
      </c>
      <c r="E93" s="6">
        <v>89</v>
      </c>
      <c r="F93" s="6">
        <v>56</v>
      </c>
      <c r="G93" s="7">
        <f t="shared" si="31"/>
        <v>0.3707865168539326</v>
      </c>
      <c r="H93" s="7"/>
      <c r="I93" s="7">
        <v>0.22</v>
      </c>
      <c r="J93" s="6">
        <f t="shared" si="32"/>
        <v>69.42</v>
      </c>
      <c r="K93" s="7">
        <f t="shared" si="33"/>
        <v>0.1933160472486315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79" t="str">
        <f t="shared" si="30"/>
        <v>Yealink</v>
      </c>
      <c r="B94" s="79" t="str">
        <f>"YEA-W52H"</f>
        <v>YEA-W52H</v>
      </c>
      <c r="C94" s="79" t="str">
        <f>"Yealink DECT SIP Additional Handset"</f>
        <v>Yealink DECT SIP Additional Handset</v>
      </c>
      <c r="D94" s="80" t="s">
        <v>13</v>
      </c>
      <c r="E94" s="81">
        <v>80</v>
      </c>
      <c r="F94" s="81">
        <v>55</v>
      </c>
      <c r="G94" s="82">
        <f t="shared" si="31"/>
        <v>0.3125</v>
      </c>
      <c r="H94" s="82"/>
      <c r="I94" s="7">
        <v>0.18</v>
      </c>
      <c r="J94" s="81">
        <f t="shared" si="32"/>
        <v>65.600000000000009</v>
      </c>
      <c r="K94" s="82">
        <f t="shared" si="33"/>
        <v>0.16158536585365868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83" t="str">
        <f t="shared" si="30"/>
        <v>Yealink</v>
      </c>
      <c r="B95" s="83" t="str">
        <f>"YEA-W60B"</f>
        <v>YEA-W60B</v>
      </c>
      <c r="C95" s="83" t="str">
        <f>"DECT IP Base Station"</f>
        <v>DECT IP Base Station</v>
      </c>
      <c r="D95" s="84" t="s">
        <v>13</v>
      </c>
      <c r="E95" s="85">
        <v>90</v>
      </c>
      <c r="F95" s="85">
        <v>56</v>
      </c>
      <c r="G95" s="7">
        <f t="shared" si="31"/>
        <v>0.37777777777777777</v>
      </c>
      <c r="H95" s="7"/>
      <c r="I95" s="7">
        <v>0.25</v>
      </c>
      <c r="J95" s="6">
        <f t="shared" si="32"/>
        <v>67.5</v>
      </c>
      <c r="K95" s="7">
        <f t="shared" si="33"/>
        <v>0.17037037037037039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tr">
        <f t="shared" si="30"/>
        <v>Yealink</v>
      </c>
      <c r="B96" s="4" t="str">
        <f>"YEA-PRC-W53H"</f>
        <v>YEA-PRC-W53H</v>
      </c>
      <c r="C96" s="4" t="str">
        <f>"Rugged Protective Handset Case for W53H"</f>
        <v>Rugged Protective Handset Case for W53H</v>
      </c>
      <c r="D96" s="5" t="s">
        <v>13</v>
      </c>
      <c r="E96" s="6">
        <v>20</v>
      </c>
      <c r="F96" s="6">
        <v>14</v>
      </c>
      <c r="G96" s="7">
        <f t="shared" si="31"/>
        <v>0.30000000000000004</v>
      </c>
      <c r="H96" s="7"/>
      <c r="I96" s="7">
        <v>0.15</v>
      </c>
      <c r="J96" s="6">
        <f t="shared" si="32"/>
        <v>17</v>
      </c>
      <c r="K96" s="7">
        <f t="shared" si="33"/>
        <v>0.17647058823529416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79" t="str">
        <f t="shared" si="30"/>
        <v>Yealink</v>
      </c>
      <c r="B97" s="79" t="str">
        <f>"YEA-W56H-PC"</f>
        <v>YEA-W56H-PC</v>
      </c>
      <c r="C97" s="79" t="str">
        <f>"W56H Protect Case Handset Accessory"</f>
        <v>W56H Protect Case Handset Accessory</v>
      </c>
      <c r="D97" s="80" t="s">
        <v>13</v>
      </c>
      <c r="E97" s="81">
        <v>15</v>
      </c>
      <c r="F97" s="81">
        <v>8.43</v>
      </c>
      <c r="G97" s="7">
        <f t="shared" si="31"/>
        <v>0.43800000000000006</v>
      </c>
      <c r="H97" s="7"/>
      <c r="I97" s="7">
        <v>0.32</v>
      </c>
      <c r="J97" s="6">
        <f t="shared" si="32"/>
        <v>10.199999999999999</v>
      </c>
      <c r="K97" s="7">
        <f t="shared" si="33"/>
        <v>0.17352941176470582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83" t="str">
        <f t="shared" si="30"/>
        <v>Yealink</v>
      </c>
      <c r="B98" s="83" t="str">
        <f>"YEA-DD10K"</f>
        <v>YEA-DD10K</v>
      </c>
      <c r="C98" s="83" t="str">
        <f>"Yealink DECT Dongle DD10K"</f>
        <v>Yealink DECT Dongle DD10K</v>
      </c>
      <c r="D98" s="84" t="s">
        <v>13</v>
      </c>
      <c r="E98" s="85">
        <v>29</v>
      </c>
      <c r="F98" s="85">
        <v>21</v>
      </c>
      <c r="G98" s="86">
        <f t="shared" si="31"/>
        <v>0.27586206896551724</v>
      </c>
      <c r="H98" s="86"/>
      <c r="I98" s="7">
        <v>0.12</v>
      </c>
      <c r="J98" s="85">
        <f t="shared" si="32"/>
        <v>25.52</v>
      </c>
      <c r="K98" s="86">
        <f t="shared" si="33"/>
        <v>0.17711598746081503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tr">
        <f t="shared" si="30"/>
        <v>Yealink</v>
      </c>
      <c r="B99" s="4" t="str">
        <f>"YEA-RT30"</f>
        <v>YEA-RT30</v>
      </c>
      <c r="C99" s="4" t="str">
        <f>"Yealink DECT repeater RT30"</f>
        <v>Yealink DECT repeater RT30</v>
      </c>
      <c r="D99" s="5" t="s">
        <v>13</v>
      </c>
      <c r="E99" s="6">
        <v>175</v>
      </c>
      <c r="F99" s="6">
        <v>100</v>
      </c>
      <c r="G99" s="7">
        <f t="shared" si="31"/>
        <v>0.4285714285714286</v>
      </c>
      <c r="H99" s="7"/>
      <c r="I99" s="7">
        <v>0.3</v>
      </c>
      <c r="J99" s="6">
        <f t="shared" si="32"/>
        <v>122.49999999999999</v>
      </c>
      <c r="K99" s="7">
        <f t="shared" si="33"/>
        <v>0.18367346938775497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tr">
        <f t="shared" si="30"/>
        <v>Yealink</v>
      </c>
      <c r="B100" s="4" t="str">
        <f>"YEA-RT20U"</f>
        <v>YEA-RT20U</v>
      </c>
      <c r="C100" s="4" t="str">
        <f>"DECT Repeater for Yealink HD IP Phones"</f>
        <v>DECT Repeater for Yealink HD IP Phones</v>
      </c>
      <c r="D100" s="5" t="s">
        <v>13</v>
      </c>
      <c r="E100" s="6">
        <v>175</v>
      </c>
      <c r="F100" s="6">
        <v>88</v>
      </c>
      <c r="G100" s="7">
        <f t="shared" si="31"/>
        <v>0.49714285714285711</v>
      </c>
      <c r="H100" s="7"/>
      <c r="I100" s="7">
        <v>0.38</v>
      </c>
      <c r="J100" s="6">
        <f t="shared" si="32"/>
        <v>108.5</v>
      </c>
      <c r="K100" s="7">
        <f t="shared" si="33"/>
        <v>0.18894009216589858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pageMargins left="0" right="0" top="0" bottom="0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8"/>
  <sheetViews>
    <sheetView workbookViewId="0">
      <pane ySplit="1" topLeftCell="A38" activePane="bottomLeft" state="frozen"/>
      <selection pane="bottomLeft" activeCell="I2" sqref="I2:I52"/>
    </sheetView>
  </sheetViews>
  <sheetFormatPr defaultColWidth="14.44140625" defaultRowHeight="15" customHeight="1" x14ac:dyDescent="0.3"/>
  <cols>
    <col min="1" max="1" width="11.88671875" customWidth="1"/>
    <col min="2" max="2" width="19.109375" customWidth="1"/>
    <col min="3" max="3" width="63.88671875" customWidth="1"/>
    <col min="4" max="4" width="5.44140625" customWidth="1"/>
    <col min="5" max="5" width="9.109375" customWidth="1"/>
    <col min="6" max="6" width="14.88671875" customWidth="1"/>
    <col min="7" max="7" width="7.109375" customWidth="1"/>
    <col min="8" max="8" width="1.6640625" customWidth="1"/>
    <col min="9" max="9" width="9.44140625" customWidth="1"/>
    <col min="10" max="10" width="7.6640625" customWidth="1"/>
    <col min="11" max="11" width="7.109375" customWidth="1"/>
    <col min="12" max="26" width="8.6640625" customWidth="1"/>
  </cols>
  <sheetData>
    <row r="1" spans="1:26" ht="14.4" x14ac:dyDescent="0.3">
      <c r="A1" s="55" t="s">
        <v>0</v>
      </c>
      <c r="B1" s="55" t="s">
        <v>1</v>
      </c>
      <c r="C1" s="55" t="s">
        <v>2</v>
      </c>
      <c r="D1" s="55" t="s">
        <v>3</v>
      </c>
      <c r="E1" s="57" t="s">
        <v>4</v>
      </c>
      <c r="F1" s="57" t="s">
        <v>1888</v>
      </c>
      <c r="G1" s="87" t="s">
        <v>7</v>
      </c>
      <c r="H1" s="87"/>
      <c r="I1" s="88" t="s">
        <v>8</v>
      </c>
      <c r="J1" s="57" t="s">
        <v>9</v>
      </c>
      <c r="K1" s="87" t="s">
        <v>7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4.4" x14ac:dyDescent="0.3">
      <c r="A2" s="64" t="s">
        <v>1889</v>
      </c>
      <c r="B2" s="64" t="s">
        <v>1890</v>
      </c>
      <c r="C2" s="64" t="s">
        <v>1891</v>
      </c>
      <c r="D2" s="90" t="s">
        <v>13</v>
      </c>
      <c r="E2" s="91">
        <v>140.65</v>
      </c>
      <c r="F2" s="91">
        <v>93.41</v>
      </c>
      <c r="G2" s="92">
        <f t="shared" ref="G2:G19" si="0">1-(F2/E2)</f>
        <v>0.33586917881265554</v>
      </c>
      <c r="H2" s="92"/>
      <c r="I2" s="93">
        <v>0.18</v>
      </c>
      <c r="J2" s="91">
        <f t="shared" ref="J2:J19" si="1">E2*(1-I2)</f>
        <v>115.33300000000001</v>
      </c>
      <c r="K2" s="92">
        <f t="shared" ref="K2:K19" si="2">1-(F2/J2)</f>
        <v>0.19008436440567755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spans="1:26" ht="14.4" x14ac:dyDescent="0.3">
      <c r="A3" s="64" t="s">
        <v>1889</v>
      </c>
      <c r="B3" s="64" t="s">
        <v>1892</v>
      </c>
      <c r="C3" s="64" t="s">
        <v>1893</v>
      </c>
      <c r="D3" s="90" t="s">
        <v>13</v>
      </c>
      <c r="E3" s="91">
        <v>31.45</v>
      </c>
      <c r="F3" s="91">
        <v>22.64</v>
      </c>
      <c r="G3" s="92">
        <f t="shared" si="0"/>
        <v>0.2801271860095389</v>
      </c>
      <c r="H3" s="92"/>
      <c r="I3" s="93">
        <v>0.11</v>
      </c>
      <c r="J3" s="91">
        <f t="shared" si="1"/>
        <v>27.990500000000001</v>
      </c>
      <c r="K3" s="92">
        <f t="shared" si="2"/>
        <v>0.19115414158375166</v>
      </c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spans="1:26" ht="14.4" x14ac:dyDescent="0.3">
      <c r="A4" s="64" t="s">
        <v>1889</v>
      </c>
      <c r="B4" s="64" t="s">
        <v>1894</v>
      </c>
      <c r="C4" s="64" t="s">
        <v>1895</v>
      </c>
      <c r="D4" s="90" t="s">
        <v>13</v>
      </c>
      <c r="E4" s="94">
        <v>140.65</v>
      </c>
      <c r="F4" s="94">
        <v>98.08</v>
      </c>
      <c r="G4" s="92">
        <f t="shared" si="0"/>
        <v>0.30266619267685746</v>
      </c>
      <c r="H4" s="92"/>
      <c r="I4" s="93">
        <v>0.14000000000000001</v>
      </c>
      <c r="J4" s="91">
        <f t="shared" si="1"/>
        <v>120.959</v>
      </c>
      <c r="K4" s="92">
        <f t="shared" si="2"/>
        <v>0.18914673567076445</v>
      </c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spans="1:26" ht="14.4" x14ac:dyDescent="0.3">
      <c r="A5" s="64" t="s">
        <v>1889</v>
      </c>
      <c r="B5" s="64" t="s">
        <v>1896</v>
      </c>
      <c r="C5" s="64" t="s">
        <v>1897</v>
      </c>
      <c r="D5" s="90" t="s">
        <v>13</v>
      </c>
      <c r="E5" s="94">
        <v>163</v>
      </c>
      <c r="F5" s="94">
        <v>46.15</v>
      </c>
      <c r="G5" s="92">
        <f t="shared" si="0"/>
        <v>0.71687116564417175</v>
      </c>
      <c r="H5" s="92"/>
      <c r="I5" s="93">
        <v>0.65</v>
      </c>
      <c r="J5" s="91">
        <f t="shared" si="1"/>
        <v>57.05</v>
      </c>
      <c r="K5" s="92">
        <f t="shared" si="2"/>
        <v>0.19106047326906217</v>
      </c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 ht="14.4" x14ac:dyDescent="0.3">
      <c r="A6" s="64" t="s">
        <v>1889</v>
      </c>
      <c r="B6" s="64" t="s">
        <v>1898</v>
      </c>
      <c r="C6" s="64" t="s">
        <v>1899</v>
      </c>
      <c r="D6" s="90" t="s">
        <v>13</v>
      </c>
      <c r="E6" s="94">
        <v>350</v>
      </c>
      <c r="F6" s="94">
        <v>98.9</v>
      </c>
      <c r="G6" s="92">
        <f t="shared" si="0"/>
        <v>0.71742857142857142</v>
      </c>
      <c r="H6" s="92"/>
      <c r="I6" s="93">
        <v>0.65</v>
      </c>
      <c r="J6" s="91">
        <f t="shared" si="1"/>
        <v>122.49999999999999</v>
      </c>
      <c r="K6" s="92">
        <f t="shared" si="2"/>
        <v>0.19265306122448966</v>
      </c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spans="1:26" ht="14.4" x14ac:dyDescent="0.3">
      <c r="A7" s="64" t="s">
        <v>1889</v>
      </c>
      <c r="B7" s="64" t="s">
        <v>1900</v>
      </c>
      <c r="C7" s="66" t="s">
        <v>1901</v>
      </c>
      <c r="D7" s="90" t="s">
        <v>13</v>
      </c>
      <c r="E7" s="94">
        <v>65</v>
      </c>
      <c r="F7" s="94">
        <v>30.77</v>
      </c>
      <c r="G7" s="92">
        <f t="shared" si="0"/>
        <v>0.5266153846153846</v>
      </c>
      <c r="H7" s="92"/>
      <c r="I7" s="93">
        <v>0.41499999999999998</v>
      </c>
      <c r="J7" s="91">
        <f t="shared" si="1"/>
        <v>38.024999999999999</v>
      </c>
      <c r="K7" s="92">
        <f t="shared" si="2"/>
        <v>0.19079552925706766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 ht="14.4" x14ac:dyDescent="0.3">
      <c r="A8" s="64" t="s">
        <v>1889</v>
      </c>
      <c r="B8" s="64" t="s">
        <v>1902</v>
      </c>
      <c r="C8" s="64" t="s">
        <v>1903</v>
      </c>
      <c r="D8" s="90" t="s">
        <v>13</v>
      </c>
      <c r="E8" s="94">
        <v>137</v>
      </c>
      <c r="F8" s="94">
        <v>87.91</v>
      </c>
      <c r="G8" s="92">
        <f t="shared" si="0"/>
        <v>0.35832116788321167</v>
      </c>
      <c r="H8" s="92"/>
      <c r="I8" s="93">
        <v>0.21</v>
      </c>
      <c r="J8" s="91">
        <f t="shared" si="1"/>
        <v>108.23</v>
      </c>
      <c r="K8" s="92">
        <f t="shared" si="2"/>
        <v>0.18774831377621737</v>
      </c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spans="1:26" ht="14.4" x14ac:dyDescent="0.3">
      <c r="A9" s="64" t="s">
        <v>1889</v>
      </c>
      <c r="B9" s="64" t="s">
        <v>1904</v>
      </c>
      <c r="C9" s="64" t="s">
        <v>1905</v>
      </c>
      <c r="D9" s="90" t="s">
        <v>13</v>
      </c>
      <c r="E9" s="94">
        <v>155</v>
      </c>
      <c r="F9" s="94">
        <v>65.930000000000007</v>
      </c>
      <c r="G9" s="92">
        <f t="shared" si="0"/>
        <v>0.5746451612903225</v>
      </c>
      <c r="H9" s="92"/>
      <c r="I9" s="93">
        <v>0.47499999999999998</v>
      </c>
      <c r="J9" s="91">
        <f t="shared" si="1"/>
        <v>81.375</v>
      </c>
      <c r="K9" s="92">
        <f t="shared" si="2"/>
        <v>0.18980030721966201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spans="1:26" ht="14.4" x14ac:dyDescent="0.3">
      <c r="A10" s="64" t="s">
        <v>1889</v>
      </c>
      <c r="B10" s="64" t="s">
        <v>1906</v>
      </c>
      <c r="C10" s="64" t="s">
        <v>1907</v>
      </c>
      <c r="D10" s="90" t="s">
        <v>13</v>
      </c>
      <c r="E10" s="94">
        <v>99</v>
      </c>
      <c r="F10" s="94">
        <v>46.15</v>
      </c>
      <c r="G10" s="92">
        <f t="shared" si="0"/>
        <v>0.53383838383838378</v>
      </c>
      <c r="H10" s="92"/>
      <c r="I10" s="93">
        <v>0.42499999999999999</v>
      </c>
      <c r="J10" s="91">
        <f t="shared" si="1"/>
        <v>56.924999999999997</v>
      </c>
      <c r="K10" s="92">
        <f t="shared" si="2"/>
        <v>0.18928414580588493</v>
      </c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spans="1:26" ht="14.4" x14ac:dyDescent="0.3">
      <c r="A11" s="64" t="s">
        <v>1889</v>
      </c>
      <c r="B11" s="64" t="s">
        <v>1908</v>
      </c>
      <c r="C11" s="64" t="s">
        <v>1909</v>
      </c>
      <c r="D11" s="90" t="s">
        <v>13</v>
      </c>
      <c r="E11" s="94">
        <v>298</v>
      </c>
      <c r="F11" s="94">
        <v>108.79</v>
      </c>
      <c r="G11" s="92">
        <f t="shared" si="0"/>
        <v>0.63493288590604025</v>
      </c>
      <c r="H11" s="92"/>
      <c r="I11" s="93">
        <v>0.55000000000000004</v>
      </c>
      <c r="J11" s="91">
        <f t="shared" si="1"/>
        <v>134.1</v>
      </c>
      <c r="K11" s="92">
        <f t="shared" si="2"/>
        <v>0.18873974645786717</v>
      </c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spans="1:26" ht="14.4" x14ac:dyDescent="0.3">
      <c r="A12" s="64" t="s">
        <v>1889</v>
      </c>
      <c r="B12" s="64" t="s">
        <v>1910</v>
      </c>
      <c r="C12" s="64" t="s">
        <v>1911</v>
      </c>
      <c r="D12" s="90" t="s">
        <v>13</v>
      </c>
      <c r="E12" s="94">
        <v>122</v>
      </c>
      <c r="F12" s="94">
        <v>71.430000000000007</v>
      </c>
      <c r="G12" s="92">
        <f t="shared" si="0"/>
        <v>0.41450819672131145</v>
      </c>
      <c r="H12" s="92"/>
      <c r="I12" s="93">
        <v>0.28000000000000003</v>
      </c>
      <c r="J12" s="91">
        <f t="shared" si="1"/>
        <v>87.84</v>
      </c>
      <c r="K12" s="92">
        <f t="shared" si="2"/>
        <v>0.18681693989071035</v>
      </c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spans="1:26" ht="14.4" x14ac:dyDescent="0.3">
      <c r="A13" s="64" t="s">
        <v>1889</v>
      </c>
      <c r="B13" s="64" t="s">
        <v>1912</v>
      </c>
      <c r="C13" s="64" t="s">
        <v>1913</v>
      </c>
      <c r="D13" s="90" t="s">
        <v>13</v>
      </c>
      <c r="E13" s="94">
        <v>389</v>
      </c>
      <c r="F13" s="94">
        <v>246.7</v>
      </c>
      <c r="G13" s="92">
        <f t="shared" si="0"/>
        <v>0.36580976863753212</v>
      </c>
      <c r="H13" s="92"/>
      <c r="I13" s="93">
        <v>0.22</v>
      </c>
      <c r="J13" s="91">
        <f t="shared" si="1"/>
        <v>303.42</v>
      </c>
      <c r="K13" s="92">
        <f t="shared" si="2"/>
        <v>0.18693560081734895</v>
      </c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 ht="14.4" x14ac:dyDescent="0.3">
      <c r="A14" s="64" t="s">
        <v>1889</v>
      </c>
      <c r="B14" s="64" t="s">
        <v>1914</v>
      </c>
      <c r="C14" s="64" t="s">
        <v>1915</v>
      </c>
      <c r="D14" s="90" t="s">
        <v>13</v>
      </c>
      <c r="E14" s="94">
        <v>259</v>
      </c>
      <c r="F14" s="94">
        <v>125.82</v>
      </c>
      <c r="G14" s="92">
        <f t="shared" si="0"/>
        <v>0.51420849420849424</v>
      </c>
      <c r="H14" s="92"/>
      <c r="I14" s="93">
        <v>0.4</v>
      </c>
      <c r="J14" s="91">
        <f t="shared" si="1"/>
        <v>155.4</v>
      </c>
      <c r="K14" s="92">
        <f t="shared" si="2"/>
        <v>0.19034749034749043</v>
      </c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1:26" ht="14.4" x14ac:dyDescent="0.3">
      <c r="A15" s="64" t="s">
        <v>1889</v>
      </c>
      <c r="B15" s="64" t="s">
        <v>1916</v>
      </c>
      <c r="C15" s="64" t="s">
        <v>1917</v>
      </c>
      <c r="D15" s="90" t="s">
        <v>13</v>
      </c>
      <c r="E15" s="94">
        <v>649</v>
      </c>
      <c r="F15" s="94">
        <v>361.54</v>
      </c>
      <c r="G15" s="92">
        <f t="shared" si="0"/>
        <v>0.44292758089368256</v>
      </c>
      <c r="H15" s="92"/>
      <c r="I15" s="93">
        <v>0.31</v>
      </c>
      <c r="J15" s="91">
        <f t="shared" si="1"/>
        <v>447.80999999999995</v>
      </c>
      <c r="K15" s="92">
        <f t="shared" si="2"/>
        <v>0.19264866796185864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 ht="14.4" x14ac:dyDescent="0.3">
      <c r="A16" s="64" t="s">
        <v>1889</v>
      </c>
      <c r="B16" s="64" t="s">
        <v>1918</v>
      </c>
      <c r="C16" s="64" t="s">
        <v>1919</v>
      </c>
      <c r="D16" s="90" t="s">
        <v>13</v>
      </c>
      <c r="E16" s="94">
        <v>142</v>
      </c>
      <c r="F16" s="94">
        <v>64.84</v>
      </c>
      <c r="G16" s="92">
        <f t="shared" si="0"/>
        <v>0.54338028169014074</v>
      </c>
      <c r="H16" s="92"/>
      <c r="I16" s="93">
        <v>0.28000000000000003</v>
      </c>
      <c r="J16" s="91">
        <f t="shared" si="1"/>
        <v>102.24</v>
      </c>
      <c r="K16" s="92">
        <f t="shared" si="2"/>
        <v>0.36580594679186218</v>
      </c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 ht="14.4" x14ac:dyDescent="0.3">
      <c r="A17" s="64" t="s">
        <v>1889</v>
      </c>
      <c r="B17" s="64" t="s">
        <v>1920</v>
      </c>
      <c r="C17" s="64" t="s">
        <v>1921</v>
      </c>
      <c r="D17" s="90" t="s">
        <v>13</v>
      </c>
      <c r="E17" s="94">
        <v>245</v>
      </c>
      <c r="F17" s="94">
        <v>108.79</v>
      </c>
      <c r="G17" s="92">
        <f t="shared" si="0"/>
        <v>0.55595918367346941</v>
      </c>
      <c r="H17" s="92"/>
      <c r="I17" s="93">
        <v>0.28000000000000003</v>
      </c>
      <c r="J17" s="91">
        <f t="shared" si="1"/>
        <v>176.4</v>
      </c>
      <c r="K17" s="92">
        <f t="shared" si="2"/>
        <v>0.38327664399092964</v>
      </c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 ht="14.4" x14ac:dyDescent="0.3">
      <c r="A18" s="64" t="s">
        <v>1889</v>
      </c>
      <c r="B18" s="64" t="s">
        <v>1922</v>
      </c>
      <c r="C18" s="64" t="s">
        <v>1923</v>
      </c>
      <c r="D18" s="90" t="s">
        <v>13</v>
      </c>
      <c r="E18" s="94">
        <v>207</v>
      </c>
      <c r="F18" s="94">
        <v>90.11</v>
      </c>
      <c r="G18" s="92">
        <f t="shared" si="0"/>
        <v>0.56468599033816425</v>
      </c>
      <c r="H18" s="92"/>
      <c r="I18" s="93">
        <v>0.28000000000000003</v>
      </c>
      <c r="J18" s="91">
        <f t="shared" si="1"/>
        <v>149.04</v>
      </c>
      <c r="K18" s="92">
        <f t="shared" si="2"/>
        <v>0.39539720880300588</v>
      </c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 ht="14.4" x14ac:dyDescent="0.3">
      <c r="A19" s="95" t="s">
        <v>1889</v>
      </c>
      <c r="B19" s="95" t="s">
        <v>1924</v>
      </c>
      <c r="C19" s="95" t="s">
        <v>1925</v>
      </c>
      <c r="D19" s="96" t="s">
        <v>13</v>
      </c>
      <c r="E19" s="97">
        <v>225</v>
      </c>
      <c r="F19" s="97">
        <v>131.87</v>
      </c>
      <c r="G19" s="98">
        <f t="shared" si="0"/>
        <v>0.41391111111111112</v>
      </c>
      <c r="H19" s="98"/>
      <c r="I19" s="99">
        <v>0.28000000000000003</v>
      </c>
      <c r="J19" s="100">
        <f t="shared" si="1"/>
        <v>162</v>
      </c>
      <c r="K19" s="98">
        <f t="shared" si="2"/>
        <v>0.18598765432098763</v>
      </c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 ht="15.75" customHeight="1" x14ac:dyDescent="0.3">
      <c r="A20" s="64" t="s">
        <v>1889</v>
      </c>
      <c r="B20" s="64" t="s">
        <v>1926</v>
      </c>
      <c r="C20" s="64" t="s">
        <v>1927</v>
      </c>
      <c r="D20" s="90" t="s">
        <v>13</v>
      </c>
      <c r="E20" s="91">
        <v>14</v>
      </c>
      <c r="F20" s="91">
        <v>8.24</v>
      </c>
      <c r="G20" s="92">
        <f t="shared" ref="G20:G52" si="3">1-(F20/E20)</f>
        <v>0.41142857142857137</v>
      </c>
      <c r="H20" s="92"/>
      <c r="I20" s="93">
        <v>0.27</v>
      </c>
      <c r="J20" s="91">
        <f t="shared" ref="J20:J52" si="4">E20*(1-I20)</f>
        <v>10.219999999999999</v>
      </c>
      <c r="K20" s="92">
        <f t="shared" ref="K20:K52" si="5">1-(F20/J20)</f>
        <v>0.19373776908023477</v>
      </c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 ht="15.75" customHeight="1" x14ac:dyDescent="0.3">
      <c r="A21" s="64" t="s">
        <v>1889</v>
      </c>
      <c r="B21" s="64" t="s">
        <v>1928</v>
      </c>
      <c r="C21" s="64" t="s">
        <v>1929</v>
      </c>
      <c r="D21" s="90" t="s">
        <v>13</v>
      </c>
      <c r="E21" s="91">
        <v>9</v>
      </c>
      <c r="F21" s="91">
        <v>5.49</v>
      </c>
      <c r="G21" s="92">
        <f t="shared" si="3"/>
        <v>0.39</v>
      </c>
      <c r="H21" s="92"/>
      <c r="I21" s="93">
        <v>0.25</v>
      </c>
      <c r="J21" s="91">
        <f t="shared" si="4"/>
        <v>6.75</v>
      </c>
      <c r="K21" s="92">
        <f t="shared" si="5"/>
        <v>0.18666666666666665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 ht="15.75" customHeight="1" x14ac:dyDescent="0.3">
      <c r="A22" s="64" t="s">
        <v>1889</v>
      </c>
      <c r="B22" s="64" t="s">
        <v>1930</v>
      </c>
      <c r="C22" s="64" t="s">
        <v>1931</v>
      </c>
      <c r="D22" s="90" t="s">
        <v>13</v>
      </c>
      <c r="E22" s="91">
        <v>15</v>
      </c>
      <c r="F22" s="91">
        <v>8.7899999999999991</v>
      </c>
      <c r="G22" s="92">
        <f t="shared" si="3"/>
        <v>0.41400000000000003</v>
      </c>
      <c r="H22" s="92"/>
      <c r="I22" s="93">
        <v>0.28000000000000003</v>
      </c>
      <c r="J22" s="91">
        <f t="shared" si="4"/>
        <v>10.799999999999999</v>
      </c>
      <c r="K22" s="92">
        <f t="shared" si="5"/>
        <v>0.18611111111111112</v>
      </c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 ht="15.75" customHeight="1" x14ac:dyDescent="0.3">
      <c r="A23" s="64" t="s">
        <v>1889</v>
      </c>
      <c r="B23" s="64" t="s">
        <v>1932</v>
      </c>
      <c r="C23" s="64" t="s">
        <v>1933</v>
      </c>
      <c r="D23" s="90" t="s">
        <v>13</v>
      </c>
      <c r="E23" s="91">
        <v>8</v>
      </c>
      <c r="F23" s="91">
        <v>4.4000000000000004</v>
      </c>
      <c r="G23" s="92">
        <f t="shared" si="3"/>
        <v>0.44999999999999996</v>
      </c>
      <c r="H23" s="92"/>
      <c r="I23" s="93">
        <v>0.32</v>
      </c>
      <c r="J23" s="91">
        <f t="shared" si="4"/>
        <v>5.4399999999999995</v>
      </c>
      <c r="K23" s="92">
        <f t="shared" si="5"/>
        <v>0.19117647058823517</v>
      </c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 ht="15.75" customHeight="1" x14ac:dyDescent="0.3">
      <c r="A24" s="64" t="s">
        <v>1889</v>
      </c>
      <c r="B24" s="64" t="s">
        <v>1934</v>
      </c>
      <c r="C24" s="64" t="s">
        <v>1935</v>
      </c>
      <c r="D24" s="90" t="s">
        <v>13</v>
      </c>
      <c r="E24" s="91">
        <v>298</v>
      </c>
      <c r="F24" s="91">
        <v>192.31</v>
      </c>
      <c r="G24" s="92">
        <f t="shared" si="3"/>
        <v>0.35466442953020139</v>
      </c>
      <c r="H24" s="92"/>
      <c r="I24" s="93">
        <v>0.2</v>
      </c>
      <c r="J24" s="91">
        <f t="shared" si="4"/>
        <v>238.4</v>
      </c>
      <c r="K24" s="92">
        <f t="shared" si="5"/>
        <v>0.1933305369127517</v>
      </c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 ht="15.75" customHeight="1" x14ac:dyDescent="0.3">
      <c r="A25" s="64" t="s">
        <v>1889</v>
      </c>
      <c r="B25" s="64" t="s">
        <v>1936</v>
      </c>
      <c r="C25" s="64" t="s">
        <v>1937</v>
      </c>
      <c r="D25" s="90" t="s">
        <v>13</v>
      </c>
      <c r="E25" s="94">
        <v>30</v>
      </c>
      <c r="F25" s="91">
        <v>17.579999999999998</v>
      </c>
      <c r="G25" s="92">
        <f t="shared" si="3"/>
        <v>0.41400000000000003</v>
      </c>
      <c r="H25" s="92"/>
      <c r="I25" s="93">
        <v>0.28000000000000003</v>
      </c>
      <c r="J25" s="91">
        <f t="shared" si="4"/>
        <v>21.599999999999998</v>
      </c>
      <c r="K25" s="92">
        <f t="shared" si="5"/>
        <v>0.18611111111111112</v>
      </c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spans="1:26" ht="15.75" customHeight="1" x14ac:dyDescent="0.3">
      <c r="A26" s="64" t="s">
        <v>1889</v>
      </c>
      <c r="B26" s="64" t="s">
        <v>1938</v>
      </c>
      <c r="C26" s="64" t="s">
        <v>1939</v>
      </c>
      <c r="D26" s="90" t="s">
        <v>13</v>
      </c>
      <c r="E26" s="94">
        <v>64</v>
      </c>
      <c r="F26" s="94">
        <v>38.46</v>
      </c>
      <c r="G26" s="92">
        <f t="shared" si="3"/>
        <v>0.39906249999999999</v>
      </c>
      <c r="H26" s="92"/>
      <c r="I26" s="93">
        <v>0.26</v>
      </c>
      <c r="J26" s="91">
        <f t="shared" si="4"/>
        <v>47.36</v>
      </c>
      <c r="K26" s="92">
        <f t="shared" si="5"/>
        <v>0.18792229729729726</v>
      </c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spans="1:26" ht="15.75" customHeight="1" x14ac:dyDescent="0.3">
      <c r="A27" s="64" t="s">
        <v>1889</v>
      </c>
      <c r="B27" s="64" t="s">
        <v>1940</v>
      </c>
      <c r="C27" s="64" t="s">
        <v>1941</v>
      </c>
      <c r="D27" s="90" t="s">
        <v>13</v>
      </c>
      <c r="E27" s="94">
        <v>149.99</v>
      </c>
      <c r="F27" s="94">
        <v>53.53</v>
      </c>
      <c r="G27" s="92">
        <f t="shared" si="3"/>
        <v>0.64310954063604242</v>
      </c>
      <c r="H27" s="92"/>
      <c r="I27" s="93">
        <v>0.56000000000000005</v>
      </c>
      <c r="J27" s="91">
        <f t="shared" si="4"/>
        <v>65.995599999999996</v>
      </c>
      <c r="K27" s="92">
        <f t="shared" si="5"/>
        <v>0.18888531962736899</v>
      </c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15.75" customHeight="1" x14ac:dyDescent="0.3">
      <c r="A28" s="64" t="s">
        <v>1889</v>
      </c>
      <c r="B28" s="64" t="s">
        <v>1942</v>
      </c>
      <c r="C28" s="64" t="s">
        <v>1943</v>
      </c>
      <c r="D28" s="90" t="s">
        <v>13</v>
      </c>
      <c r="E28" s="94">
        <v>20</v>
      </c>
      <c r="F28" s="94">
        <v>10.99</v>
      </c>
      <c r="G28" s="92">
        <f t="shared" si="3"/>
        <v>0.45050000000000001</v>
      </c>
      <c r="H28" s="92"/>
      <c r="I28" s="93">
        <v>0.32</v>
      </c>
      <c r="J28" s="91">
        <f t="shared" si="4"/>
        <v>13.599999999999998</v>
      </c>
      <c r="K28" s="92">
        <f t="shared" si="5"/>
        <v>0.19191176470588223</v>
      </c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 ht="15.75" customHeight="1" x14ac:dyDescent="0.3">
      <c r="A29" s="64" t="s">
        <v>1889</v>
      </c>
      <c r="B29" s="64" t="s">
        <v>1944</v>
      </c>
      <c r="C29" s="64" t="s">
        <v>1945</v>
      </c>
      <c r="D29" s="90" t="s">
        <v>13</v>
      </c>
      <c r="E29" s="94">
        <v>20</v>
      </c>
      <c r="F29" s="94">
        <v>10.99</v>
      </c>
      <c r="G29" s="92">
        <f t="shared" si="3"/>
        <v>0.45050000000000001</v>
      </c>
      <c r="H29" s="92"/>
      <c r="I29" s="93">
        <v>0.32</v>
      </c>
      <c r="J29" s="91">
        <f t="shared" si="4"/>
        <v>13.599999999999998</v>
      </c>
      <c r="K29" s="92">
        <f t="shared" si="5"/>
        <v>0.19191176470588223</v>
      </c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 ht="15.75" customHeight="1" x14ac:dyDescent="0.3">
      <c r="A30" s="64" t="s">
        <v>1889</v>
      </c>
      <c r="B30" s="64" t="s">
        <v>1946</v>
      </c>
      <c r="C30" s="64" t="s">
        <v>1947</v>
      </c>
      <c r="D30" s="90" t="s">
        <v>13</v>
      </c>
      <c r="E30" s="94">
        <v>45</v>
      </c>
      <c r="F30" s="94">
        <v>26.37</v>
      </c>
      <c r="G30" s="92">
        <f t="shared" si="3"/>
        <v>0.41399999999999992</v>
      </c>
      <c r="H30" s="92"/>
      <c r="I30" s="93">
        <v>0.28000000000000003</v>
      </c>
      <c r="J30" s="91">
        <f t="shared" si="4"/>
        <v>32.4</v>
      </c>
      <c r="K30" s="92">
        <f t="shared" si="5"/>
        <v>0.18611111111111101</v>
      </c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26" ht="15.75" customHeight="1" x14ac:dyDescent="0.3">
      <c r="A31" s="64" t="s">
        <v>1889</v>
      </c>
      <c r="B31" s="64" t="s">
        <v>1948</v>
      </c>
      <c r="C31" s="64" t="s">
        <v>1949</v>
      </c>
      <c r="D31" s="90" t="s">
        <v>13</v>
      </c>
      <c r="E31" s="94">
        <v>17</v>
      </c>
      <c r="F31" s="94">
        <v>9.89</v>
      </c>
      <c r="G31" s="92">
        <f t="shared" si="3"/>
        <v>0.41823529411764704</v>
      </c>
      <c r="H31" s="92"/>
      <c r="I31" s="93">
        <v>0.28000000000000003</v>
      </c>
      <c r="J31" s="91">
        <f t="shared" si="4"/>
        <v>12.24</v>
      </c>
      <c r="K31" s="92">
        <f t="shared" si="5"/>
        <v>0.19199346405228757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spans="1:26" ht="15.75" customHeight="1" x14ac:dyDescent="0.3">
      <c r="A32" s="64" t="s">
        <v>1889</v>
      </c>
      <c r="B32" s="64" t="s">
        <v>1950</v>
      </c>
      <c r="C32" s="64" t="s">
        <v>1951</v>
      </c>
      <c r="D32" s="90" t="s">
        <v>13</v>
      </c>
      <c r="E32" s="94">
        <v>75</v>
      </c>
      <c r="F32" s="94">
        <v>43.96</v>
      </c>
      <c r="G32" s="92">
        <f t="shared" si="3"/>
        <v>0.4138666666666666</v>
      </c>
      <c r="H32" s="92"/>
      <c r="I32" s="93">
        <v>0.28000000000000003</v>
      </c>
      <c r="J32" s="91">
        <f t="shared" si="4"/>
        <v>54</v>
      </c>
      <c r="K32" s="92">
        <f t="shared" si="5"/>
        <v>0.18592592592592594</v>
      </c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26" ht="15.75" customHeight="1" x14ac:dyDescent="0.3">
      <c r="A33" s="64" t="s">
        <v>1889</v>
      </c>
      <c r="B33" s="64" t="s">
        <v>1952</v>
      </c>
      <c r="C33" s="64" t="s">
        <v>1953</v>
      </c>
      <c r="D33" s="90" t="s">
        <v>13</v>
      </c>
      <c r="E33" s="94">
        <v>75</v>
      </c>
      <c r="F33" s="94">
        <v>43.96</v>
      </c>
      <c r="G33" s="92">
        <f t="shared" si="3"/>
        <v>0.4138666666666666</v>
      </c>
      <c r="H33" s="92"/>
      <c r="I33" s="93">
        <v>0.28000000000000003</v>
      </c>
      <c r="J33" s="91">
        <f t="shared" si="4"/>
        <v>54</v>
      </c>
      <c r="K33" s="92">
        <f t="shared" si="5"/>
        <v>0.18592592592592594</v>
      </c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 ht="15.75" customHeight="1" x14ac:dyDescent="0.3">
      <c r="A34" s="64" t="s">
        <v>1889</v>
      </c>
      <c r="B34" s="64" t="s">
        <v>1954</v>
      </c>
      <c r="C34" s="64" t="s">
        <v>1953</v>
      </c>
      <c r="D34" s="90" t="s">
        <v>13</v>
      </c>
      <c r="E34" s="94">
        <v>75</v>
      </c>
      <c r="F34" s="94">
        <v>43.96</v>
      </c>
      <c r="G34" s="92">
        <f t="shared" si="3"/>
        <v>0.4138666666666666</v>
      </c>
      <c r="H34" s="92"/>
      <c r="I34" s="93">
        <v>0.28000000000000003</v>
      </c>
      <c r="J34" s="91">
        <f t="shared" si="4"/>
        <v>54</v>
      </c>
      <c r="K34" s="92">
        <f t="shared" si="5"/>
        <v>0.18592592592592594</v>
      </c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26" ht="15.75" customHeight="1" x14ac:dyDescent="0.3">
      <c r="A35" s="64" t="s">
        <v>1889</v>
      </c>
      <c r="B35" s="64" t="s">
        <v>1955</v>
      </c>
      <c r="C35" s="64" t="s">
        <v>1956</v>
      </c>
      <c r="D35" s="90" t="s">
        <v>13</v>
      </c>
      <c r="E35" s="94">
        <v>56</v>
      </c>
      <c r="F35" s="94">
        <v>32.97</v>
      </c>
      <c r="G35" s="92">
        <f t="shared" si="3"/>
        <v>0.41125</v>
      </c>
      <c r="H35" s="92"/>
      <c r="I35" s="93">
        <v>0.28000000000000003</v>
      </c>
      <c r="J35" s="91">
        <f t="shared" si="4"/>
        <v>40.32</v>
      </c>
      <c r="K35" s="92">
        <f t="shared" si="5"/>
        <v>0.18229166666666674</v>
      </c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6" ht="15.75" customHeight="1" x14ac:dyDescent="0.3">
      <c r="A36" s="64" t="s">
        <v>1889</v>
      </c>
      <c r="B36" s="64" t="s">
        <v>1957</v>
      </c>
      <c r="C36" s="64" t="s">
        <v>1958</v>
      </c>
      <c r="D36" s="90" t="s">
        <v>13</v>
      </c>
      <c r="E36" s="94">
        <v>169</v>
      </c>
      <c r="F36" s="94">
        <v>98.9</v>
      </c>
      <c r="G36" s="92">
        <f t="shared" si="3"/>
        <v>0.41479289940828401</v>
      </c>
      <c r="H36" s="92"/>
      <c r="I36" s="93">
        <v>0.28000000000000003</v>
      </c>
      <c r="J36" s="91">
        <f t="shared" si="4"/>
        <v>121.67999999999999</v>
      </c>
      <c r="K36" s="92">
        <f t="shared" si="5"/>
        <v>0.18721236028928323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spans="1:26" ht="15.75" customHeight="1" x14ac:dyDescent="0.3">
      <c r="A37" s="64" t="s">
        <v>1889</v>
      </c>
      <c r="B37" s="64" t="s">
        <v>1959</v>
      </c>
      <c r="C37" s="64" t="s">
        <v>1960</v>
      </c>
      <c r="D37" s="90" t="s">
        <v>13</v>
      </c>
      <c r="E37" s="94">
        <v>186</v>
      </c>
      <c r="F37" s="94">
        <v>108.79</v>
      </c>
      <c r="G37" s="92">
        <f t="shared" si="3"/>
        <v>0.41510752688172037</v>
      </c>
      <c r="H37" s="92"/>
      <c r="I37" s="93">
        <v>0.28000000000000003</v>
      </c>
      <c r="J37" s="91">
        <f t="shared" si="4"/>
        <v>133.91999999999999</v>
      </c>
      <c r="K37" s="92">
        <f t="shared" si="5"/>
        <v>0.18764934289127821</v>
      </c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spans="1:26" ht="15.75" customHeight="1" x14ac:dyDescent="0.3">
      <c r="A38" s="64" t="s">
        <v>1889</v>
      </c>
      <c r="B38" s="64" t="s">
        <v>1961</v>
      </c>
      <c r="C38" s="64" t="s">
        <v>1962</v>
      </c>
      <c r="D38" s="90" t="s">
        <v>13</v>
      </c>
      <c r="E38" s="94">
        <v>373</v>
      </c>
      <c r="F38" s="94">
        <v>218.68</v>
      </c>
      <c r="G38" s="92">
        <f t="shared" si="3"/>
        <v>0.4137265415549598</v>
      </c>
      <c r="H38" s="92"/>
      <c r="I38" s="93">
        <v>0.28000000000000003</v>
      </c>
      <c r="J38" s="91">
        <f t="shared" si="4"/>
        <v>268.56</v>
      </c>
      <c r="K38" s="92">
        <f t="shared" si="5"/>
        <v>0.18573130771522195</v>
      </c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spans="1:26" ht="15.75" customHeight="1" x14ac:dyDescent="0.3">
      <c r="A39" s="64" t="s">
        <v>1889</v>
      </c>
      <c r="B39" s="64" t="s">
        <v>1963</v>
      </c>
      <c r="C39" s="64" t="s">
        <v>1964</v>
      </c>
      <c r="D39" s="90" t="s">
        <v>13</v>
      </c>
      <c r="E39" s="94">
        <v>467</v>
      </c>
      <c r="F39" s="94">
        <v>273.63</v>
      </c>
      <c r="G39" s="92">
        <f t="shared" si="3"/>
        <v>0.4140685224839401</v>
      </c>
      <c r="H39" s="92"/>
      <c r="I39" s="93">
        <v>0.28000000000000003</v>
      </c>
      <c r="J39" s="91">
        <f t="shared" si="4"/>
        <v>336.24</v>
      </c>
      <c r="K39" s="92">
        <f t="shared" si="5"/>
        <v>0.18620628122769456</v>
      </c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spans="1:26" ht="15.75" customHeight="1" x14ac:dyDescent="0.3">
      <c r="A40" s="64" t="s">
        <v>1889</v>
      </c>
      <c r="B40" s="64" t="s">
        <v>1965</v>
      </c>
      <c r="C40" s="64" t="s">
        <v>1966</v>
      </c>
      <c r="D40" s="90" t="s">
        <v>13</v>
      </c>
      <c r="E40" s="94">
        <v>184</v>
      </c>
      <c r="F40" s="94">
        <v>107.69</v>
      </c>
      <c r="G40" s="92">
        <f t="shared" si="3"/>
        <v>0.41472826086956527</v>
      </c>
      <c r="H40" s="92"/>
      <c r="I40" s="93">
        <v>0.28000000000000003</v>
      </c>
      <c r="J40" s="91">
        <f t="shared" si="4"/>
        <v>132.47999999999999</v>
      </c>
      <c r="K40" s="92">
        <f t="shared" si="5"/>
        <v>0.18712258454106279</v>
      </c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6" ht="15.75" customHeight="1" x14ac:dyDescent="0.3">
      <c r="A41" s="64" t="s">
        <v>1889</v>
      </c>
      <c r="B41" s="64" t="s">
        <v>1967</v>
      </c>
      <c r="C41" s="64" t="s">
        <v>1968</v>
      </c>
      <c r="D41" s="90" t="s">
        <v>13</v>
      </c>
      <c r="E41" s="94">
        <v>119.95</v>
      </c>
      <c r="F41" s="94">
        <v>90.1</v>
      </c>
      <c r="G41" s="92">
        <f t="shared" si="3"/>
        <v>0.24885368903709881</v>
      </c>
      <c r="H41" s="92"/>
      <c r="I41" s="93">
        <v>0.28000000000000003</v>
      </c>
      <c r="J41" s="91">
        <f t="shared" si="4"/>
        <v>86.364000000000004</v>
      </c>
      <c r="K41" s="92">
        <f t="shared" si="5"/>
        <v>-4.3258765226251494E-2</v>
      </c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1:26" ht="15.75" customHeight="1" x14ac:dyDescent="0.3">
      <c r="A42" s="64" t="s">
        <v>1889</v>
      </c>
      <c r="B42" s="64" t="s">
        <v>1969</v>
      </c>
      <c r="C42" s="64" t="s">
        <v>1970</v>
      </c>
      <c r="D42" s="90" t="s">
        <v>13</v>
      </c>
      <c r="E42" s="94">
        <v>129.94999999999999</v>
      </c>
      <c r="F42" s="94">
        <v>108.3</v>
      </c>
      <c r="G42" s="92">
        <f t="shared" si="3"/>
        <v>0.16660253943824543</v>
      </c>
      <c r="H42" s="92"/>
      <c r="I42" s="93">
        <v>0.28000000000000003</v>
      </c>
      <c r="J42" s="91">
        <f t="shared" si="4"/>
        <v>93.563999999999993</v>
      </c>
      <c r="K42" s="92">
        <f t="shared" si="5"/>
        <v>-0.15749647300243685</v>
      </c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1:26" ht="15.75" customHeight="1" x14ac:dyDescent="0.3">
      <c r="A43" s="64" t="s">
        <v>1889</v>
      </c>
      <c r="B43" s="64" t="s">
        <v>1971</v>
      </c>
      <c r="C43" s="64" t="s">
        <v>1972</v>
      </c>
      <c r="D43" s="90" t="s">
        <v>13</v>
      </c>
      <c r="E43" s="94">
        <v>79.95</v>
      </c>
      <c r="F43" s="94">
        <v>58.87</v>
      </c>
      <c r="G43" s="92">
        <f t="shared" si="3"/>
        <v>0.26366479049405889</v>
      </c>
      <c r="H43" s="92"/>
      <c r="I43" s="93">
        <v>0.28000000000000003</v>
      </c>
      <c r="J43" s="91">
        <f t="shared" si="4"/>
        <v>57.564</v>
      </c>
      <c r="K43" s="92">
        <f t="shared" si="5"/>
        <v>-2.268779098047391E-2</v>
      </c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 ht="15.75" customHeight="1" x14ac:dyDescent="0.3">
      <c r="A44" s="64" t="s">
        <v>1889</v>
      </c>
      <c r="B44" s="64" t="s">
        <v>1973</v>
      </c>
      <c r="C44" s="64" t="s">
        <v>1974</v>
      </c>
      <c r="D44" s="90" t="s">
        <v>13</v>
      </c>
      <c r="E44" s="94">
        <v>249.95</v>
      </c>
      <c r="F44" s="94">
        <v>184.03</v>
      </c>
      <c r="G44" s="92">
        <f t="shared" si="3"/>
        <v>0.26373274654930978</v>
      </c>
      <c r="H44" s="92"/>
      <c r="I44" s="93">
        <v>0.28000000000000003</v>
      </c>
      <c r="J44" s="91">
        <f t="shared" si="4"/>
        <v>179.964</v>
      </c>
      <c r="K44" s="92">
        <f t="shared" si="5"/>
        <v>-2.2593407570403068E-2</v>
      </c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spans="1:26" ht="15.75" customHeight="1" x14ac:dyDescent="0.3">
      <c r="A45" s="64" t="s">
        <v>1889</v>
      </c>
      <c r="B45" s="64" t="s">
        <v>1975</v>
      </c>
      <c r="C45" s="64" t="s">
        <v>1976</v>
      </c>
      <c r="D45" s="90" t="s">
        <v>13</v>
      </c>
      <c r="E45" s="94">
        <v>99</v>
      </c>
      <c r="F45" s="94">
        <v>54.4</v>
      </c>
      <c r="G45" s="92">
        <f t="shared" si="3"/>
        <v>0.45050505050505052</v>
      </c>
      <c r="H45" s="92"/>
      <c r="I45" s="93">
        <v>0.28000000000000003</v>
      </c>
      <c r="J45" s="91">
        <f t="shared" si="4"/>
        <v>71.28</v>
      </c>
      <c r="K45" s="92">
        <f t="shared" si="5"/>
        <v>0.23681257014590351</v>
      </c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spans="1:26" ht="15.75" customHeight="1" x14ac:dyDescent="0.3">
      <c r="A46" s="64" t="s">
        <v>1889</v>
      </c>
      <c r="B46" s="64" t="s">
        <v>1977</v>
      </c>
      <c r="C46" s="64" t="s">
        <v>1978</v>
      </c>
      <c r="D46" s="90" t="s">
        <v>13</v>
      </c>
      <c r="E46" s="94">
        <v>99</v>
      </c>
      <c r="F46" s="94">
        <v>54.4</v>
      </c>
      <c r="G46" s="92">
        <f t="shared" si="3"/>
        <v>0.45050505050505052</v>
      </c>
      <c r="H46" s="92"/>
      <c r="I46" s="93">
        <v>0.28000000000000003</v>
      </c>
      <c r="J46" s="91">
        <f t="shared" si="4"/>
        <v>71.28</v>
      </c>
      <c r="K46" s="92">
        <f t="shared" si="5"/>
        <v>0.23681257014590351</v>
      </c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spans="1:26" ht="15.75" customHeight="1" x14ac:dyDescent="0.3">
      <c r="A47" s="64" t="s">
        <v>1889</v>
      </c>
      <c r="B47" s="64" t="s">
        <v>1979</v>
      </c>
      <c r="C47" s="64" t="s">
        <v>1980</v>
      </c>
      <c r="D47" s="90" t="s">
        <v>13</v>
      </c>
      <c r="E47" s="94">
        <v>59</v>
      </c>
      <c r="F47" s="94">
        <v>43.44</v>
      </c>
      <c r="G47" s="92">
        <f t="shared" si="3"/>
        <v>0.2637288135593221</v>
      </c>
      <c r="H47" s="92"/>
      <c r="I47" s="93">
        <v>0.28000000000000003</v>
      </c>
      <c r="J47" s="91">
        <f t="shared" si="4"/>
        <v>42.48</v>
      </c>
      <c r="K47" s="92">
        <f t="shared" si="5"/>
        <v>-2.2598870056497189E-2</v>
      </c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spans="1:26" ht="15.75" customHeight="1" x14ac:dyDescent="0.3">
      <c r="A48" s="64" t="s">
        <v>1889</v>
      </c>
      <c r="B48" s="64" t="s">
        <v>1981</v>
      </c>
      <c r="C48" s="64" t="s">
        <v>1982</v>
      </c>
      <c r="D48" s="90" t="s">
        <v>13</v>
      </c>
      <c r="E48" s="94">
        <v>137</v>
      </c>
      <c r="F48" s="94">
        <v>87.91</v>
      </c>
      <c r="G48" s="92">
        <f t="shared" si="3"/>
        <v>0.35832116788321167</v>
      </c>
      <c r="H48" s="92"/>
      <c r="I48" s="93">
        <v>0.28000000000000003</v>
      </c>
      <c r="J48" s="91">
        <f t="shared" si="4"/>
        <v>98.64</v>
      </c>
      <c r="K48" s="92">
        <f t="shared" si="5"/>
        <v>0.10877939983779406</v>
      </c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spans="1:26" ht="15.75" customHeight="1" x14ac:dyDescent="0.3">
      <c r="A49" s="64" t="s">
        <v>1889</v>
      </c>
      <c r="B49" s="64" t="s">
        <v>1983</v>
      </c>
      <c r="C49" s="66" t="s">
        <v>1974</v>
      </c>
      <c r="D49" s="90" t="s">
        <v>13</v>
      </c>
      <c r="E49" s="94">
        <v>44.95</v>
      </c>
      <c r="F49" s="94">
        <v>35.68</v>
      </c>
      <c r="G49" s="92">
        <f t="shared" si="3"/>
        <v>0.20622914349276977</v>
      </c>
      <c r="H49" s="92"/>
      <c r="I49" s="93">
        <v>0.28000000000000003</v>
      </c>
      <c r="J49" s="91">
        <f t="shared" si="4"/>
        <v>32.364000000000004</v>
      </c>
      <c r="K49" s="92">
        <f t="shared" si="5"/>
        <v>-0.10245952292670846</v>
      </c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spans="1:26" ht="15.75" customHeight="1" x14ac:dyDescent="0.3">
      <c r="A50" s="64" t="s">
        <v>1889</v>
      </c>
      <c r="B50" s="64" t="s">
        <v>1984</v>
      </c>
      <c r="C50" s="64" t="s">
        <v>1985</v>
      </c>
      <c r="D50" s="90" t="s">
        <v>13</v>
      </c>
      <c r="E50" s="94">
        <v>10</v>
      </c>
      <c r="F50" s="94">
        <v>5.49</v>
      </c>
      <c r="G50" s="92">
        <f t="shared" si="3"/>
        <v>0.45099999999999996</v>
      </c>
      <c r="H50" s="92"/>
      <c r="I50" s="93">
        <v>0.28000000000000003</v>
      </c>
      <c r="J50" s="91">
        <f t="shared" si="4"/>
        <v>7.1999999999999993</v>
      </c>
      <c r="K50" s="92">
        <f t="shared" si="5"/>
        <v>0.23749999999999993</v>
      </c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spans="1:26" ht="15.75" customHeight="1" x14ac:dyDescent="0.3">
      <c r="A51" s="64" t="s">
        <v>1889</v>
      </c>
      <c r="B51" s="64" t="s">
        <v>1986</v>
      </c>
      <c r="C51" s="64" t="s">
        <v>1987</v>
      </c>
      <c r="D51" s="90" t="s">
        <v>13</v>
      </c>
      <c r="E51" s="94">
        <v>14.95</v>
      </c>
      <c r="F51" s="94">
        <v>8.2200000000000006</v>
      </c>
      <c r="G51" s="92">
        <f t="shared" si="3"/>
        <v>0.45016722408026744</v>
      </c>
      <c r="H51" s="92"/>
      <c r="I51" s="93">
        <v>0.28000000000000003</v>
      </c>
      <c r="J51" s="91">
        <f t="shared" si="4"/>
        <v>10.763999999999999</v>
      </c>
      <c r="K51" s="92">
        <f t="shared" si="5"/>
        <v>0.23634336677814927</v>
      </c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 ht="15.75" customHeight="1" x14ac:dyDescent="0.3">
      <c r="A52" s="95" t="s">
        <v>1889</v>
      </c>
      <c r="B52" s="64" t="s">
        <v>1988</v>
      </c>
      <c r="C52" s="64" t="s">
        <v>1989</v>
      </c>
      <c r="D52" s="90" t="s">
        <v>13</v>
      </c>
      <c r="E52" s="94">
        <v>20</v>
      </c>
      <c r="F52" s="94">
        <v>10.99</v>
      </c>
      <c r="G52" s="92">
        <f t="shared" si="3"/>
        <v>0.45050000000000001</v>
      </c>
      <c r="H52" s="92"/>
      <c r="I52" s="93">
        <v>0.28000000000000003</v>
      </c>
      <c r="J52" s="91">
        <f t="shared" si="4"/>
        <v>14.399999999999999</v>
      </c>
      <c r="K52" s="92">
        <f t="shared" si="5"/>
        <v>0.23680555555555549</v>
      </c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spans="1:26" ht="15.75" customHeight="1" x14ac:dyDescent="0.3">
      <c r="A53" s="64"/>
      <c r="B53" s="64"/>
      <c r="C53" s="64"/>
      <c r="D53" s="90"/>
      <c r="E53" s="91"/>
      <c r="F53" s="91"/>
      <c r="G53" s="92"/>
      <c r="H53" s="92"/>
      <c r="I53" s="93"/>
      <c r="J53" s="91"/>
      <c r="K53" s="92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spans="1:26" ht="15.75" customHeight="1" x14ac:dyDescent="0.3">
      <c r="A54" s="64"/>
      <c r="B54" s="64"/>
      <c r="C54" s="64"/>
      <c r="D54" s="90"/>
      <c r="E54" s="91"/>
      <c r="F54" s="91"/>
      <c r="G54" s="92"/>
      <c r="H54" s="92"/>
      <c r="I54" s="93"/>
      <c r="J54" s="91"/>
      <c r="K54" s="92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spans="1:26" ht="15.75" customHeight="1" x14ac:dyDescent="0.3">
      <c r="A55" s="64"/>
      <c r="B55" s="64"/>
      <c r="C55" s="64"/>
      <c r="D55" s="90"/>
      <c r="E55" s="91"/>
      <c r="F55" s="91"/>
      <c r="G55" s="92"/>
      <c r="H55" s="92"/>
      <c r="I55" s="93"/>
      <c r="J55" s="91"/>
      <c r="K55" s="92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spans="1:26" ht="15.75" customHeight="1" x14ac:dyDescent="0.3">
      <c r="A56" s="64"/>
      <c r="B56" s="64"/>
      <c r="C56" s="64"/>
      <c r="D56" s="90"/>
      <c r="E56" s="91"/>
      <c r="F56" s="91"/>
      <c r="G56" s="90"/>
      <c r="H56" s="90"/>
      <c r="I56" s="93"/>
      <c r="J56" s="90"/>
      <c r="K56" s="90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spans="1:26" ht="15.75" customHeight="1" x14ac:dyDescent="0.3">
      <c r="A57" s="64"/>
      <c r="B57" s="64"/>
      <c r="C57" s="64"/>
      <c r="D57" s="90"/>
      <c r="E57" s="91"/>
      <c r="F57" s="91"/>
      <c r="G57" s="90"/>
      <c r="H57" s="90"/>
      <c r="I57" s="93"/>
      <c r="J57" s="90"/>
      <c r="K57" s="90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spans="1:26" ht="15.75" customHeight="1" x14ac:dyDescent="0.3">
      <c r="A58" s="64"/>
      <c r="B58" s="64"/>
      <c r="C58" s="64"/>
      <c r="D58" s="90"/>
      <c r="E58" s="91"/>
      <c r="F58" s="91"/>
      <c r="G58" s="90"/>
      <c r="H58" s="90"/>
      <c r="I58" s="93"/>
      <c r="J58" s="90"/>
      <c r="K58" s="90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spans="1:26" ht="15.75" customHeight="1" x14ac:dyDescent="0.3">
      <c r="A59" s="64"/>
      <c r="B59" s="64"/>
      <c r="C59" s="64"/>
      <c r="D59" s="90"/>
      <c r="E59" s="91"/>
      <c r="F59" s="91"/>
      <c r="G59" s="90"/>
      <c r="H59" s="90"/>
      <c r="I59" s="93"/>
      <c r="J59" s="90"/>
      <c r="K59" s="90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 ht="15.75" customHeight="1" x14ac:dyDescent="0.3">
      <c r="A60" s="64"/>
      <c r="B60" s="64"/>
      <c r="C60" s="64"/>
      <c r="D60" s="90"/>
      <c r="E60" s="91"/>
      <c r="F60" s="91"/>
      <c r="G60" s="90"/>
      <c r="H60" s="90"/>
      <c r="I60" s="93"/>
      <c r="J60" s="90"/>
      <c r="K60" s="90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spans="1:26" ht="15.75" customHeight="1" x14ac:dyDescent="0.3">
      <c r="A61" s="64"/>
      <c r="B61" s="64"/>
      <c r="C61" s="64"/>
      <c r="D61" s="90"/>
      <c r="E61" s="91"/>
      <c r="F61" s="91"/>
      <c r="G61" s="90"/>
      <c r="H61" s="90"/>
      <c r="I61" s="93"/>
      <c r="J61" s="90"/>
      <c r="K61" s="90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spans="1:26" ht="15.75" customHeight="1" x14ac:dyDescent="0.3">
      <c r="A62" s="64"/>
      <c r="B62" s="64"/>
      <c r="C62" s="64"/>
      <c r="D62" s="90"/>
      <c r="E62" s="91"/>
      <c r="F62" s="91"/>
      <c r="G62" s="90"/>
      <c r="H62" s="90"/>
      <c r="I62" s="93"/>
      <c r="J62" s="90"/>
      <c r="K62" s="90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spans="1:26" ht="15.75" customHeight="1" x14ac:dyDescent="0.3">
      <c r="A63" s="64"/>
      <c r="B63" s="64"/>
      <c r="C63" s="64"/>
      <c r="D63" s="90"/>
      <c r="E63" s="91"/>
      <c r="F63" s="91"/>
      <c r="G63" s="90"/>
      <c r="H63" s="90"/>
      <c r="I63" s="93"/>
      <c r="J63" s="90"/>
      <c r="K63" s="90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spans="1:26" ht="15.75" customHeight="1" x14ac:dyDescent="0.3">
      <c r="A64" s="64"/>
      <c r="B64" s="64"/>
      <c r="C64" s="64"/>
      <c r="D64" s="90"/>
      <c r="E64" s="91"/>
      <c r="F64" s="91"/>
      <c r="G64" s="90"/>
      <c r="H64" s="90"/>
      <c r="I64" s="93"/>
      <c r="J64" s="90"/>
      <c r="K64" s="90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spans="1:26" ht="15.75" customHeight="1" x14ac:dyDescent="0.3">
      <c r="A65" s="64"/>
      <c r="B65" s="64"/>
      <c r="C65" s="64"/>
      <c r="D65" s="90"/>
      <c r="E65" s="91"/>
      <c r="F65" s="91"/>
      <c r="G65" s="90"/>
      <c r="H65" s="90"/>
      <c r="I65" s="93"/>
      <c r="J65" s="90"/>
      <c r="K65" s="90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spans="1:26" ht="15.75" customHeight="1" x14ac:dyDescent="0.3">
      <c r="A66" s="64"/>
      <c r="B66" s="64"/>
      <c r="C66" s="64"/>
      <c r="D66" s="90"/>
      <c r="E66" s="91"/>
      <c r="F66" s="91"/>
      <c r="G66" s="90"/>
      <c r="H66" s="90"/>
      <c r="I66" s="93"/>
      <c r="J66" s="90"/>
      <c r="K66" s="90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spans="1:26" ht="15.75" customHeight="1" x14ac:dyDescent="0.3">
      <c r="A67" s="64"/>
      <c r="B67" s="64"/>
      <c r="C67" s="64"/>
      <c r="D67" s="90"/>
      <c r="E67" s="91"/>
      <c r="F67" s="91"/>
      <c r="G67" s="90"/>
      <c r="H67" s="90"/>
      <c r="I67" s="93"/>
      <c r="J67" s="90"/>
      <c r="K67" s="90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 ht="15.75" customHeight="1" x14ac:dyDescent="0.3">
      <c r="A68" s="64"/>
      <c r="B68" s="64"/>
      <c r="C68" s="64"/>
      <c r="D68" s="90"/>
      <c r="E68" s="91"/>
      <c r="F68" s="91"/>
      <c r="G68" s="90"/>
      <c r="H68" s="90"/>
      <c r="I68" s="93"/>
      <c r="J68" s="90"/>
      <c r="K68" s="90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spans="1:26" ht="15.75" customHeight="1" x14ac:dyDescent="0.3">
      <c r="A69" s="64"/>
      <c r="B69" s="64"/>
      <c r="C69" s="64"/>
      <c r="D69" s="90"/>
      <c r="E69" s="91"/>
      <c r="F69" s="91"/>
      <c r="G69" s="90"/>
      <c r="H69" s="90"/>
      <c r="I69" s="93"/>
      <c r="J69" s="90"/>
      <c r="K69" s="90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spans="1:26" ht="15.75" customHeight="1" x14ac:dyDescent="0.3">
      <c r="A70" s="64"/>
      <c r="B70" s="64"/>
      <c r="C70" s="64"/>
      <c r="D70" s="90"/>
      <c r="E70" s="91"/>
      <c r="F70" s="91"/>
      <c r="G70" s="90"/>
      <c r="H70" s="90"/>
      <c r="I70" s="93"/>
      <c r="J70" s="90"/>
      <c r="K70" s="90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1:26" ht="15.75" customHeight="1" x14ac:dyDescent="0.3">
      <c r="A71" s="64"/>
      <c r="B71" s="64"/>
      <c r="C71" s="64"/>
      <c r="D71" s="90"/>
      <c r="E71" s="91"/>
      <c r="F71" s="91"/>
      <c r="G71" s="90"/>
      <c r="H71" s="90"/>
      <c r="I71" s="93"/>
      <c r="J71" s="90"/>
      <c r="K71" s="90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1:26" ht="15.75" customHeight="1" x14ac:dyDescent="0.3">
      <c r="A72" s="64"/>
      <c r="B72" s="64"/>
      <c r="C72" s="64"/>
      <c r="D72" s="90"/>
      <c r="E72" s="91"/>
      <c r="F72" s="91"/>
      <c r="G72" s="90"/>
      <c r="H72" s="90"/>
      <c r="I72" s="93"/>
      <c r="J72" s="90"/>
      <c r="K72" s="90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spans="1:26" ht="15.75" customHeight="1" x14ac:dyDescent="0.3">
      <c r="A73" s="64"/>
      <c r="B73" s="64"/>
      <c r="C73" s="64"/>
      <c r="D73" s="90"/>
      <c r="E73" s="91"/>
      <c r="F73" s="91"/>
      <c r="G73" s="90"/>
      <c r="H73" s="90"/>
      <c r="I73" s="93"/>
      <c r="J73" s="90"/>
      <c r="K73" s="90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spans="1:26" ht="15.75" customHeight="1" x14ac:dyDescent="0.3">
      <c r="A74" s="64"/>
      <c r="B74" s="64"/>
      <c r="C74" s="64"/>
      <c r="D74" s="90"/>
      <c r="E74" s="91"/>
      <c r="F74" s="91"/>
      <c r="G74" s="90"/>
      <c r="H74" s="90"/>
      <c r="I74" s="93"/>
      <c r="J74" s="90"/>
      <c r="K74" s="90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spans="1:26" ht="15.75" customHeight="1" x14ac:dyDescent="0.3">
      <c r="A75" s="64"/>
      <c r="B75" s="64"/>
      <c r="C75" s="64"/>
      <c r="D75" s="90"/>
      <c r="E75" s="91"/>
      <c r="F75" s="91"/>
      <c r="G75" s="90"/>
      <c r="H75" s="90"/>
      <c r="I75" s="93"/>
      <c r="J75" s="90"/>
      <c r="K75" s="90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 ht="15.75" customHeight="1" x14ac:dyDescent="0.3">
      <c r="A76" s="64"/>
      <c r="B76" s="64"/>
      <c r="C76" s="64"/>
      <c r="D76" s="90"/>
      <c r="E76" s="91"/>
      <c r="F76" s="91"/>
      <c r="G76" s="90"/>
      <c r="H76" s="90"/>
      <c r="I76" s="93"/>
      <c r="J76" s="90"/>
      <c r="K76" s="90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spans="1:26" ht="15.75" customHeight="1" x14ac:dyDescent="0.3">
      <c r="A77" s="64"/>
      <c r="B77" s="64"/>
      <c r="C77" s="64"/>
      <c r="D77" s="90"/>
      <c r="E77" s="91"/>
      <c r="F77" s="91"/>
      <c r="G77" s="90"/>
      <c r="H77" s="90"/>
      <c r="I77" s="93"/>
      <c r="J77" s="90"/>
      <c r="K77" s="90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spans="1:26" ht="15.75" customHeight="1" x14ac:dyDescent="0.3">
      <c r="A78" s="64"/>
      <c r="B78" s="64"/>
      <c r="C78" s="64"/>
      <c r="D78" s="90"/>
      <c r="E78" s="91"/>
      <c r="F78" s="91"/>
      <c r="G78" s="90"/>
      <c r="H78" s="90"/>
      <c r="I78" s="93"/>
      <c r="J78" s="90"/>
      <c r="K78" s="90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spans="1:26" ht="15.75" customHeight="1" x14ac:dyDescent="0.3">
      <c r="A79" s="64"/>
      <c r="B79" s="64"/>
      <c r="C79" s="64"/>
      <c r="D79" s="90"/>
      <c r="E79" s="91"/>
      <c r="F79" s="91"/>
      <c r="G79" s="90"/>
      <c r="H79" s="90"/>
      <c r="I79" s="93"/>
      <c r="J79" s="90"/>
      <c r="K79" s="90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6" ht="15.75" customHeight="1" x14ac:dyDescent="0.3">
      <c r="A80" s="64"/>
      <c r="B80" s="64"/>
      <c r="C80" s="64"/>
      <c r="D80" s="90"/>
      <c r="E80" s="91"/>
      <c r="F80" s="91"/>
      <c r="G80" s="90"/>
      <c r="H80" s="90"/>
      <c r="I80" s="93"/>
      <c r="J80" s="90"/>
      <c r="K80" s="90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spans="1:26" ht="15.75" customHeight="1" x14ac:dyDescent="0.3">
      <c r="A81" s="64"/>
      <c r="B81" s="64"/>
      <c r="C81" s="64"/>
      <c r="D81" s="90"/>
      <c r="E81" s="91"/>
      <c r="F81" s="91"/>
      <c r="G81" s="90"/>
      <c r="H81" s="90"/>
      <c r="I81" s="93"/>
      <c r="J81" s="90"/>
      <c r="K81" s="90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spans="1:26" ht="15.75" customHeight="1" x14ac:dyDescent="0.3">
      <c r="A82" s="64"/>
      <c r="B82" s="64"/>
      <c r="C82" s="64"/>
      <c r="D82" s="90"/>
      <c r="E82" s="91"/>
      <c r="F82" s="91"/>
      <c r="G82" s="90"/>
      <c r="H82" s="90"/>
      <c r="I82" s="93"/>
      <c r="J82" s="90"/>
      <c r="K82" s="90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spans="1:26" ht="15.75" customHeight="1" x14ac:dyDescent="0.3">
      <c r="A83" s="64"/>
      <c r="B83" s="64"/>
      <c r="C83" s="64"/>
      <c r="D83" s="90"/>
      <c r="E83" s="91"/>
      <c r="F83" s="91"/>
      <c r="G83" s="90"/>
      <c r="H83" s="90"/>
      <c r="I83" s="93"/>
      <c r="J83" s="90"/>
      <c r="K83" s="90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 ht="15.75" customHeight="1" x14ac:dyDescent="0.3">
      <c r="A84" s="64"/>
      <c r="B84" s="64"/>
      <c r="C84" s="64"/>
      <c r="D84" s="90"/>
      <c r="E84" s="91"/>
      <c r="F84" s="91"/>
      <c r="G84" s="90"/>
      <c r="H84" s="90"/>
      <c r="I84" s="93"/>
      <c r="J84" s="90"/>
      <c r="K84" s="90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spans="1:26" ht="15.75" customHeight="1" x14ac:dyDescent="0.3">
      <c r="A85" s="64"/>
      <c r="B85" s="64"/>
      <c r="C85" s="64"/>
      <c r="D85" s="90"/>
      <c r="E85" s="91"/>
      <c r="F85" s="91"/>
      <c r="G85" s="90"/>
      <c r="H85" s="90"/>
      <c r="I85" s="93"/>
      <c r="J85" s="90"/>
      <c r="K85" s="90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spans="1:26" ht="15.75" customHeight="1" x14ac:dyDescent="0.3">
      <c r="A86" s="64"/>
      <c r="B86" s="64"/>
      <c r="C86" s="64"/>
      <c r="D86" s="90"/>
      <c r="E86" s="91"/>
      <c r="F86" s="91"/>
      <c r="G86" s="90"/>
      <c r="H86" s="90"/>
      <c r="I86" s="93"/>
      <c r="J86" s="90"/>
      <c r="K86" s="90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spans="1:26" ht="15.75" customHeight="1" x14ac:dyDescent="0.3">
      <c r="A87" s="64"/>
      <c r="B87" s="64"/>
      <c r="C87" s="64"/>
      <c r="D87" s="90"/>
      <c r="E87" s="91"/>
      <c r="F87" s="91"/>
      <c r="G87" s="90"/>
      <c r="H87" s="90"/>
      <c r="I87" s="93"/>
      <c r="J87" s="90"/>
      <c r="K87" s="90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spans="1:26" ht="15.75" customHeight="1" x14ac:dyDescent="0.3">
      <c r="A88" s="64"/>
      <c r="B88" s="64"/>
      <c r="C88" s="64"/>
      <c r="D88" s="90"/>
      <c r="E88" s="91"/>
      <c r="F88" s="91"/>
      <c r="G88" s="90"/>
      <c r="H88" s="90"/>
      <c r="I88" s="93"/>
      <c r="J88" s="90"/>
      <c r="K88" s="90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spans="1:26" ht="15.75" customHeight="1" x14ac:dyDescent="0.3">
      <c r="A89" s="64"/>
      <c r="B89" s="64"/>
      <c r="C89" s="64"/>
      <c r="D89" s="90"/>
      <c r="E89" s="91"/>
      <c r="F89" s="91"/>
      <c r="G89" s="90"/>
      <c r="H89" s="90"/>
      <c r="I89" s="93"/>
      <c r="J89" s="90"/>
      <c r="K89" s="90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spans="1:26" ht="15.75" customHeight="1" x14ac:dyDescent="0.3">
      <c r="A90" s="64"/>
      <c r="B90" s="64"/>
      <c r="C90" s="64"/>
      <c r="D90" s="90"/>
      <c r="E90" s="91"/>
      <c r="F90" s="91"/>
      <c r="G90" s="90"/>
      <c r="H90" s="90"/>
      <c r="I90" s="93"/>
      <c r="J90" s="90"/>
      <c r="K90" s="90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spans="1:26" ht="15.75" customHeight="1" x14ac:dyDescent="0.3">
      <c r="A91" s="64"/>
      <c r="B91" s="64"/>
      <c r="C91" s="64"/>
      <c r="D91" s="90"/>
      <c r="E91" s="91"/>
      <c r="F91" s="91"/>
      <c r="G91" s="90"/>
      <c r="H91" s="90"/>
      <c r="I91" s="93"/>
      <c r="J91" s="90"/>
      <c r="K91" s="90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spans="1:26" ht="15.75" customHeight="1" x14ac:dyDescent="0.3">
      <c r="A92" s="64"/>
      <c r="B92" s="64"/>
      <c r="C92" s="64"/>
      <c r="D92" s="90"/>
      <c r="E92" s="91"/>
      <c r="F92" s="91"/>
      <c r="G92" s="90"/>
      <c r="H92" s="90"/>
      <c r="I92" s="93"/>
      <c r="J92" s="90"/>
      <c r="K92" s="90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spans="1:26" ht="15.75" customHeight="1" x14ac:dyDescent="0.3">
      <c r="A93" s="64"/>
      <c r="B93" s="64"/>
      <c r="C93" s="64"/>
      <c r="D93" s="90"/>
      <c r="E93" s="91"/>
      <c r="F93" s="91"/>
      <c r="G93" s="90"/>
      <c r="H93" s="90"/>
      <c r="I93" s="93"/>
      <c r="J93" s="90"/>
      <c r="K93" s="90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spans="1:26" ht="15.75" customHeight="1" x14ac:dyDescent="0.3">
      <c r="A94" s="64"/>
      <c r="B94" s="64"/>
      <c r="C94" s="64"/>
      <c r="D94" s="90"/>
      <c r="E94" s="91"/>
      <c r="F94" s="91"/>
      <c r="G94" s="90"/>
      <c r="H94" s="90"/>
      <c r="I94" s="93"/>
      <c r="J94" s="90"/>
      <c r="K94" s="90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spans="1:26" ht="15.75" customHeight="1" x14ac:dyDescent="0.3">
      <c r="A95" s="64"/>
      <c r="B95" s="64"/>
      <c r="C95" s="64"/>
      <c r="D95" s="90"/>
      <c r="E95" s="91"/>
      <c r="F95" s="91"/>
      <c r="G95" s="90"/>
      <c r="H95" s="90"/>
      <c r="I95" s="93"/>
      <c r="J95" s="90"/>
      <c r="K95" s="90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spans="1:26" ht="15.75" customHeight="1" x14ac:dyDescent="0.3">
      <c r="A96" s="64"/>
      <c r="B96" s="64"/>
      <c r="C96" s="64"/>
      <c r="D96" s="90"/>
      <c r="E96" s="91"/>
      <c r="F96" s="91"/>
      <c r="G96" s="90"/>
      <c r="H96" s="90"/>
      <c r="I96" s="93"/>
      <c r="J96" s="90"/>
      <c r="K96" s="90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spans="1:26" ht="15.75" customHeight="1" x14ac:dyDescent="0.3">
      <c r="A97" s="64"/>
      <c r="B97" s="64"/>
      <c r="C97" s="64"/>
      <c r="D97" s="90"/>
      <c r="E97" s="91"/>
      <c r="F97" s="91"/>
      <c r="G97" s="90"/>
      <c r="H97" s="90"/>
      <c r="I97" s="93"/>
      <c r="J97" s="90"/>
      <c r="K97" s="90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spans="1:26" ht="15.75" customHeight="1" x14ac:dyDescent="0.3">
      <c r="A98" s="64"/>
      <c r="B98" s="64"/>
      <c r="C98" s="64"/>
      <c r="D98" s="90"/>
      <c r="E98" s="91"/>
      <c r="F98" s="91"/>
      <c r="G98" s="90"/>
      <c r="H98" s="90"/>
      <c r="I98" s="93"/>
      <c r="J98" s="90"/>
      <c r="K98" s="90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spans="1:26" ht="15.75" customHeight="1" x14ac:dyDescent="0.3">
      <c r="A99" s="64"/>
      <c r="B99" s="64"/>
      <c r="C99" s="64"/>
      <c r="D99" s="90"/>
      <c r="E99" s="91"/>
      <c r="F99" s="91"/>
      <c r="G99" s="90"/>
      <c r="H99" s="90"/>
      <c r="I99" s="93"/>
      <c r="J99" s="90"/>
      <c r="K99" s="90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spans="1:26" ht="15.75" customHeight="1" x14ac:dyDescent="0.3">
      <c r="A100" s="64"/>
      <c r="B100" s="64"/>
      <c r="C100" s="64"/>
      <c r="D100" s="90"/>
      <c r="E100" s="91"/>
      <c r="F100" s="91"/>
      <c r="G100" s="90"/>
      <c r="H100" s="90"/>
      <c r="I100" s="93"/>
      <c r="J100" s="90"/>
      <c r="K100" s="90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spans="1:26" ht="15.75" customHeight="1" x14ac:dyDescent="0.3">
      <c r="A101" s="64"/>
      <c r="B101" s="64"/>
      <c r="C101" s="64"/>
      <c r="D101" s="90"/>
      <c r="E101" s="91"/>
      <c r="F101" s="91"/>
      <c r="G101" s="90"/>
      <c r="H101" s="90"/>
      <c r="I101" s="93"/>
      <c r="J101" s="90"/>
      <c r="K101" s="90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spans="1:26" ht="15.75" customHeight="1" x14ac:dyDescent="0.3">
      <c r="A102" s="64"/>
      <c r="B102" s="64"/>
      <c r="C102" s="64"/>
      <c r="D102" s="90"/>
      <c r="E102" s="91"/>
      <c r="F102" s="91"/>
      <c r="G102" s="90"/>
      <c r="H102" s="90"/>
      <c r="I102" s="93"/>
      <c r="J102" s="90"/>
      <c r="K102" s="90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spans="1:26" ht="15.75" customHeight="1" x14ac:dyDescent="0.3">
      <c r="A103" s="64"/>
      <c r="B103" s="64"/>
      <c r="C103" s="64"/>
      <c r="D103" s="90"/>
      <c r="E103" s="91"/>
      <c r="F103" s="91"/>
      <c r="G103" s="90"/>
      <c r="H103" s="90"/>
      <c r="I103" s="93"/>
      <c r="J103" s="90"/>
      <c r="K103" s="90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spans="1:26" ht="15.75" customHeight="1" x14ac:dyDescent="0.3">
      <c r="A104" s="64"/>
      <c r="B104" s="64"/>
      <c r="C104" s="64"/>
      <c r="D104" s="90"/>
      <c r="E104" s="91"/>
      <c r="F104" s="91"/>
      <c r="G104" s="90"/>
      <c r="H104" s="90"/>
      <c r="I104" s="93"/>
      <c r="J104" s="90"/>
      <c r="K104" s="90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spans="1:26" ht="15.75" customHeight="1" x14ac:dyDescent="0.3">
      <c r="A105" s="64"/>
      <c r="B105" s="64"/>
      <c r="C105" s="64"/>
      <c r="D105" s="90"/>
      <c r="E105" s="91"/>
      <c r="F105" s="91"/>
      <c r="G105" s="90"/>
      <c r="H105" s="90"/>
      <c r="I105" s="93"/>
      <c r="J105" s="90"/>
      <c r="K105" s="90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spans="1:26" ht="15.75" customHeight="1" x14ac:dyDescent="0.3">
      <c r="A106" s="64"/>
      <c r="B106" s="64"/>
      <c r="C106" s="64"/>
      <c r="D106" s="90"/>
      <c r="E106" s="91"/>
      <c r="F106" s="91"/>
      <c r="G106" s="90"/>
      <c r="H106" s="90"/>
      <c r="I106" s="93"/>
      <c r="J106" s="90"/>
      <c r="K106" s="90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spans="1:26" ht="15.75" customHeight="1" x14ac:dyDescent="0.3">
      <c r="A107" s="64"/>
      <c r="B107" s="64"/>
      <c r="C107" s="64"/>
      <c r="D107" s="90"/>
      <c r="E107" s="91"/>
      <c r="F107" s="91"/>
      <c r="G107" s="90"/>
      <c r="H107" s="90"/>
      <c r="I107" s="93"/>
      <c r="J107" s="90"/>
      <c r="K107" s="90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spans="1:26" ht="15.75" customHeight="1" x14ac:dyDescent="0.3">
      <c r="A108" s="64"/>
      <c r="B108" s="64"/>
      <c r="C108" s="64"/>
      <c r="D108" s="90"/>
      <c r="E108" s="91"/>
      <c r="F108" s="91"/>
      <c r="G108" s="90"/>
      <c r="H108" s="90"/>
      <c r="I108" s="93"/>
      <c r="J108" s="90"/>
      <c r="K108" s="90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spans="1:26" ht="15.75" customHeight="1" x14ac:dyDescent="0.3">
      <c r="A109" s="64"/>
      <c r="B109" s="64"/>
      <c r="C109" s="64"/>
      <c r="D109" s="90"/>
      <c r="E109" s="91"/>
      <c r="F109" s="91"/>
      <c r="G109" s="90"/>
      <c r="H109" s="90"/>
      <c r="I109" s="93"/>
      <c r="J109" s="90"/>
      <c r="K109" s="90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spans="1:26" ht="15.75" customHeight="1" x14ac:dyDescent="0.3">
      <c r="A110" s="64"/>
      <c r="B110" s="64"/>
      <c r="C110" s="64"/>
      <c r="D110" s="90"/>
      <c r="E110" s="91"/>
      <c r="F110" s="91"/>
      <c r="G110" s="90"/>
      <c r="H110" s="90"/>
      <c r="I110" s="93"/>
      <c r="J110" s="90"/>
      <c r="K110" s="90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spans="1:26" ht="15.75" customHeight="1" x14ac:dyDescent="0.3">
      <c r="A111" s="64"/>
      <c r="B111" s="64"/>
      <c r="C111" s="64"/>
      <c r="D111" s="90"/>
      <c r="E111" s="91"/>
      <c r="F111" s="91"/>
      <c r="G111" s="90"/>
      <c r="H111" s="90"/>
      <c r="I111" s="93"/>
      <c r="J111" s="90"/>
      <c r="K111" s="90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spans="1:26" ht="15.75" customHeight="1" x14ac:dyDescent="0.3">
      <c r="A112" s="64"/>
      <c r="B112" s="64"/>
      <c r="C112" s="64"/>
      <c r="D112" s="90"/>
      <c r="E112" s="91"/>
      <c r="F112" s="91"/>
      <c r="G112" s="90"/>
      <c r="H112" s="90"/>
      <c r="I112" s="93"/>
      <c r="J112" s="90"/>
      <c r="K112" s="90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spans="1:26" ht="15.75" customHeight="1" x14ac:dyDescent="0.3">
      <c r="A113" s="64"/>
      <c r="B113" s="64"/>
      <c r="C113" s="64"/>
      <c r="D113" s="90"/>
      <c r="E113" s="91"/>
      <c r="F113" s="91"/>
      <c r="G113" s="90"/>
      <c r="H113" s="90"/>
      <c r="I113" s="93"/>
      <c r="J113" s="90"/>
      <c r="K113" s="90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spans="1:26" ht="15.75" customHeight="1" x14ac:dyDescent="0.3">
      <c r="A114" s="64"/>
      <c r="B114" s="64"/>
      <c r="C114" s="64"/>
      <c r="D114" s="90"/>
      <c r="E114" s="91"/>
      <c r="F114" s="91"/>
      <c r="G114" s="90"/>
      <c r="H114" s="90"/>
      <c r="I114" s="93"/>
      <c r="J114" s="90"/>
      <c r="K114" s="90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spans="1:26" ht="15.75" customHeight="1" x14ac:dyDescent="0.3">
      <c r="A115" s="64"/>
      <c r="B115" s="64"/>
      <c r="C115" s="64"/>
      <c r="D115" s="90"/>
      <c r="E115" s="91"/>
      <c r="F115" s="91"/>
      <c r="G115" s="90"/>
      <c r="H115" s="90"/>
      <c r="I115" s="93"/>
      <c r="J115" s="90"/>
      <c r="K115" s="90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 ht="15.75" customHeight="1" x14ac:dyDescent="0.3">
      <c r="A116" s="64"/>
      <c r="B116" s="64"/>
      <c r="C116" s="64"/>
      <c r="D116" s="90"/>
      <c r="E116" s="91"/>
      <c r="F116" s="91"/>
      <c r="G116" s="90"/>
      <c r="H116" s="90"/>
      <c r="I116" s="93"/>
      <c r="J116" s="90"/>
      <c r="K116" s="90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spans="1:26" ht="15.75" customHeight="1" x14ac:dyDescent="0.3">
      <c r="A117" s="64"/>
      <c r="B117" s="64"/>
      <c r="C117" s="64"/>
      <c r="D117" s="90"/>
      <c r="E117" s="91"/>
      <c r="F117" s="91"/>
      <c r="G117" s="90"/>
      <c r="H117" s="90"/>
      <c r="I117" s="93"/>
      <c r="J117" s="90"/>
      <c r="K117" s="90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spans="1:26" ht="15.75" customHeight="1" x14ac:dyDescent="0.3">
      <c r="A118" s="64"/>
      <c r="B118" s="64"/>
      <c r="C118" s="64"/>
      <c r="D118" s="90"/>
      <c r="E118" s="91"/>
      <c r="F118" s="91"/>
      <c r="G118" s="90"/>
      <c r="H118" s="90"/>
      <c r="I118" s="93"/>
      <c r="J118" s="90"/>
      <c r="K118" s="90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spans="1:26" ht="15.75" customHeight="1" x14ac:dyDescent="0.3">
      <c r="A119" s="64"/>
      <c r="B119" s="64"/>
      <c r="C119" s="64"/>
      <c r="D119" s="90"/>
      <c r="E119" s="91"/>
      <c r="F119" s="91"/>
      <c r="G119" s="90"/>
      <c r="H119" s="90"/>
      <c r="I119" s="93"/>
      <c r="J119" s="90"/>
      <c r="K119" s="90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spans="1:26" ht="15.75" customHeight="1" x14ac:dyDescent="0.3">
      <c r="A120" s="64"/>
      <c r="B120" s="64"/>
      <c r="C120" s="64"/>
      <c r="D120" s="90"/>
      <c r="E120" s="91"/>
      <c r="F120" s="91"/>
      <c r="G120" s="90"/>
      <c r="H120" s="90"/>
      <c r="I120" s="93"/>
      <c r="J120" s="90"/>
      <c r="K120" s="90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spans="1:26" ht="15.75" customHeight="1" x14ac:dyDescent="0.3">
      <c r="A121" s="64"/>
      <c r="B121" s="64"/>
      <c r="C121" s="64"/>
      <c r="D121" s="90"/>
      <c r="E121" s="91"/>
      <c r="F121" s="91"/>
      <c r="G121" s="90"/>
      <c r="H121" s="90"/>
      <c r="I121" s="93"/>
      <c r="J121" s="90"/>
      <c r="K121" s="90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spans="1:26" ht="15.75" customHeight="1" x14ac:dyDescent="0.3">
      <c r="A122" s="64"/>
      <c r="B122" s="64"/>
      <c r="C122" s="64"/>
      <c r="D122" s="90"/>
      <c r="E122" s="91"/>
      <c r="F122" s="91"/>
      <c r="G122" s="90"/>
      <c r="H122" s="90"/>
      <c r="I122" s="93"/>
      <c r="J122" s="90"/>
      <c r="K122" s="90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spans="1:26" ht="15.75" customHeight="1" x14ac:dyDescent="0.3">
      <c r="A123" s="64"/>
      <c r="B123" s="64"/>
      <c r="C123" s="64"/>
      <c r="D123" s="90"/>
      <c r="E123" s="91"/>
      <c r="F123" s="91"/>
      <c r="G123" s="90"/>
      <c r="H123" s="90"/>
      <c r="I123" s="93"/>
      <c r="J123" s="90"/>
      <c r="K123" s="90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 ht="15.75" customHeight="1" x14ac:dyDescent="0.3">
      <c r="A124" s="64"/>
      <c r="B124" s="64"/>
      <c r="C124" s="64"/>
      <c r="D124" s="90"/>
      <c r="E124" s="91"/>
      <c r="F124" s="91"/>
      <c r="G124" s="90"/>
      <c r="H124" s="90"/>
      <c r="I124" s="93"/>
      <c r="J124" s="90"/>
      <c r="K124" s="90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spans="1:26" ht="15.75" customHeight="1" x14ac:dyDescent="0.3">
      <c r="A125" s="64"/>
      <c r="B125" s="64"/>
      <c r="C125" s="64"/>
      <c r="D125" s="90"/>
      <c r="E125" s="91"/>
      <c r="F125" s="91"/>
      <c r="G125" s="90"/>
      <c r="H125" s="90"/>
      <c r="I125" s="93"/>
      <c r="J125" s="90"/>
      <c r="K125" s="90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spans="1:26" ht="15.75" customHeight="1" x14ac:dyDescent="0.3">
      <c r="A126" s="64"/>
      <c r="B126" s="64"/>
      <c r="C126" s="64"/>
      <c r="D126" s="90"/>
      <c r="E126" s="91"/>
      <c r="F126" s="91"/>
      <c r="G126" s="90"/>
      <c r="H126" s="90"/>
      <c r="I126" s="93"/>
      <c r="J126" s="90"/>
      <c r="K126" s="90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spans="1:26" ht="15.75" customHeight="1" x14ac:dyDescent="0.3">
      <c r="A127" s="64"/>
      <c r="B127" s="64"/>
      <c r="C127" s="64"/>
      <c r="D127" s="90"/>
      <c r="E127" s="91"/>
      <c r="F127" s="91"/>
      <c r="G127" s="90"/>
      <c r="H127" s="90"/>
      <c r="I127" s="93"/>
      <c r="J127" s="90"/>
      <c r="K127" s="90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spans="1:26" ht="15.75" customHeight="1" x14ac:dyDescent="0.3">
      <c r="A128" s="64"/>
      <c r="B128" s="64"/>
      <c r="C128" s="64"/>
      <c r="D128" s="90"/>
      <c r="E128" s="91"/>
      <c r="F128" s="91"/>
      <c r="G128" s="90"/>
      <c r="H128" s="90"/>
      <c r="I128" s="93"/>
      <c r="J128" s="90"/>
      <c r="K128" s="90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spans="1:26" ht="15.75" customHeight="1" x14ac:dyDescent="0.3">
      <c r="A129" s="64"/>
      <c r="B129" s="64"/>
      <c r="C129" s="64"/>
      <c r="D129" s="90"/>
      <c r="E129" s="91"/>
      <c r="F129" s="91"/>
      <c r="G129" s="90"/>
      <c r="H129" s="90"/>
      <c r="I129" s="93"/>
      <c r="J129" s="90"/>
      <c r="K129" s="90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spans="1:26" ht="15.75" customHeight="1" x14ac:dyDescent="0.3">
      <c r="A130" s="64"/>
      <c r="B130" s="64"/>
      <c r="C130" s="64"/>
      <c r="D130" s="90"/>
      <c r="E130" s="91"/>
      <c r="F130" s="91"/>
      <c r="G130" s="90"/>
      <c r="H130" s="90"/>
      <c r="I130" s="93"/>
      <c r="J130" s="90"/>
      <c r="K130" s="90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spans="1:26" ht="15.75" customHeight="1" x14ac:dyDescent="0.3">
      <c r="A131" s="64"/>
      <c r="B131" s="64"/>
      <c r="C131" s="64"/>
      <c r="D131" s="90"/>
      <c r="E131" s="91"/>
      <c r="F131" s="91"/>
      <c r="G131" s="90"/>
      <c r="H131" s="90"/>
      <c r="I131" s="93"/>
      <c r="J131" s="90"/>
      <c r="K131" s="90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 ht="15.75" customHeight="1" x14ac:dyDescent="0.3">
      <c r="A132" s="64"/>
      <c r="B132" s="64"/>
      <c r="C132" s="64"/>
      <c r="D132" s="90"/>
      <c r="E132" s="91"/>
      <c r="F132" s="91"/>
      <c r="G132" s="90"/>
      <c r="H132" s="90"/>
      <c r="I132" s="93"/>
      <c r="J132" s="90"/>
      <c r="K132" s="90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spans="1:26" ht="15.75" customHeight="1" x14ac:dyDescent="0.3">
      <c r="A133" s="64"/>
      <c r="B133" s="64"/>
      <c r="C133" s="64"/>
      <c r="D133" s="90"/>
      <c r="E133" s="91"/>
      <c r="F133" s="91"/>
      <c r="G133" s="90"/>
      <c r="H133" s="90"/>
      <c r="I133" s="93"/>
      <c r="J133" s="90"/>
      <c r="K133" s="90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spans="1:26" ht="15.75" customHeight="1" x14ac:dyDescent="0.3">
      <c r="A134" s="64"/>
      <c r="B134" s="64"/>
      <c r="C134" s="64"/>
      <c r="D134" s="90"/>
      <c r="E134" s="91"/>
      <c r="F134" s="91"/>
      <c r="G134" s="90"/>
      <c r="H134" s="90"/>
      <c r="I134" s="93"/>
      <c r="J134" s="90"/>
      <c r="K134" s="90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spans="1:26" ht="15.75" customHeight="1" x14ac:dyDescent="0.3">
      <c r="A135" s="64"/>
      <c r="B135" s="64"/>
      <c r="C135" s="64"/>
      <c r="D135" s="90"/>
      <c r="E135" s="91"/>
      <c r="F135" s="91"/>
      <c r="G135" s="90"/>
      <c r="H135" s="90"/>
      <c r="I135" s="93"/>
      <c r="J135" s="90"/>
      <c r="K135" s="90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spans="1:26" ht="15.75" customHeight="1" x14ac:dyDescent="0.3">
      <c r="A136" s="64"/>
      <c r="B136" s="64"/>
      <c r="C136" s="64"/>
      <c r="D136" s="90"/>
      <c r="E136" s="91"/>
      <c r="F136" s="91"/>
      <c r="G136" s="90"/>
      <c r="H136" s="90"/>
      <c r="I136" s="93"/>
      <c r="J136" s="90"/>
      <c r="K136" s="90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spans="1:26" ht="15.75" customHeight="1" x14ac:dyDescent="0.3">
      <c r="A137" s="64"/>
      <c r="B137" s="64"/>
      <c r="C137" s="64"/>
      <c r="D137" s="90"/>
      <c r="E137" s="91"/>
      <c r="F137" s="91"/>
      <c r="G137" s="90"/>
      <c r="H137" s="90"/>
      <c r="I137" s="93"/>
      <c r="J137" s="90"/>
      <c r="K137" s="90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spans="1:26" ht="15.75" customHeight="1" x14ac:dyDescent="0.3">
      <c r="A138" s="64"/>
      <c r="B138" s="64"/>
      <c r="C138" s="64"/>
      <c r="D138" s="90"/>
      <c r="E138" s="91"/>
      <c r="F138" s="91"/>
      <c r="G138" s="90"/>
      <c r="H138" s="90"/>
      <c r="I138" s="93"/>
      <c r="J138" s="90"/>
      <c r="K138" s="90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spans="1:26" ht="15.75" customHeight="1" x14ac:dyDescent="0.3">
      <c r="A139" s="64"/>
      <c r="B139" s="64"/>
      <c r="C139" s="64"/>
      <c r="D139" s="90"/>
      <c r="E139" s="91"/>
      <c r="F139" s="91"/>
      <c r="G139" s="90"/>
      <c r="H139" s="90"/>
      <c r="I139" s="93"/>
      <c r="J139" s="90"/>
      <c r="K139" s="90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5.75" customHeight="1" x14ac:dyDescent="0.3">
      <c r="A140" s="64"/>
      <c r="B140" s="64"/>
      <c r="C140" s="64"/>
      <c r="D140" s="90"/>
      <c r="E140" s="91"/>
      <c r="F140" s="91"/>
      <c r="G140" s="90"/>
      <c r="H140" s="90"/>
      <c r="I140" s="93"/>
      <c r="J140" s="90"/>
      <c r="K140" s="90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spans="1:26" ht="15.75" customHeight="1" x14ac:dyDescent="0.3">
      <c r="A141" s="64"/>
      <c r="B141" s="64"/>
      <c r="C141" s="64"/>
      <c r="D141" s="90"/>
      <c r="E141" s="91"/>
      <c r="F141" s="91"/>
      <c r="G141" s="90"/>
      <c r="H141" s="90"/>
      <c r="I141" s="93"/>
      <c r="J141" s="90"/>
      <c r="K141" s="90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spans="1:26" ht="15.75" customHeight="1" x14ac:dyDescent="0.3">
      <c r="A142" s="64"/>
      <c r="B142" s="64"/>
      <c r="C142" s="64"/>
      <c r="D142" s="90"/>
      <c r="E142" s="91"/>
      <c r="F142" s="91"/>
      <c r="G142" s="90"/>
      <c r="H142" s="90"/>
      <c r="I142" s="93"/>
      <c r="J142" s="90"/>
      <c r="K142" s="90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spans="1:26" ht="15.75" customHeight="1" x14ac:dyDescent="0.3">
      <c r="A143" s="64"/>
      <c r="B143" s="64"/>
      <c r="C143" s="64"/>
      <c r="D143" s="90"/>
      <c r="E143" s="91"/>
      <c r="F143" s="91"/>
      <c r="G143" s="90"/>
      <c r="H143" s="90"/>
      <c r="I143" s="93"/>
      <c r="J143" s="90"/>
      <c r="K143" s="90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spans="1:26" ht="15.75" customHeight="1" x14ac:dyDescent="0.3">
      <c r="A144" s="64"/>
      <c r="B144" s="64"/>
      <c r="C144" s="64"/>
      <c r="D144" s="90"/>
      <c r="E144" s="91"/>
      <c r="F144" s="91"/>
      <c r="G144" s="90"/>
      <c r="H144" s="90"/>
      <c r="I144" s="93"/>
      <c r="J144" s="90"/>
      <c r="K144" s="90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spans="1:26" ht="15.75" customHeight="1" x14ac:dyDescent="0.3">
      <c r="A145" s="64"/>
      <c r="B145" s="64"/>
      <c r="C145" s="64"/>
      <c r="D145" s="90"/>
      <c r="E145" s="91"/>
      <c r="F145" s="91"/>
      <c r="G145" s="90"/>
      <c r="H145" s="90"/>
      <c r="I145" s="93"/>
      <c r="J145" s="90"/>
      <c r="K145" s="90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spans="1:26" ht="15.75" customHeight="1" x14ac:dyDescent="0.3">
      <c r="A146" s="64"/>
      <c r="B146" s="64"/>
      <c r="C146" s="64"/>
      <c r="D146" s="90"/>
      <c r="E146" s="91"/>
      <c r="F146" s="91"/>
      <c r="G146" s="90"/>
      <c r="H146" s="90"/>
      <c r="I146" s="93"/>
      <c r="J146" s="90"/>
      <c r="K146" s="90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spans="1:26" ht="15.75" customHeight="1" x14ac:dyDescent="0.3">
      <c r="A147" s="64"/>
      <c r="B147" s="64"/>
      <c r="C147" s="64"/>
      <c r="D147" s="90"/>
      <c r="E147" s="91"/>
      <c r="F147" s="91"/>
      <c r="G147" s="90"/>
      <c r="H147" s="90"/>
      <c r="I147" s="93"/>
      <c r="J147" s="90"/>
      <c r="K147" s="90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5.75" customHeight="1" x14ac:dyDescent="0.3">
      <c r="A148" s="64"/>
      <c r="B148" s="64"/>
      <c r="C148" s="64"/>
      <c r="D148" s="90"/>
      <c r="E148" s="91"/>
      <c r="F148" s="91"/>
      <c r="G148" s="90"/>
      <c r="H148" s="90"/>
      <c r="I148" s="93"/>
      <c r="J148" s="90"/>
      <c r="K148" s="90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spans="1:26" ht="15.75" customHeight="1" x14ac:dyDescent="0.3">
      <c r="A149" s="64"/>
      <c r="B149" s="64"/>
      <c r="C149" s="64"/>
      <c r="D149" s="90"/>
      <c r="E149" s="91"/>
      <c r="F149" s="91"/>
      <c r="G149" s="90"/>
      <c r="H149" s="90"/>
      <c r="I149" s="93"/>
      <c r="J149" s="90"/>
      <c r="K149" s="90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spans="1:26" ht="15.75" customHeight="1" x14ac:dyDescent="0.3">
      <c r="A150" s="64"/>
      <c r="B150" s="64"/>
      <c r="C150" s="64"/>
      <c r="D150" s="90"/>
      <c r="E150" s="91"/>
      <c r="F150" s="91"/>
      <c r="G150" s="90"/>
      <c r="H150" s="90"/>
      <c r="I150" s="93"/>
      <c r="J150" s="90"/>
      <c r="K150" s="90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spans="1:26" ht="15.75" customHeight="1" x14ac:dyDescent="0.3">
      <c r="A151" s="64"/>
      <c r="B151" s="64"/>
      <c r="C151" s="64"/>
      <c r="D151" s="90"/>
      <c r="E151" s="91"/>
      <c r="F151" s="91"/>
      <c r="G151" s="90"/>
      <c r="H151" s="90"/>
      <c r="I151" s="93"/>
      <c r="J151" s="90"/>
      <c r="K151" s="90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spans="1:26" ht="15.75" customHeight="1" x14ac:dyDescent="0.3">
      <c r="A152" s="64"/>
      <c r="B152" s="64"/>
      <c r="C152" s="64"/>
      <c r="D152" s="90"/>
      <c r="E152" s="91"/>
      <c r="F152" s="91"/>
      <c r="G152" s="90"/>
      <c r="H152" s="90"/>
      <c r="I152" s="93"/>
      <c r="J152" s="90"/>
      <c r="K152" s="90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spans="1:26" ht="15.75" customHeight="1" x14ac:dyDescent="0.3">
      <c r="A153" s="64"/>
      <c r="B153" s="64"/>
      <c r="C153" s="64"/>
      <c r="D153" s="90"/>
      <c r="E153" s="91"/>
      <c r="F153" s="91"/>
      <c r="G153" s="90"/>
      <c r="H153" s="90"/>
      <c r="I153" s="93"/>
      <c r="J153" s="90"/>
      <c r="K153" s="90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spans="1:26" ht="15.75" customHeight="1" x14ac:dyDescent="0.3">
      <c r="A154" s="64"/>
      <c r="B154" s="64"/>
      <c r="C154" s="64"/>
      <c r="D154" s="90"/>
      <c r="E154" s="91"/>
      <c r="F154" s="91"/>
      <c r="G154" s="90"/>
      <c r="H154" s="90"/>
      <c r="I154" s="93"/>
      <c r="J154" s="90"/>
      <c r="K154" s="90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spans="1:26" ht="15.75" customHeight="1" x14ac:dyDescent="0.3">
      <c r="A155" s="64"/>
      <c r="B155" s="64"/>
      <c r="C155" s="64"/>
      <c r="D155" s="90"/>
      <c r="E155" s="91"/>
      <c r="F155" s="91"/>
      <c r="G155" s="90"/>
      <c r="H155" s="90"/>
      <c r="I155" s="93"/>
      <c r="J155" s="90"/>
      <c r="K155" s="90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ht="15.75" customHeight="1" x14ac:dyDescent="0.3">
      <c r="A156" s="64"/>
      <c r="B156" s="64"/>
      <c r="C156" s="64"/>
      <c r="D156" s="90"/>
      <c r="E156" s="91"/>
      <c r="F156" s="91"/>
      <c r="G156" s="90"/>
      <c r="H156" s="90"/>
      <c r="I156" s="93"/>
      <c r="J156" s="90"/>
      <c r="K156" s="90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spans="1:26" ht="15.75" customHeight="1" x14ac:dyDescent="0.3">
      <c r="A157" s="64"/>
      <c r="B157" s="64"/>
      <c r="C157" s="64"/>
      <c r="D157" s="90"/>
      <c r="E157" s="91"/>
      <c r="F157" s="91"/>
      <c r="G157" s="90"/>
      <c r="H157" s="90"/>
      <c r="I157" s="93"/>
      <c r="J157" s="90"/>
      <c r="K157" s="90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spans="1:26" ht="15.75" customHeight="1" x14ac:dyDescent="0.3">
      <c r="A158" s="64"/>
      <c r="B158" s="64"/>
      <c r="C158" s="64"/>
      <c r="D158" s="90"/>
      <c r="E158" s="91"/>
      <c r="F158" s="91"/>
      <c r="G158" s="90"/>
      <c r="H158" s="90"/>
      <c r="I158" s="93"/>
      <c r="J158" s="90"/>
      <c r="K158" s="90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spans="1:26" ht="15.75" customHeight="1" x14ac:dyDescent="0.3">
      <c r="A159" s="64"/>
      <c r="B159" s="64"/>
      <c r="C159" s="64"/>
      <c r="D159" s="90"/>
      <c r="E159" s="91"/>
      <c r="F159" s="91"/>
      <c r="G159" s="90"/>
      <c r="H159" s="90"/>
      <c r="I159" s="93"/>
      <c r="J159" s="90"/>
      <c r="K159" s="90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spans="1:26" ht="15.75" customHeight="1" x14ac:dyDescent="0.3">
      <c r="A160" s="64"/>
      <c r="B160" s="64"/>
      <c r="C160" s="64"/>
      <c r="D160" s="90"/>
      <c r="E160" s="91"/>
      <c r="F160" s="91"/>
      <c r="G160" s="90"/>
      <c r="H160" s="90"/>
      <c r="I160" s="93"/>
      <c r="J160" s="90"/>
      <c r="K160" s="90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spans="1:26" ht="15.75" customHeight="1" x14ac:dyDescent="0.3">
      <c r="A161" s="64"/>
      <c r="B161" s="64"/>
      <c r="C161" s="64"/>
      <c r="D161" s="90"/>
      <c r="E161" s="91"/>
      <c r="F161" s="91"/>
      <c r="G161" s="90"/>
      <c r="H161" s="90"/>
      <c r="I161" s="93"/>
      <c r="J161" s="90"/>
      <c r="K161" s="90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spans="1:26" ht="15.75" customHeight="1" x14ac:dyDescent="0.3">
      <c r="A162" s="64"/>
      <c r="B162" s="64"/>
      <c r="C162" s="64"/>
      <c r="D162" s="90"/>
      <c r="E162" s="91"/>
      <c r="F162" s="91"/>
      <c r="G162" s="90"/>
      <c r="H162" s="90"/>
      <c r="I162" s="93"/>
      <c r="J162" s="90"/>
      <c r="K162" s="90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spans="1:26" ht="15.75" customHeight="1" x14ac:dyDescent="0.3">
      <c r="A163" s="64"/>
      <c r="B163" s="64"/>
      <c r="C163" s="64"/>
      <c r="D163" s="90"/>
      <c r="E163" s="91"/>
      <c r="F163" s="91"/>
      <c r="G163" s="90"/>
      <c r="H163" s="90"/>
      <c r="I163" s="93"/>
      <c r="J163" s="90"/>
      <c r="K163" s="90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 ht="15.75" customHeight="1" x14ac:dyDescent="0.3">
      <c r="A164" s="64"/>
      <c r="B164" s="64"/>
      <c r="C164" s="64"/>
      <c r="D164" s="90"/>
      <c r="E164" s="91"/>
      <c r="F164" s="91"/>
      <c r="G164" s="90"/>
      <c r="H164" s="90"/>
      <c r="I164" s="93"/>
      <c r="J164" s="90"/>
      <c r="K164" s="90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spans="1:26" ht="15.75" customHeight="1" x14ac:dyDescent="0.3">
      <c r="A165" s="64"/>
      <c r="B165" s="64"/>
      <c r="C165" s="64"/>
      <c r="D165" s="90"/>
      <c r="E165" s="91"/>
      <c r="F165" s="91"/>
      <c r="G165" s="90"/>
      <c r="H165" s="90"/>
      <c r="I165" s="93"/>
      <c r="J165" s="90"/>
      <c r="K165" s="90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spans="1:26" ht="15.75" customHeight="1" x14ac:dyDescent="0.3">
      <c r="A166" s="64"/>
      <c r="B166" s="64"/>
      <c r="C166" s="64"/>
      <c r="D166" s="90"/>
      <c r="E166" s="91"/>
      <c r="F166" s="91"/>
      <c r="G166" s="90"/>
      <c r="H166" s="90"/>
      <c r="I166" s="93"/>
      <c r="J166" s="90"/>
      <c r="K166" s="90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spans="1:26" ht="15.75" customHeight="1" x14ac:dyDescent="0.3">
      <c r="A167" s="64"/>
      <c r="B167" s="64"/>
      <c r="C167" s="64"/>
      <c r="D167" s="90"/>
      <c r="E167" s="91"/>
      <c r="F167" s="91"/>
      <c r="G167" s="90"/>
      <c r="H167" s="90"/>
      <c r="I167" s="93"/>
      <c r="J167" s="90"/>
      <c r="K167" s="90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spans="1:26" ht="15.75" customHeight="1" x14ac:dyDescent="0.3">
      <c r="A168" s="64"/>
      <c r="B168" s="64"/>
      <c r="C168" s="64"/>
      <c r="D168" s="90"/>
      <c r="E168" s="91"/>
      <c r="F168" s="91"/>
      <c r="G168" s="90"/>
      <c r="H168" s="90"/>
      <c r="I168" s="93"/>
      <c r="J168" s="90"/>
      <c r="K168" s="90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spans="1:26" ht="15.75" customHeight="1" x14ac:dyDescent="0.3">
      <c r="A169" s="64"/>
      <c r="B169" s="64"/>
      <c r="C169" s="64"/>
      <c r="D169" s="90"/>
      <c r="E169" s="91"/>
      <c r="F169" s="91"/>
      <c r="G169" s="90"/>
      <c r="H169" s="90"/>
      <c r="I169" s="93"/>
      <c r="J169" s="90"/>
      <c r="K169" s="90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spans="1:26" ht="15.75" customHeight="1" x14ac:dyDescent="0.3">
      <c r="A170" s="64"/>
      <c r="B170" s="64"/>
      <c r="C170" s="64"/>
      <c r="D170" s="90"/>
      <c r="E170" s="91"/>
      <c r="F170" s="91"/>
      <c r="G170" s="90"/>
      <c r="H170" s="90"/>
      <c r="I170" s="93"/>
      <c r="J170" s="90"/>
      <c r="K170" s="90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spans="1:26" ht="15.75" customHeight="1" x14ac:dyDescent="0.3">
      <c r="A171" s="64"/>
      <c r="B171" s="64"/>
      <c r="C171" s="64"/>
      <c r="D171" s="90"/>
      <c r="E171" s="91"/>
      <c r="F171" s="91"/>
      <c r="G171" s="90"/>
      <c r="H171" s="90"/>
      <c r="I171" s="93"/>
      <c r="J171" s="90"/>
      <c r="K171" s="90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 ht="15.75" customHeight="1" x14ac:dyDescent="0.3">
      <c r="A172" s="64"/>
      <c r="B172" s="64"/>
      <c r="C172" s="64"/>
      <c r="D172" s="90"/>
      <c r="E172" s="91"/>
      <c r="F172" s="91"/>
      <c r="G172" s="90"/>
      <c r="H172" s="90"/>
      <c r="I172" s="93"/>
      <c r="J172" s="90"/>
      <c r="K172" s="90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spans="1:26" ht="15.75" customHeight="1" x14ac:dyDescent="0.3">
      <c r="A173" s="64"/>
      <c r="B173" s="64"/>
      <c r="C173" s="64"/>
      <c r="D173" s="90"/>
      <c r="E173" s="91"/>
      <c r="F173" s="91"/>
      <c r="G173" s="90"/>
      <c r="H173" s="90"/>
      <c r="I173" s="93"/>
      <c r="J173" s="90"/>
      <c r="K173" s="90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spans="1:26" ht="15.75" customHeight="1" x14ac:dyDescent="0.3">
      <c r="A174" s="64"/>
      <c r="B174" s="64"/>
      <c r="C174" s="64"/>
      <c r="D174" s="90"/>
      <c r="E174" s="91"/>
      <c r="F174" s="91"/>
      <c r="G174" s="90"/>
      <c r="H174" s="90"/>
      <c r="I174" s="93"/>
      <c r="J174" s="90"/>
      <c r="K174" s="90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spans="1:26" ht="15.75" customHeight="1" x14ac:dyDescent="0.3">
      <c r="A175" s="64"/>
      <c r="B175" s="64"/>
      <c r="C175" s="64"/>
      <c r="D175" s="90"/>
      <c r="E175" s="91"/>
      <c r="F175" s="91"/>
      <c r="G175" s="90"/>
      <c r="H175" s="90"/>
      <c r="I175" s="93"/>
      <c r="J175" s="90"/>
      <c r="K175" s="90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spans="1:26" ht="15.75" customHeight="1" x14ac:dyDescent="0.3">
      <c r="A176" s="64"/>
      <c r="B176" s="64"/>
      <c r="C176" s="64"/>
      <c r="D176" s="90"/>
      <c r="E176" s="91"/>
      <c r="F176" s="91"/>
      <c r="G176" s="90"/>
      <c r="H176" s="90"/>
      <c r="I176" s="93"/>
      <c r="J176" s="90"/>
      <c r="K176" s="90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spans="1:26" ht="15.75" customHeight="1" x14ac:dyDescent="0.3">
      <c r="A177" s="64"/>
      <c r="B177" s="64"/>
      <c r="C177" s="64"/>
      <c r="D177" s="90"/>
      <c r="E177" s="91"/>
      <c r="F177" s="91"/>
      <c r="G177" s="90"/>
      <c r="H177" s="90"/>
      <c r="I177" s="93"/>
      <c r="J177" s="90"/>
      <c r="K177" s="90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spans="1:26" ht="15.75" customHeight="1" x14ac:dyDescent="0.3">
      <c r="A178" s="64"/>
      <c r="B178" s="64"/>
      <c r="C178" s="64"/>
      <c r="D178" s="90"/>
      <c r="E178" s="91"/>
      <c r="F178" s="91"/>
      <c r="G178" s="90"/>
      <c r="H178" s="90"/>
      <c r="I178" s="93"/>
      <c r="J178" s="90"/>
      <c r="K178" s="90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spans="1:26" ht="15.75" customHeight="1" x14ac:dyDescent="0.3">
      <c r="A179" s="64"/>
      <c r="B179" s="64"/>
      <c r="C179" s="64"/>
      <c r="D179" s="90"/>
      <c r="E179" s="91"/>
      <c r="F179" s="91"/>
      <c r="G179" s="90"/>
      <c r="H179" s="90"/>
      <c r="I179" s="93"/>
      <c r="J179" s="90"/>
      <c r="K179" s="90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 ht="15.75" customHeight="1" x14ac:dyDescent="0.3">
      <c r="A180" s="64"/>
      <c r="B180" s="64"/>
      <c r="C180" s="64"/>
      <c r="D180" s="90"/>
      <c r="E180" s="91"/>
      <c r="F180" s="91"/>
      <c r="G180" s="90"/>
      <c r="H180" s="90"/>
      <c r="I180" s="93"/>
      <c r="J180" s="90"/>
      <c r="K180" s="90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spans="1:26" ht="15.75" customHeight="1" x14ac:dyDescent="0.3">
      <c r="A181" s="64"/>
      <c r="B181" s="64"/>
      <c r="C181" s="64"/>
      <c r="D181" s="90"/>
      <c r="E181" s="91"/>
      <c r="F181" s="91"/>
      <c r="G181" s="90"/>
      <c r="H181" s="90"/>
      <c r="I181" s="93"/>
      <c r="J181" s="90"/>
      <c r="K181" s="90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spans="1:26" ht="15.75" customHeight="1" x14ac:dyDescent="0.3">
      <c r="A182" s="64"/>
      <c r="B182" s="64"/>
      <c r="C182" s="64"/>
      <c r="D182" s="90"/>
      <c r="E182" s="91"/>
      <c r="F182" s="91"/>
      <c r="G182" s="90"/>
      <c r="H182" s="90"/>
      <c r="I182" s="93"/>
      <c r="J182" s="90"/>
      <c r="K182" s="90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spans="1:26" ht="15.75" customHeight="1" x14ac:dyDescent="0.3">
      <c r="A183" s="64"/>
      <c r="B183" s="64"/>
      <c r="C183" s="64"/>
      <c r="D183" s="90"/>
      <c r="E183" s="91"/>
      <c r="F183" s="91"/>
      <c r="G183" s="90"/>
      <c r="H183" s="90"/>
      <c r="I183" s="93"/>
      <c r="J183" s="90"/>
      <c r="K183" s="90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spans="1:26" ht="15.75" customHeight="1" x14ac:dyDescent="0.3">
      <c r="A184" s="64"/>
      <c r="B184" s="64"/>
      <c r="C184" s="64"/>
      <c r="D184" s="90"/>
      <c r="E184" s="91"/>
      <c r="F184" s="91"/>
      <c r="G184" s="90"/>
      <c r="H184" s="90"/>
      <c r="I184" s="93"/>
      <c r="J184" s="90"/>
      <c r="K184" s="90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spans="1:26" ht="15.75" customHeight="1" x14ac:dyDescent="0.3">
      <c r="A185" s="64"/>
      <c r="B185" s="64"/>
      <c r="C185" s="64"/>
      <c r="D185" s="90"/>
      <c r="E185" s="91"/>
      <c r="F185" s="91"/>
      <c r="G185" s="90"/>
      <c r="H185" s="90"/>
      <c r="I185" s="93"/>
      <c r="J185" s="90"/>
      <c r="K185" s="90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spans="1:26" ht="15.75" customHeight="1" x14ac:dyDescent="0.3">
      <c r="A186" s="64"/>
      <c r="B186" s="64"/>
      <c r="C186" s="64"/>
      <c r="D186" s="90"/>
      <c r="E186" s="91"/>
      <c r="F186" s="91"/>
      <c r="G186" s="90"/>
      <c r="H186" s="90"/>
      <c r="I186" s="93"/>
      <c r="J186" s="90"/>
      <c r="K186" s="90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spans="1:26" ht="15.75" customHeight="1" x14ac:dyDescent="0.3">
      <c r="A187" s="64"/>
      <c r="B187" s="64"/>
      <c r="C187" s="64"/>
      <c r="D187" s="90"/>
      <c r="E187" s="91"/>
      <c r="F187" s="91"/>
      <c r="G187" s="90"/>
      <c r="H187" s="90"/>
      <c r="I187" s="93"/>
      <c r="J187" s="90"/>
      <c r="K187" s="90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5.75" customHeight="1" x14ac:dyDescent="0.3">
      <c r="A188" s="64"/>
      <c r="B188" s="64"/>
      <c r="C188" s="64"/>
      <c r="D188" s="90"/>
      <c r="E188" s="91"/>
      <c r="F188" s="91"/>
      <c r="G188" s="90"/>
      <c r="H188" s="90"/>
      <c r="I188" s="93"/>
      <c r="J188" s="90"/>
      <c r="K188" s="90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spans="1:26" ht="15.75" customHeight="1" x14ac:dyDescent="0.3">
      <c r="A189" s="64"/>
      <c r="B189" s="64"/>
      <c r="C189" s="64"/>
      <c r="D189" s="90"/>
      <c r="E189" s="91"/>
      <c r="F189" s="91"/>
      <c r="G189" s="90"/>
      <c r="H189" s="90"/>
      <c r="I189" s="93"/>
      <c r="J189" s="90"/>
      <c r="K189" s="90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spans="1:26" ht="15.75" customHeight="1" x14ac:dyDescent="0.3">
      <c r="A190" s="64"/>
      <c r="B190" s="64"/>
      <c r="C190" s="64"/>
      <c r="D190" s="90"/>
      <c r="E190" s="91"/>
      <c r="F190" s="91"/>
      <c r="G190" s="90"/>
      <c r="H190" s="90"/>
      <c r="I190" s="93"/>
      <c r="J190" s="90"/>
      <c r="K190" s="90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spans="1:26" ht="15.75" customHeight="1" x14ac:dyDescent="0.3">
      <c r="A191" s="64"/>
      <c r="B191" s="64"/>
      <c r="C191" s="64"/>
      <c r="D191" s="90"/>
      <c r="E191" s="91"/>
      <c r="F191" s="91"/>
      <c r="G191" s="90"/>
      <c r="H191" s="90"/>
      <c r="I191" s="93"/>
      <c r="J191" s="90"/>
      <c r="K191" s="90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spans="1:26" ht="15.75" customHeight="1" x14ac:dyDescent="0.3">
      <c r="A192" s="64"/>
      <c r="B192" s="64"/>
      <c r="C192" s="64"/>
      <c r="D192" s="90"/>
      <c r="E192" s="91"/>
      <c r="F192" s="91"/>
      <c r="G192" s="90"/>
      <c r="H192" s="90"/>
      <c r="I192" s="93"/>
      <c r="J192" s="90"/>
      <c r="K192" s="90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spans="1:26" ht="15.75" customHeight="1" x14ac:dyDescent="0.3">
      <c r="A193" s="64"/>
      <c r="B193" s="64"/>
      <c r="C193" s="64"/>
      <c r="D193" s="90"/>
      <c r="E193" s="91"/>
      <c r="F193" s="91"/>
      <c r="G193" s="90"/>
      <c r="H193" s="90"/>
      <c r="I193" s="93"/>
      <c r="J193" s="90"/>
      <c r="K193" s="90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spans="1:26" ht="15.75" customHeight="1" x14ac:dyDescent="0.3">
      <c r="A194" s="64"/>
      <c r="B194" s="64"/>
      <c r="C194" s="64"/>
      <c r="D194" s="90"/>
      <c r="E194" s="91"/>
      <c r="F194" s="91"/>
      <c r="G194" s="90"/>
      <c r="H194" s="90"/>
      <c r="I194" s="93"/>
      <c r="J194" s="90"/>
      <c r="K194" s="90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spans="1:26" ht="15.75" customHeight="1" x14ac:dyDescent="0.3">
      <c r="A195" s="64"/>
      <c r="B195" s="64"/>
      <c r="C195" s="64"/>
      <c r="D195" s="90"/>
      <c r="E195" s="91"/>
      <c r="F195" s="91"/>
      <c r="G195" s="90"/>
      <c r="H195" s="90"/>
      <c r="I195" s="93"/>
      <c r="J195" s="90"/>
      <c r="K195" s="90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 ht="15.75" customHeight="1" x14ac:dyDescent="0.3">
      <c r="A196" s="64"/>
      <c r="B196" s="64"/>
      <c r="C196" s="64"/>
      <c r="D196" s="90"/>
      <c r="E196" s="91"/>
      <c r="F196" s="91"/>
      <c r="G196" s="90"/>
      <c r="H196" s="90"/>
      <c r="I196" s="93"/>
      <c r="J196" s="90"/>
      <c r="K196" s="90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spans="1:26" ht="15.75" customHeight="1" x14ac:dyDescent="0.3">
      <c r="A197" s="64"/>
      <c r="B197" s="64"/>
      <c r="C197" s="64"/>
      <c r="D197" s="90"/>
      <c r="E197" s="91"/>
      <c r="F197" s="91"/>
      <c r="G197" s="90"/>
      <c r="H197" s="90"/>
      <c r="I197" s="93"/>
      <c r="J197" s="90"/>
      <c r="K197" s="90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spans="1:26" ht="15.75" customHeight="1" x14ac:dyDescent="0.3">
      <c r="A198" s="64"/>
      <c r="B198" s="64"/>
      <c r="C198" s="64"/>
      <c r="D198" s="90"/>
      <c r="E198" s="91"/>
      <c r="F198" s="91"/>
      <c r="G198" s="90"/>
      <c r="H198" s="90"/>
      <c r="I198" s="93"/>
      <c r="J198" s="90"/>
      <c r="K198" s="90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spans="1:26" ht="15.75" customHeight="1" x14ac:dyDescent="0.3">
      <c r="A199" s="64"/>
      <c r="B199" s="64"/>
      <c r="C199" s="64"/>
      <c r="D199" s="90"/>
      <c r="E199" s="91"/>
      <c r="F199" s="91"/>
      <c r="G199" s="90"/>
      <c r="H199" s="90"/>
      <c r="I199" s="93"/>
      <c r="J199" s="90"/>
      <c r="K199" s="90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spans="1:26" ht="15.75" customHeight="1" x14ac:dyDescent="0.3">
      <c r="A200" s="64"/>
      <c r="B200" s="64"/>
      <c r="C200" s="64"/>
      <c r="D200" s="90"/>
      <c r="E200" s="91"/>
      <c r="F200" s="91"/>
      <c r="G200" s="90"/>
      <c r="H200" s="90"/>
      <c r="I200" s="93"/>
      <c r="J200" s="90"/>
      <c r="K200" s="90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spans="1:26" ht="15.75" customHeight="1" x14ac:dyDescent="0.3">
      <c r="A201" s="64"/>
      <c r="B201" s="64"/>
      <c r="C201" s="64"/>
      <c r="D201" s="90"/>
      <c r="E201" s="91"/>
      <c r="F201" s="91"/>
      <c r="G201" s="90"/>
      <c r="H201" s="90"/>
      <c r="I201" s="93"/>
      <c r="J201" s="90"/>
      <c r="K201" s="90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spans="1:26" ht="15.75" customHeight="1" x14ac:dyDescent="0.3">
      <c r="A202" s="64"/>
      <c r="B202" s="64"/>
      <c r="C202" s="64"/>
      <c r="D202" s="90"/>
      <c r="E202" s="91"/>
      <c r="F202" s="91"/>
      <c r="G202" s="90"/>
      <c r="H202" s="90"/>
      <c r="I202" s="93"/>
      <c r="J202" s="90"/>
      <c r="K202" s="90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spans="1:26" ht="15.75" customHeight="1" x14ac:dyDescent="0.3">
      <c r="A203" s="64"/>
      <c r="B203" s="64"/>
      <c r="C203" s="64"/>
      <c r="D203" s="90"/>
      <c r="E203" s="91"/>
      <c r="F203" s="91"/>
      <c r="G203" s="90"/>
      <c r="H203" s="90"/>
      <c r="I203" s="93"/>
      <c r="J203" s="90"/>
      <c r="K203" s="90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spans="1:26" ht="15.75" customHeight="1" x14ac:dyDescent="0.3">
      <c r="A204" s="64"/>
      <c r="B204" s="64"/>
      <c r="C204" s="64"/>
      <c r="D204" s="90"/>
      <c r="E204" s="91"/>
      <c r="F204" s="91"/>
      <c r="G204" s="90"/>
      <c r="H204" s="90"/>
      <c r="I204" s="93"/>
      <c r="J204" s="90"/>
      <c r="K204" s="90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spans="1:26" ht="15.75" customHeight="1" x14ac:dyDescent="0.3">
      <c r="A205" s="64"/>
      <c r="B205" s="64"/>
      <c r="C205" s="64"/>
      <c r="D205" s="90"/>
      <c r="E205" s="91"/>
      <c r="F205" s="91"/>
      <c r="G205" s="90"/>
      <c r="H205" s="90"/>
      <c r="I205" s="93"/>
      <c r="J205" s="90"/>
      <c r="K205" s="90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spans="1:26" ht="15.75" customHeight="1" x14ac:dyDescent="0.3">
      <c r="A206" s="64"/>
      <c r="B206" s="64"/>
      <c r="C206" s="64"/>
      <c r="D206" s="90"/>
      <c r="E206" s="91"/>
      <c r="F206" s="91"/>
      <c r="G206" s="90"/>
      <c r="H206" s="90"/>
      <c r="I206" s="93"/>
      <c r="J206" s="90"/>
      <c r="K206" s="90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spans="1:26" ht="15.75" customHeight="1" x14ac:dyDescent="0.3">
      <c r="A207" s="64"/>
      <c r="B207" s="64"/>
      <c r="C207" s="64"/>
      <c r="D207" s="90"/>
      <c r="E207" s="91"/>
      <c r="F207" s="91"/>
      <c r="G207" s="90"/>
      <c r="H207" s="90"/>
      <c r="I207" s="93"/>
      <c r="J207" s="90"/>
      <c r="K207" s="90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spans="1:26" ht="15.75" customHeight="1" x14ac:dyDescent="0.3">
      <c r="A208" s="64"/>
      <c r="B208" s="64"/>
      <c r="C208" s="64"/>
      <c r="D208" s="90"/>
      <c r="E208" s="91"/>
      <c r="F208" s="91"/>
      <c r="G208" s="90"/>
      <c r="H208" s="90"/>
      <c r="I208" s="93"/>
      <c r="J208" s="90"/>
      <c r="K208" s="90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spans="1:26" ht="15.75" customHeight="1" x14ac:dyDescent="0.3">
      <c r="A209" s="64"/>
      <c r="B209" s="64"/>
      <c r="C209" s="64"/>
      <c r="D209" s="90"/>
      <c r="E209" s="91"/>
      <c r="F209" s="91"/>
      <c r="G209" s="90"/>
      <c r="H209" s="90"/>
      <c r="I209" s="93"/>
      <c r="J209" s="90"/>
      <c r="K209" s="90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spans="1:26" ht="15.75" customHeight="1" x14ac:dyDescent="0.3">
      <c r="A210" s="64"/>
      <c r="B210" s="64"/>
      <c r="C210" s="64"/>
      <c r="D210" s="90"/>
      <c r="E210" s="91"/>
      <c r="F210" s="91"/>
      <c r="G210" s="90"/>
      <c r="H210" s="90"/>
      <c r="I210" s="93"/>
      <c r="J210" s="90"/>
      <c r="K210" s="90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spans="1:26" ht="15.75" customHeight="1" x14ac:dyDescent="0.3">
      <c r="A211" s="64"/>
      <c r="B211" s="64"/>
      <c r="C211" s="64"/>
      <c r="D211" s="90"/>
      <c r="E211" s="91"/>
      <c r="F211" s="91"/>
      <c r="G211" s="90"/>
      <c r="H211" s="90"/>
      <c r="I211" s="93"/>
      <c r="J211" s="90"/>
      <c r="K211" s="90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spans="1:26" ht="15.75" customHeight="1" x14ac:dyDescent="0.3">
      <c r="A212" s="64"/>
      <c r="B212" s="64"/>
      <c r="C212" s="64"/>
      <c r="D212" s="90"/>
      <c r="E212" s="91"/>
      <c r="F212" s="91"/>
      <c r="G212" s="90"/>
      <c r="H212" s="90"/>
      <c r="I212" s="93"/>
      <c r="J212" s="90"/>
      <c r="K212" s="90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spans="1:26" ht="15.75" customHeight="1" x14ac:dyDescent="0.3">
      <c r="A213" s="64"/>
      <c r="B213" s="64"/>
      <c r="C213" s="64"/>
      <c r="D213" s="90"/>
      <c r="E213" s="91"/>
      <c r="F213" s="91"/>
      <c r="G213" s="90"/>
      <c r="H213" s="90"/>
      <c r="I213" s="93"/>
      <c r="J213" s="90"/>
      <c r="K213" s="90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spans="1:26" ht="15.75" customHeight="1" x14ac:dyDescent="0.3">
      <c r="A214" s="64"/>
      <c r="B214" s="64"/>
      <c r="C214" s="64"/>
      <c r="D214" s="90"/>
      <c r="E214" s="91"/>
      <c r="F214" s="91"/>
      <c r="G214" s="90"/>
      <c r="H214" s="90"/>
      <c r="I214" s="93"/>
      <c r="J214" s="90"/>
      <c r="K214" s="90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spans="1:26" ht="15.75" customHeight="1" x14ac:dyDescent="0.3">
      <c r="A215" s="64"/>
      <c r="B215" s="64"/>
      <c r="C215" s="64"/>
      <c r="D215" s="90"/>
      <c r="E215" s="91"/>
      <c r="F215" s="91"/>
      <c r="G215" s="90"/>
      <c r="H215" s="90"/>
      <c r="I215" s="93"/>
      <c r="J215" s="90"/>
      <c r="K215" s="90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spans="1:26" ht="15.75" customHeight="1" x14ac:dyDescent="0.3">
      <c r="A216" s="64"/>
      <c r="B216" s="64"/>
      <c r="C216" s="64"/>
      <c r="D216" s="90"/>
      <c r="E216" s="91"/>
      <c r="F216" s="91"/>
      <c r="G216" s="90"/>
      <c r="H216" s="90"/>
      <c r="I216" s="93"/>
      <c r="J216" s="90"/>
      <c r="K216" s="90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spans="1:26" ht="15.75" customHeight="1" x14ac:dyDescent="0.3">
      <c r="A217" s="64"/>
      <c r="B217" s="64"/>
      <c r="C217" s="64"/>
      <c r="D217" s="90"/>
      <c r="E217" s="91"/>
      <c r="F217" s="91"/>
      <c r="G217" s="90"/>
      <c r="H217" s="90"/>
      <c r="I217" s="93"/>
      <c r="J217" s="90"/>
      <c r="K217" s="90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spans="1:26" ht="15.75" customHeight="1" x14ac:dyDescent="0.3">
      <c r="A218" s="64"/>
      <c r="B218" s="64"/>
      <c r="C218" s="64"/>
      <c r="D218" s="90"/>
      <c r="E218" s="91"/>
      <c r="F218" s="91"/>
      <c r="G218" s="90"/>
      <c r="H218" s="90"/>
      <c r="I218" s="93"/>
      <c r="J218" s="90"/>
      <c r="K218" s="90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spans="1:26" ht="15.75" customHeight="1" x14ac:dyDescent="0.3">
      <c r="A219" s="64"/>
      <c r="B219" s="64"/>
      <c r="C219" s="64"/>
      <c r="D219" s="90"/>
      <c r="E219" s="91"/>
      <c r="F219" s="91"/>
      <c r="G219" s="90"/>
      <c r="H219" s="90"/>
      <c r="I219" s="93"/>
      <c r="J219" s="90"/>
      <c r="K219" s="90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spans="1:26" ht="15.75" customHeight="1" x14ac:dyDescent="0.3">
      <c r="A220" s="64"/>
      <c r="B220" s="64"/>
      <c r="C220" s="64"/>
      <c r="D220" s="90"/>
      <c r="E220" s="91"/>
      <c r="F220" s="91"/>
      <c r="G220" s="90"/>
      <c r="H220" s="90"/>
      <c r="I220" s="93"/>
      <c r="J220" s="90"/>
      <c r="K220" s="90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spans="1:26" ht="15.75" customHeight="1" x14ac:dyDescent="0.3">
      <c r="A221" s="64"/>
      <c r="B221" s="64"/>
      <c r="C221" s="64"/>
      <c r="D221" s="90"/>
      <c r="E221" s="91"/>
      <c r="F221" s="91"/>
      <c r="G221" s="90"/>
      <c r="H221" s="90"/>
      <c r="I221" s="93"/>
      <c r="J221" s="90"/>
      <c r="K221" s="90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spans="1:26" ht="15.75" customHeight="1" x14ac:dyDescent="0.3">
      <c r="A222" s="64"/>
      <c r="B222" s="64"/>
      <c r="C222" s="64"/>
      <c r="D222" s="90"/>
      <c r="E222" s="91"/>
      <c r="F222" s="91"/>
      <c r="G222" s="90"/>
      <c r="H222" s="90"/>
      <c r="I222" s="93"/>
      <c r="J222" s="90"/>
      <c r="K222" s="90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spans="1:26" ht="15.75" customHeight="1" x14ac:dyDescent="0.3">
      <c r="A223" s="64"/>
      <c r="B223" s="64"/>
      <c r="C223" s="64"/>
      <c r="D223" s="90"/>
      <c r="E223" s="91"/>
      <c r="F223" s="91"/>
      <c r="G223" s="90"/>
      <c r="H223" s="90"/>
      <c r="I223" s="93"/>
      <c r="J223" s="90"/>
      <c r="K223" s="90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spans="1:26" ht="15.75" customHeight="1" x14ac:dyDescent="0.3">
      <c r="A224" s="64"/>
      <c r="B224" s="64"/>
      <c r="C224" s="64"/>
      <c r="D224" s="90"/>
      <c r="E224" s="91"/>
      <c r="F224" s="91"/>
      <c r="G224" s="90"/>
      <c r="H224" s="90"/>
      <c r="I224" s="93"/>
      <c r="J224" s="90"/>
      <c r="K224" s="90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spans="1:26" ht="15.75" customHeight="1" x14ac:dyDescent="0.3">
      <c r="A225" s="64"/>
      <c r="B225" s="64"/>
      <c r="C225" s="64"/>
      <c r="D225" s="90"/>
      <c r="E225" s="91"/>
      <c r="F225" s="91"/>
      <c r="G225" s="90"/>
      <c r="H225" s="90"/>
      <c r="I225" s="93"/>
      <c r="J225" s="90"/>
      <c r="K225" s="90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spans="1:26" ht="15.75" customHeight="1" x14ac:dyDescent="0.3">
      <c r="A226" s="64"/>
      <c r="B226" s="64"/>
      <c r="C226" s="64"/>
      <c r="D226" s="90"/>
      <c r="E226" s="91"/>
      <c r="F226" s="91"/>
      <c r="G226" s="90"/>
      <c r="H226" s="90"/>
      <c r="I226" s="93"/>
      <c r="J226" s="90"/>
      <c r="K226" s="90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spans="1:26" ht="15.75" customHeight="1" x14ac:dyDescent="0.3">
      <c r="A227" s="64"/>
      <c r="B227" s="64"/>
      <c r="C227" s="64"/>
      <c r="D227" s="90"/>
      <c r="E227" s="91"/>
      <c r="F227" s="91"/>
      <c r="G227" s="90"/>
      <c r="H227" s="90"/>
      <c r="I227" s="93"/>
      <c r="J227" s="90"/>
      <c r="K227" s="90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spans="1:26" ht="15.75" customHeight="1" x14ac:dyDescent="0.3">
      <c r="A228" s="64"/>
      <c r="B228" s="64"/>
      <c r="C228" s="64"/>
      <c r="D228" s="90"/>
      <c r="E228" s="91"/>
      <c r="F228" s="91"/>
      <c r="G228" s="90"/>
      <c r="H228" s="90"/>
      <c r="I228" s="93"/>
      <c r="J228" s="90"/>
      <c r="K228" s="90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spans="1:26" ht="15.75" customHeight="1" x14ac:dyDescent="0.3">
      <c r="A229" s="64"/>
      <c r="B229" s="64"/>
      <c r="C229" s="64"/>
      <c r="D229" s="90"/>
      <c r="E229" s="91"/>
      <c r="F229" s="91"/>
      <c r="G229" s="90"/>
      <c r="H229" s="90"/>
      <c r="I229" s="93"/>
      <c r="J229" s="90"/>
      <c r="K229" s="90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spans="1:26" ht="15.75" customHeight="1" x14ac:dyDescent="0.3">
      <c r="A230" s="64"/>
      <c r="B230" s="64"/>
      <c r="C230" s="64"/>
      <c r="D230" s="90"/>
      <c r="E230" s="91"/>
      <c r="F230" s="91"/>
      <c r="G230" s="90"/>
      <c r="H230" s="90"/>
      <c r="I230" s="93"/>
      <c r="J230" s="90"/>
      <c r="K230" s="90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spans="1:26" ht="15.75" customHeight="1" x14ac:dyDescent="0.3">
      <c r="A231" s="64"/>
      <c r="B231" s="64"/>
      <c r="C231" s="64"/>
      <c r="D231" s="90"/>
      <c r="E231" s="91"/>
      <c r="F231" s="91"/>
      <c r="G231" s="90"/>
      <c r="H231" s="90"/>
      <c r="I231" s="93"/>
      <c r="J231" s="90"/>
      <c r="K231" s="90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spans="1:26" ht="15.75" customHeight="1" x14ac:dyDescent="0.3">
      <c r="A232" s="64"/>
      <c r="B232" s="64"/>
      <c r="C232" s="64"/>
      <c r="D232" s="90"/>
      <c r="E232" s="91"/>
      <c r="F232" s="91"/>
      <c r="G232" s="90"/>
      <c r="H232" s="90"/>
      <c r="I232" s="93"/>
      <c r="J232" s="90"/>
      <c r="K232" s="90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spans="1:26" ht="15.75" customHeight="1" x14ac:dyDescent="0.3">
      <c r="A233" s="64"/>
      <c r="B233" s="64"/>
      <c r="C233" s="64"/>
      <c r="D233" s="90"/>
      <c r="E233" s="91"/>
      <c r="F233" s="91"/>
      <c r="G233" s="90"/>
      <c r="H233" s="90"/>
      <c r="I233" s="93"/>
      <c r="J233" s="90"/>
      <c r="K233" s="90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spans="1:26" ht="15.75" customHeight="1" x14ac:dyDescent="0.3">
      <c r="A234" s="64"/>
      <c r="B234" s="64"/>
      <c r="C234" s="64"/>
      <c r="D234" s="90"/>
      <c r="E234" s="91"/>
      <c r="F234" s="91"/>
      <c r="G234" s="90"/>
      <c r="H234" s="90"/>
      <c r="I234" s="93"/>
      <c r="J234" s="90"/>
      <c r="K234" s="90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spans="1:26" ht="15.75" customHeight="1" x14ac:dyDescent="0.3">
      <c r="A235" s="64"/>
      <c r="B235" s="64"/>
      <c r="C235" s="64"/>
      <c r="D235" s="90"/>
      <c r="E235" s="91"/>
      <c r="F235" s="91"/>
      <c r="G235" s="90"/>
      <c r="H235" s="90"/>
      <c r="I235" s="93"/>
      <c r="J235" s="90"/>
      <c r="K235" s="90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 ht="15.75" customHeight="1" x14ac:dyDescent="0.3">
      <c r="A236" s="64"/>
      <c r="B236" s="64"/>
      <c r="C236" s="64"/>
      <c r="D236" s="90"/>
      <c r="E236" s="91"/>
      <c r="F236" s="91"/>
      <c r="G236" s="90"/>
      <c r="H236" s="90"/>
      <c r="I236" s="93"/>
      <c r="J236" s="90"/>
      <c r="K236" s="90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spans="1:26" ht="15.75" customHeight="1" x14ac:dyDescent="0.3">
      <c r="A237" s="64"/>
      <c r="B237" s="64"/>
      <c r="C237" s="64"/>
      <c r="D237" s="90"/>
      <c r="E237" s="91"/>
      <c r="F237" s="91"/>
      <c r="G237" s="90"/>
      <c r="H237" s="90"/>
      <c r="I237" s="93"/>
      <c r="J237" s="90"/>
      <c r="K237" s="90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spans="1:26" ht="15.75" customHeight="1" x14ac:dyDescent="0.3">
      <c r="A238" s="64"/>
      <c r="B238" s="64"/>
      <c r="C238" s="64"/>
      <c r="D238" s="90"/>
      <c r="E238" s="91"/>
      <c r="F238" s="91"/>
      <c r="G238" s="90"/>
      <c r="H238" s="90"/>
      <c r="I238" s="93"/>
      <c r="J238" s="90"/>
      <c r="K238" s="90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spans="1:26" ht="15.75" customHeight="1" x14ac:dyDescent="0.3">
      <c r="A239" s="64"/>
      <c r="B239" s="64"/>
      <c r="C239" s="64"/>
      <c r="D239" s="90"/>
      <c r="E239" s="91"/>
      <c r="F239" s="91"/>
      <c r="G239" s="90"/>
      <c r="H239" s="90"/>
      <c r="I239" s="93"/>
      <c r="J239" s="90"/>
      <c r="K239" s="90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spans="1:26" ht="15.75" customHeight="1" x14ac:dyDescent="0.3">
      <c r="A240" s="64"/>
      <c r="B240" s="64"/>
      <c r="C240" s="64"/>
      <c r="D240" s="90"/>
      <c r="E240" s="91"/>
      <c r="F240" s="91"/>
      <c r="G240" s="90"/>
      <c r="H240" s="90"/>
      <c r="I240" s="93"/>
      <c r="J240" s="90"/>
      <c r="K240" s="90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spans="1:26" ht="15.75" customHeight="1" x14ac:dyDescent="0.3">
      <c r="A241" s="64"/>
      <c r="B241" s="64"/>
      <c r="C241" s="64"/>
      <c r="D241" s="90"/>
      <c r="E241" s="91"/>
      <c r="F241" s="91"/>
      <c r="G241" s="90"/>
      <c r="H241" s="90"/>
      <c r="I241" s="93"/>
      <c r="J241" s="90"/>
      <c r="K241" s="90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spans="1:26" ht="15.75" customHeight="1" x14ac:dyDescent="0.3">
      <c r="A242" s="64"/>
      <c r="B242" s="64"/>
      <c r="C242" s="64"/>
      <c r="D242" s="90"/>
      <c r="E242" s="91"/>
      <c r="F242" s="91"/>
      <c r="G242" s="90"/>
      <c r="H242" s="90"/>
      <c r="I242" s="93"/>
      <c r="J242" s="90"/>
      <c r="K242" s="90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spans="1:26" ht="15.75" customHeight="1" x14ac:dyDescent="0.3">
      <c r="A243" s="64"/>
      <c r="B243" s="64"/>
      <c r="C243" s="64"/>
      <c r="D243" s="90"/>
      <c r="E243" s="91"/>
      <c r="F243" s="91"/>
      <c r="G243" s="90"/>
      <c r="H243" s="90"/>
      <c r="I243" s="93"/>
      <c r="J243" s="90"/>
      <c r="K243" s="90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spans="1:26" ht="15.75" customHeight="1" x14ac:dyDescent="0.3">
      <c r="A244" s="64"/>
      <c r="B244" s="64"/>
      <c r="C244" s="64"/>
      <c r="D244" s="90"/>
      <c r="E244" s="91"/>
      <c r="F244" s="91"/>
      <c r="G244" s="90"/>
      <c r="H244" s="90"/>
      <c r="I244" s="93"/>
      <c r="J244" s="90"/>
      <c r="K244" s="90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spans="1:26" ht="15.75" customHeight="1" x14ac:dyDescent="0.3">
      <c r="A245" s="64"/>
      <c r="B245" s="64"/>
      <c r="C245" s="64"/>
      <c r="D245" s="90"/>
      <c r="E245" s="91"/>
      <c r="F245" s="91"/>
      <c r="G245" s="90"/>
      <c r="H245" s="90"/>
      <c r="I245" s="93"/>
      <c r="J245" s="90"/>
      <c r="K245" s="90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spans="1:26" ht="15.75" customHeight="1" x14ac:dyDescent="0.3">
      <c r="A246" s="64"/>
      <c r="B246" s="64"/>
      <c r="C246" s="64"/>
      <c r="D246" s="90"/>
      <c r="E246" s="91"/>
      <c r="F246" s="91"/>
      <c r="G246" s="90"/>
      <c r="H246" s="90"/>
      <c r="I246" s="93"/>
      <c r="J246" s="90"/>
      <c r="K246" s="90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spans="1:26" ht="15.75" customHeight="1" x14ac:dyDescent="0.3">
      <c r="A247" s="64"/>
      <c r="B247" s="64"/>
      <c r="C247" s="64"/>
      <c r="D247" s="90"/>
      <c r="E247" s="91"/>
      <c r="F247" s="91"/>
      <c r="G247" s="90"/>
      <c r="H247" s="90"/>
      <c r="I247" s="93"/>
      <c r="J247" s="90"/>
      <c r="K247" s="90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spans="1:26" ht="15.75" customHeight="1" x14ac:dyDescent="0.3">
      <c r="A248" s="64"/>
      <c r="B248" s="64"/>
      <c r="C248" s="64"/>
      <c r="D248" s="90"/>
      <c r="E248" s="91"/>
      <c r="F248" s="91"/>
      <c r="G248" s="90"/>
      <c r="H248" s="90"/>
      <c r="I248" s="93"/>
      <c r="J248" s="90"/>
      <c r="K248" s="90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spans="1:26" ht="15.75" customHeight="1" x14ac:dyDescent="0.3">
      <c r="A249" s="64"/>
      <c r="B249" s="64"/>
      <c r="C249" s="64"/>
      <c r="D249" s="90"/>
      <c r="E249" s="91"/>
      <c r="F249" s="91"/>
      <c r="G249" s="90"/>
      <c r="H249" s="90"/>
      <c r="I249" s="93"/>
      <c r="J249" s="90"/>
      <c r="K249" s="90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spans="1:26" ht="15.75" customHeight="1" x14ac:dyDescent="0.3">
      <c r="A250" s="64"/>
      <c r="B250" s="64"/>
      <c r="C250" s="64"/>
      <c r="D250" s="90"/>
      <c r="E250" s="91"/>
      <c r="F250" s="91"/>
      <c r="G250" s="90"/>
      <c r="H250" s="90"/>
      <c r="I250" s="93"/>
      <c r="J250" s="90"/>
      <c r="K250" s="90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spans="1:26" ht="15.75" customHeight="1" x14ac:dyDescent="0.3">
      <c r="A251" s="64"/>
      <c r="B251" s="64"/>
      <c r="C251" s="64"/>
      <c r="D251" s="90"/>
      <c r="E251" s="91"/>
      <c r="F251" s="91"/>
      <c r="G251" s="90"/>
      <c r="H251" s="90"/>
      <c r="I251" s="93"/>
      <c r="J251" s="90"/>
      <c r="K251" s="90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spans="1:26" ht="15.75" customHeight="1" x14ac:dyDescent="0.3">
      <c r="A252" s="64"/>
      <c r="B252" s="64"/>
      <c r="C252" s="64"/>
      <c r="D252" s="90"/>
      <c r="E252" s="91"/>
      <c r="F252" s="91"/>
      <c r="G252" s="90"/>
      <c r="H252" s="90"/>
      <c r="I252" s="93"/>
      <c r="J252" s="90"/>
      <c r="K252" s="90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spans="1:26" ht="15.75" customHeight="1" x14ac:dyDescent="0.3">
      <c r="A253" s="64"/>
      <c r="B253" s="64"/>
      <c r="C253" s="64"/>
      <c r="D253" s="90"/>
      <c r="E253" s="91"/>
      <c r="F253" s="91"/>
      <c r="G253" s="90"/>
      <c r="H253" s="90"/>
      <c r="I253" s="93"/>
      <c r="J253" s="90"/>
      <c r="K253" s="90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spans="1:26" ht="15.75" customHeight="1" x14ac:dyDescent="0.3">
      <c r="A254" s="64"/>
      <c r="B254" s="64"/>
      <c r="C254" s="64"/>
      <c r="D254" s="90"/>
      <c r="E254" s="91"/>
      <c r="F254" s="91"/>
      <c r="G254" s="90"/>
      <c r="H254" s="90"/>
      <c r="I254" s="93"/>
      <c r="J254" s="90"/>
      <c r="K254" s="90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spans="1:26" ht="15.75" customHeight="1" x14ac:dyDescent="0.3">
      <c r="A255" s="64"/>
      <c r="B255" s="64"/>
      <c r="C255" s="64"/>
      <c r="D255" s="90"/>
      <c r="E255" s="91"/>
      <c r="F255" s="91"/>
      <c r="G255" s="90"/>
      <c r="H255" s="90"/>
      <c r="I255" s="93"/>
      <c r="J255" s="90"/>
      <c r="K255" s="90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spans="1:26" ht="15.75" customHeight="1" x14ac:dyDescent="0.3">
      <c r="A256" s="64"/>
      <c r="B256" s="64"/>
      <c r="C256" s="64"/>
      <c r="D256" s="90"/>
      <c r="E256" s="91"/>
      <c r="F256" s="91"/>
      <c r="G256" s="90"/>
      <c r="H256" s="90"/>
      <c r="I256" s="93"/>
      <c r="J256" s="90"/>
      <c r="K256" s="90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spans="1:26" ht="15.75" customHeight="1" x14ac:dyDescent="0.3">
      <c r="A257" s="64"/>
      <c r="B257" s="64"/>
      <c r="C257" s="64"/>
      <c r="D257" s="90"/>
      <c r="E257" s="91"/>
      <c r="F257" s="91"/>
      <c r="G257" s="90"/>
      <c r="H257" s="90"/>
      <c r="I257" s="93"/>
      <c r="J257" s="90"/>
      <c r="K257" s="90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spans="1:26" ht="15.75" customHeight="1" x14ac:dyDescent="0.3">
      <c r="A258" s="64"/>
      <c r="B258" s="64"/>
      <c r="C258" s="64"/>
      <c r="D258" s="90"/>
      <c r="E258" s="91"/>
      <c r="F258" s="91"/>
      <c r="G258" s="90"/>
      <c r="H258" s="90"/>
      <c r="I258" s="93"/>
      <c r="J258" s="90"/>
      <c r="K258" s="90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spans="1:26" ht="15.75" customHeight="1" x14ac:dyDescent="0.3">
      <c r="A259" s="64"/>
      <c r="B259" s="64"/>
      <c r="C259" s="64"/>
      <c r="D259" s="90"/>
      <c r="E259" s="91"/>
      <c r="F259" s="91"/>
      <c r="G259" s="90"/>
      <c r="H259" s="90"/>
      <c r="I259" s="93"/>
      <c r="J259" s="90"/>
      <c r="K259" s="90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 ht="15.75" customHeight="1" x14ac:dyDescent="0.3">
      <c r="A260" s="64"/>
      <c r="B260" s="64"/>
      <c r="C260" s="64"/>
      <c r="D260" s="90"/>
      <c r="E260" s="91"/>
      <c r="F260" s="91"/>
      <c r="G260" s="90"/>
      <c r="H260" s="90"/>
      <c r="I260" s="93"/>
      <c r="J260" s="90"/>
      <c r="K260" s="90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spans="1:26" ht="15.75" customHeight="1" x14ac:dyDescent="0.3">
      <c r="A261" s="64"/>
      <c r="B261" s="64"/>
      <c r="C261" s="64"/>
      <c r="D261" s="90"/>
      <c r="E261" s="91"/>
      <c r="F261" s="91"/>
      <c r="G261" s="90"/>
      <c r="H261" s="90"/>
      <c r="I261" s="93"/>
      <c r="J261" s="90"/>
      <c r="K261" s="90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spans="1:26" ht="15.75" customHeight="1" x14ac:dyDescent="0.3">
      <c r="A262" s="64"/>
      <c r="B262" s="64"/>
      <c r="C262" s="64"/>
      <c r="D262" s="90"/>
      <c r="E262" s="91"/>
      <c r="F262" s="91"/>
      <c r="G262" s="90"/>
      <c r="H262" s="90"/>
      <c r="I262" s="93"/>
      <c r="J262" s="90"/>
      <c r="K262" s="90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spans="1:26" ht="15.75" customHeight="1" x14ac:dyDescent="0.3">
      <c r="A263" s="64"/>
      <c r="B263" s="64"/>
      <c r="C263" s="64"/>
      <c r="D263" s="90"/>
      <c r="E263" s="91"/>
      <c r="F263" s="91"/>
      <c r="G263" s="90"/>
      <c r="H263" s="90"/>
      <c r="I263" s="93"/>
      <c r="J263" s="90"/>
      <c r="K263" s="90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spans="1:26" ht="15.75" customHeight="1" x14ac:dyDescent="0.3">
      <c r="A264" s="64"/>
      <c r="B264" s="64"/>
      <c r="C264" s="64"/>
      <c r="D264" s="90"/>
      <c r="E264" s="91"/>
      <c r="F264" s="91"/>
      <c r="G264" s="90"/>
      <c r="H264" s="90"/>
      <c r="I264" s="93"/>
      <c r="J264" s="90"/>
      <c r="K264" s="90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spans="1:26" ht="15.75" customHeight="1" x14ac:dyDescent="0.3">
      <c r="A265" s="64"/>
      <c r="B265" s="64"/>
      <c r="C265" s="64"/>
      <c r="D265" s="90"/>
      <c r="E265" s="91"/>
      <c r="F265" s="91"/>
      <c r="G265" s="90"/>
      <c r="H265" s="90"/>
      <c r="I265" s="93"/>
      <c r="J265" s="90"/>
      <c r="K265" s="90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spans="1:26" ht="15.75" customHeight="1" x14ac:dyDescent="0.3">
      <c r="A266" s="64"/>
      <c r="B266" s="64"/>
      <c r="C266" s="64"/>
      <c r="D266" s="90"/>
      <c r="E266" s="91"/>
      <c r="F266" s="91"/>
      <c r="G266" s="90"/>
      <c r="H266" s="90"/>
      <c r="I266" s="93"/>
      <c r="J266" s="90"/>
      <c r="K266" s="90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spans="1:26" ht="15.75" customHeight="1" x14ac:dyDescent="0.3">
      <c r="A267" s="64"/>
      <c r="B267" s="64"/>
      <c r="C267" s="64"/>
      <c r="D267" s="90"/>
      <c r="E267" s="91"/>
      <c r="F267" s="91"/>
      <c r="G267" s="90"/>
      <c r="H267" s="90"/>
      <c r="I267" s="93"/>
      <c r="J267" s="90"/>
      <c r="K267" s="90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spans="1:26" ht="15.75" customHeight="1" x14ac:dyDescent="0.3">
      <c r="A268" s="64"/>
      <c r="B268" s="64"/>
      <c r="C268" s="64"/>
      <c r="D268" s="90"/>
      <c r="E268" s="91"/>
      <c r="F268" s="91"/>
      <c r="G268" s="90"/>
      <c r="H268" s="90"/>
      <c r="I268" s="93"/>
      <c r="J268" s="90"/>
      <c r="K268" s="90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spans="1:26" ht="15.75" customHeight="1" x14ac:dyDescent="0.3">
      <c r="A269" s="64"/>
      <c r="B269" s="64"/>
      <c r="C269" s="64"/>
      <c r="D269" s="90"/>
      <c r="E269" s="91"/>
      <c r="F269" s="91"/>
      <c r="G269" s="90"/>
      <c r="H269" s="90"/>
      <c r="I269" s="93"/>
      <c r="J269" s="90"/>
      <c r="K269" s="90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spans="1:26" ht="15.75" customHeight="1" x14ac:dyDescent="0.3">
      <c r="A270" s="64"/>
      <c r="B270" s="64"/>
      <c r="C270" s="64"/>
      <c r="D270" s="90"/>
      <c r="E270" s="91"/>
      <c r="F270" s="91"/>
      <c r="G270" s="90"/>
      <c r="H270" s="90"/>
      <c r="I270" s="93"/>
      <c r="J270" s="90"/>
      <c r="K270" s="90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spans="1:26" ht="15.75" customHeight="1" x14ac:dyDescent="0.3">
      <c r="A271" s="64"/>
      <c r="B271" s="64"/>
      <c r="C271" s="64"/>
      <c r="D271" s="90"/>
      <c r="E271" s="91"/>
      <c r="F271" s="91"/>
      <c r="G271" s="90"/>
      <c r="H271" s="90"/>
      <c r="I271" s="93"/>
      <c r="J271" s="90"/>
      <c r="K271" s="90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spans="1:26" ht="15.75" customHeight="1" x14ac:dyDescent="0.3">
      <c r="A272" s="64"/>
      <c r="B272" s="64"/>
      <c r="C272" s="64"/>
      <c r="D272" s="90"/>
      <c r="E272" s="91"/>
      <c r="F272" s="91"/>
      <c r="G272" s="90"/>
      <c r="H272" s="90"/>
      <c r="I272" s="93"/>
      <c r="J272" s="90"/>
      <c r="K272" s="90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spans="1:26" ht="15.75" customHeight="1" x14ac:dyDescent="0.3">
      <c r="A273" s="64"/>
      <c r="B273" s="64"/>
      <c r="C273" s="64"/>
      <c r="D273" s="90"/>
      <c r="E273" s="91"/>
      <c r="F273" s="91"/>
      <c r="G273" s="90"/>
      <c r="H273" s="90"/>
      <c r="I273" s="93"/>
      <c r="J273" s="90"/>
      <c r="K273" s="90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spans="1:26" ht="15.75" customHeight="1" x14ac:dyDescent="0.3">
      <c r="A274" s="64"/>
      <c r="B274" s="64"/>
      <c r="C274" s="64"/>
      <c r="D274" s="90"/>
      <c r="E274" s="91"/>
      <c r="F274" s="91"/>
      <c r="G274" s="90"/>
      <c r="H274" s="90"/>
      <c r="I274" s="93"/>
      <c r="J274" s="90"/>
      <c r="K274" s="90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spans="1:26" ht="15.75" customHeight="1" x14ac:dyDescent="0.3">
      <c r="A275" s="64"/>
      <c r="B275" s="64"/>
      <c r="C275" s="64"/>
      <c r="D275" s="90"/>
      <c r="E275" s="91"/>
      <c r="F275" s="91"/>
      <c r="G275" s="90"/>
      <c r="H275" s="90"/>
      <c r="I275" s="93"/>
      <c r="J275" s="90"/>
      <c r="K275" s="90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spans="1:26" ht="15.75" customHeight="1" x14ac:dyDescent="0.3">
      <c r="A276" s="64"/>
      <c r="B276" s="64"/>
      <c r="C276" s="64"/>
      <c r="D276" s="90"/>
      <c r="E276" s="91"/>
      <c r="F276" s="91"/>
      <c r="G276" s="90"/>
      <c r="H276" s="90"/>
      <c r="I276" s="93"/>
      <c r="J276" s="90"/>
      <c r="K276" s="90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spans="1:26" ht="15.75" customHeight="1" x14ac:dyDescent="0.3">
      <c r="A277" s="64"/>
      <c r="B277" s="64"/>
      <c r="C277" s="64"/>
      <c r="D277" s="90"/>
      <c r="E277" s="91"/>
      <c r="F277" s="91"/>
      <c r="G277" s="90"/>
      <c r="H277" s="90"/>
      <c r="I277" s="93"/>
      <c r="J277" s="90"/>
      <c r="K277" s="90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spans="1:26" ht="15.75" customHeight="1" x14ac:dyDescent="0.3">
      <c r="A278" s="64"/>
      <c r="B278" s="64"/>
      <c r="C278" s="64"/>
      <c r="D278" s="90"/>
      <c r="E278" s="91"/>
      <c r="F278" s="91"/>
      <c r="G278" s="90"/>
      <c r="H278" s="90"/>
      <c r="I278" s="93"/>
      <c r="J278" s="90"/>
      <c r="K278" s="90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spans="1:26" ht="15.75" customHeight="1" x14ac:dyDescent="0.3">
      <c r="A279" s="64"/>
      <c r="B279" s="64"/>
      <c r="C279" s="64"/>
      <c r="D279" s="90"/>
      <c r="E279" s="91"/>
      <c r="F279" s="91"/>
      <c r="G279" s="90"/>
      <c r="H279" s="90"/>
      <c r="I279" s="93"/>
      <c r="J279" s="90"/>
      <c r="K279" s="90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spans="1:26" ht="15.75" customHeight="1" x14ac:dyDescent="0.3">
      <c r="A280" s="64"/>
      <c r="B280" s="64"/>
      <c r="C280" s="64"/>
      <c r="D280" s="90"/>
      <c r="E280" s="91"/>
      <c r="F280" s="91"/>
      <c r="G280" s="90"/>
      <c r="H280" s="90"/>
      <c r="I280" s="93"/>
      <c r="J280" s="90"/>
      <c r="K280" s="90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spans="1:26" ht="15.75" customHeight="1" x14ac:dyDescent="0.3">
      <c r="A281" s="64"/>
      <c r="B281" s="64"/>
      <c r="C281" s="64"/>
      <c r="D281" s="90"/>
      <c r="E281" s="91"/>
      <c r="F281" s="91"/>
      <c r="G281" s="90"/>
      <c r="H281" s="90"/>
      <c r="I281" s="93"/>
      <c r="J281" s="90"/>
      <c r="K281" s="90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spans="1:26" ht="15.75" customHeight="1" x14ac:dyDescent="0.3">
      <c r="A282" s="64"/>
      <c r="B282" s="64"/>
      <c r="C282" s="64"/>
      <c r="D282" s="90"/>
      <c r="E282" s="91"/>
      <c r="F282" s="91"/>
      <c r="G282" s="90"/>
      <c r="H282" s="90"/>
      <c r="I282" s="93"/>
      <c r="J282" s="90"/>
      <c r="K282" s="90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spans="1:26" ht="15.75" customHeight="1" x14ac:dyDescent="0.3">
      <c r="A283" s="64"/>
      <c r="B283" s="64"/>
      <c r="C283" s="64"/>
      <c r="D283" s="90"/>
      <c r="E283" s="91"/>
      <c r="F283" s="91"/>
      <c r="G283" s="90"/>
      <c r="H283" s="90"/>
      <c r="I283" s="93"/>
      <c r="J283" s="90"/>
      <c r="K283" s="90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spans="1:26" ht="15.75" customHeight="1" x14ac:dyDescent="0.3">
      <c r="A284" s="64"/>
      <c r="B284" s="64"/>
      <c r="C284" s="64"/>
      <c r="D284" s="90"/>
      <c r="E284" s="91"/>
      <c r="F284" s="91"/>
      <c r="G284" s="90"/>
      <c r="H284" s="90"/>
      <c r="I284" s="93"/>
      <c r="J284" s="90"/>
      <c r="K284" s="90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spans="1:26" ht="15.75" customHeight="1" x14ac:dyDescent="0.3">
      <c r="A285" s="64"/>
      <c r="B285" s="64"/>
      <c r="C285" s="64"/>
      <c r="D285" s="90"/>
      <c r="E285" s="91"/>
      <c r="F285" s="91"/>
      <c r="G285" s="90"/>
      <c r="H285" s="90"/>
      <c r="I285" s="93"/>
      <c r="J285" s="90"/>
      <c r="K285" s="90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spans="1:26" ht="15.75" customHeight="1" x14ac:dyDescent="0.3">
      <c r="A286" s="64"/>
      <c r="B286" s="64"/>
      <c r="C286" s="64"/>
      <c r="D286" s="90"/>
      <c r="E286" s="91"/>
      <c r="F286" s="91"/>
      <c r="G286" s="90"/>
      <c r="H286" s="90"/>
      <c r="I286" s="93"/>
      <c r="J286" s="90"/>
      <c r="K286" s="90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spans="1:26" ht="15.75" customHeight="1" x14ac:dyDescent="0.3">
      <c r="A287" s="64"/>
      <c r="B287" s="64"/>
      <c r="C287" s="64"/>
      <c r="D287" s="90"/>
      <c r="E287" s="91"/>
      <c r="F287" s="91"/>
      <c r="G287" s="90"/>
      <c r="H287" s="90"/>
      <c r="I287" s="93"/>
      <c r="J287" s="90"/>
      <c r="K287" s="90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spans="1:26" ht="15.75" customHeight="1" x14ac:dyDescent="0.3">
      <c r="A288" s="64"/>
      <c r="B288" s="64"/>
      <c r="C288" s="64"/>
      <c r="D288" s="90"/>
      <c r="E288" s="91"/>
      <c r="F288" s="91"/>
      <c r="G288" s="90"/>
      <c r="H288" s="90"/>
      <c r="I288" s="93"/>
      <c r="J288" s="90"/>
      <c r="K288" s="90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spans="1:26" ht="15.75" customHeight="1" x14ac:dyDescent="0.3">
      <c r="A289" s="64"/>
      <c r="B289" s="64"/>
      <c r="C289" s="64"/>
      <c r="D289" s="90"/>
      <c r="E289" s="91"/>
      <c r="F289" s="91"/>
      <c r="G289" s="90"/>
      <c r="H289" s="90"/>
      <c r="I289" s="93"/>
      <c r="J289" s="90"/>
      <c r="K289" s="90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spans="1:26" ht="15.75" customHeight="1" x14ac:dyDescent="0.3">
      <c r="A290" s="64"/>
      <c r="B290" s="64"/>
      <c r="C290" s="64"/>
      <c r="D290" s="90"/>
      <c r="E290" s="91"/>
      <c r="F290" s="91"/>
      <c r="G290" s="90"/>
      <c r="H290" s="90"/>
      <c r="I290" s="93"/>
      <c r="J290" s="90"/>
      <c r="K290" s="90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spans="1:26" ht="15.75" customHeight="1" x14ac:dyDescent="0.3">
      <c r="A291" s="64"/>
      <c r="B291" s="64"/>
      <c r="C291" s="64"/>
      <c r="D291" s="90"/>
      <c r="E291" s="91"/>
      <c r="F291" s="91"/>
      <c r="G291" s="90"/>
      <c r="H291" s="90"/>
      <c r="I291" s="93"/>
      <c r="J291" s="90"/>
      <c r="K291" s="90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spans="1:26" ht="15.75" customHeight="1" x14ac:dyDescent="0.3">
      <c r="A292" s="64"/>
      <c r="B292" s="64"/>
      <c r="C292" s="64"/>
      <c r="D292" s="90"/>
      <c r="E292" s="91"/>
      <c r="F292" s="91"/>
      <c r="G292" s="90"/>
      <c r="H292" s="90"/>
      <c r="I292" s="93"/>
      <c r="J292" s="90"/>
      <c r="K292" s="90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spans="1:26" ht="15.75" customHeight="1" x14ac:dyDescent="0.3">
      <c r="A293" s="64"/>
      <c r="B293" s="64"/>
      <c r="C293" s="64"/>
      <c r="D293" s="90"/>
      <c r="E293" s="91"/>
      <c r="F293" s="91"/>
      <c r="G293" s="90"/>
      <c r="H293" s="90"/>
      <c r="I293" s="93"/>
      <c r="J293" s="90"/>
      <c r="K293" s="90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spans="1:26" ht="15.75" customHeight="1" x14ac:dyDescent="0.3">
      <c r="A294" s="64"/>
      <c r="B294" s="64"/>
      <c r="C294" s="64"/>
      <c r="D294" s="90"/>
      <c r="E294" s="91"/>
      <c r="F294" s="91"/>
      <c r="G294" s="90"/>
      <c r="H294" s="90"/>
      <c r="I294" s="93"/>
      <c r="J294" s="90"/>
      <c r="K294" s="90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spans="1:26" ht="15.75" customHeight="1" x14ac:dyDescent="0.3">
      <c r="A295" s="64"/>
      <c r="B295" s="64"/>
      <c r="C295" s="64"/>
      <c r="D295" s="90"/>
      <c r="E295" s="91"/>
      <c r="F295" s="91"/>
      <c r="G295" s="90"/>
      <c r="H295" s="90"/>
      <c r="I295" s="93"/>
      <c r="J295" s="90"/>
      <c r="K295" s="90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spans="1:26" ht="15.75" customHeight="1" x14ac:dyDescent="0.3">
      <c r="A296" s="64"/>
      <c r="B296" s="64"/>
      <c r="C296" s="64"/>
      <c r="D296" s="90"/>
      <c r="E296" s="91"/>
      <c r="F296" s="91"/>
      <c r="G296" s="90"/>
      <c r="H296" s="90"/>
      <c r="I296" s="93"/>
      <c r="J296" s="90"/>
      <c r="K296" s="90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spans="1:26" ht="15.75" customHeight="1" x14ac:dyDescent="0.3">
      <c r="A297" s="64"/>
      <c r="B297" s="64"/>
      <c r="C297" s="64"/>
      <c r="D297" s="90"/>
      <c r="E297" s="91"/>
      <c r="F297" s="91"/>
      <c r="G297" s="90"/>
      <c r="H297" s="90"/>
      <c r="I297" s="93"/>
      <c r="J297" s="90"/>
      <c r="K297" s="90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spans="1:26" ht="15.75" customHeight="1" x14ac:dyDescent="0.3">
      <c r="A298" s="64"/>
      <c r="B298" s="64"/>
      <c r="C298" s="64"/>
      <c r="D298" s="90"/>
      <c r="E298" s="91"/>
      <c r="F298" s="91"/>
      <c r="G298" s="90"/>
      <c r="H298" s="90"/>
      <c r="I298" s="93"/>
      <c r="J298" s="90"/>
      <c r="K298" s="90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spans="1:26" ht="15.75" customHeight="1" x14ac:dyDescent="0.3">
      <c r="A299" s="64"/>
      <c r="B299" s="64"/>
      <c r="C299" s="64"/>
      <c r="D299" s="90"/>
      <c r="E299" s="91"/>
      <c r="F299" s="91"/>
      <c r="G299" s="90"/>
      <c r="H299" s="90"/>
      <c r="I299" s="93"/>
      <c r="J299" s="90"/>
      <c r="K299" s="90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spans="1:26" ht="15.75" customHeight="1" x14ac:dyDescent="0.3">
      <c r="A300" s="64"/>
      <c r="B300" s="64"/>
      <c r="C300" s="64"/>
      <c r="D300" s="90"/>
      <c r="E300" s="91"/>
      <c r="F300" s="91"/>
      <c r="G300" s="90"/>
      <c r="H300" s="90"/>
      <c r="I300" s="93"/>
      <c r="J300" s="90"/>
      <c r="K300" s="90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spans="1:26" ht="15.75" customHeight="1" x14ac:dyDescent="0.3">
      <c r="A301" s="64"/>
      <c r="B301" s="64"/>
      <c r="C301" s="64"/>
      <c r="D301" s="90"/>
      <c r="E301" s="91"/>
      <c r="F301" s="91"/>
      <c r="G301" s="90"/>
      <c r="H301" s="90"/>
      <c r="I301" s="93"/>
      <c r="J301" s="90"/>
      <c r="K301" s="90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spans="1:26" ht="15.75" customHeight="1" x14ac:dyDescent="0.3">
      <c r="A302" s="64"/>
      <c r="B302" s="64"/>
      <c r="C302" s="64"/>
      <c r="D302" s="90"/>
      <c r="E302" s="91"/>
      <c r="F302" s="91"/>
      <c r="G302" s="90"/>
      <c r="H302" s="90"/>
      <c r="I302" s="93"/>
      <c r="J302" s="90"/>
      <c r="K302" s="90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spans="1:26" ht="15.75" customHeight="1" x14ac:dyDescent="0.3">
      <c r="A303" s="64"/>
      <c r="B303" s="64"/>
      <c r="C303" s="64"/>
      <c r="D303" s="90"/>
      <c r="E303" s="91"/>
      <c r="F303" s="91"/>
      <c r="G303" s="90"/>
      <c r="H303" s="90"/>
      <c r="I303" s="93"/>
      <c r="J303" s="90"/>
      <c r="K303" s="90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spans="1:26" ht="15.75" customHeight="1" x14ac:dyDescent="0.3">
      <c r="A304" s="64"/>
      <c r="B304" s="64"/>
      <c r="C304" s="64"/>
      <c r="D304" s="90"/>
      <c r="E304" s="91"/>
      <c r="F304" s="91"/>
      <c r="G304" s="90"/>
      <c r="H304" s="90"/>
      <c r="I304" s="93"/>
      <c r="J304" s="90"/>
      <c r="K304" s="90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spans="1:26" ht="15.75" customHeight="1" x14ac:dyDescent="0.3">
      <c r="A305" s="64"/>
      <c r="B305" s="64"/>
      <c r="C305" s="64"/>
      <c r="D305" s="90"/>
      <c r="E305" s="91"/>
      <c r="F305" s="91"/>
      <c r="G305" s="90"/>
      <c r="H305" s="90"/>
      <c r="I305" s="93"/>
      <c r="J305" s="90"/>
      <c r="K305" s="90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spans="1:26" ht="15.75" customHeight="1" x14ac:dyDescent="0.3">
      <c r="A306" s="64"/>
      <c r="B306" s="64"/>
      <c r="C306" s="64"/>
      <c r="D306" s="90"/>
      <c r="E306" s="91"/>
      <c r="F306" s="91"/>
      <c r="G306" s="90"/>
      <c r="H306" s="90"/>
      <c r="I306" s="93"/>
      <c r="J306" s="90"/>
      <c r="K306" s="90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spans="1:26" ht="15.75" customHeight="1" x14ac:dyDescent="0.3">
      <c r="A307" s="64"/>
      <c r="B307" s="64"/>
      <c r="C307" s="64"/>
      <c r="D307" s="90"/>
      <c r="E307" s="91"/>
      <c r="F307" s="91"/>
      <c r="G307" s="90"/>
      <c r="H307" s="90"/>
      <c r="I307" s="93"/>
      <c r="J307" s="90"/>
      <c r="K307" s="90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spans="1:26" ht="15.75" customHeight="1" x14ac:dyDescent="0.3">
      <c r="A308" s="64"/>
      <c r="B308" s="64"/>
      <c r="C308" s="64"/>
      <c r="D308" s="90"/>
      <c r="E308" s="91"/>
      <c r="F308" s="91"/>
      <c r="G308" s="90"/>
      <c r="H308" s="90"/>
      <c r="I308" s="93"/>
      <c r="J308" s="90"/>
      <c r="K308" s="90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spans="1:26" ht="15.75" customHeight="1" x14ac:dyDescent="0.3">
      <c r="A309" s="64"/>
      <c r="B309" s="64"/>
      <c r="C309" s="64"/>
      <c r="D309" s="90"/>
      <c r="E309" s="91"/>
      <c r="F309" s="91"/>
      <c r="G309" s="90"/>
      <c r="H309" s="90"/>
      <c r="I309" s="93"/>
      <c r="J309" s="90"/>
      <c r="K309" s="90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spans="1:26" ht="15.75" customHeight="1" x14ac:dyDescent="0.3">
      <c r="A310" s="64"/>
      <c r="B310" s="64"/>
      <c r="C310" s="64"/>
      <c r="D310" s="90"/>
      <c r="E310" s="91"/>
      <c r="F310" s="91"/>
      <c r="G310" s="90"/>
      <c r="H310" s="90"/>
      <c r="I310" s="93"/>
      <c r="J310" s="90"/>
      <c r="K310" s="90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spans="1:26" ht="15.75" customHeight="1" x14ac:dyDescent="0.3">
      <c r="A311" s="64"/>
      <c r="B311" s="64"/>
      <c r="C311" s="64"/>
      <c r="D311" s="90"/>
      <c r="E311" s="91"/>
      <c r="F311" s="91"/>
      <c r="G311" s="90"/>
      <c r="H311" s="90"/>
      <c r="I311" s="93"/>
      <c r="J311" s="90"/>
      <c r="K311" s="90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spans="1:26" ht="15.75" customHeight="1" x14ac:dyDescent="0.3">
      <c r="A312" s="64"/>
      <c r="B312" s="64"/>
      <c r="C312" s="64"/>
      <c r="D312" s="90"/>
      <c r="E312" s="91"/>
      <c r="F312" s="91"/>
      <c r="G312" s="90"/>
      <c r="H312" s="90"/>
      <c r="I312" s="93"/>
      <c r="J312" s="90"/>
      <c r="K312" s="90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spans="1:26" ht="15.75" customHeight="1" x14ac:dyDescent="0.3">
      <c r="A313" s="64"/>
      <c r="B313" s="64"/>
      <c r="C313" s="64"/>
      <c r="D313" s="90"/>
      <c r="E313" s="91"/>
      <c r="F313" s="91"/>
      <c r="G313" s="90"/>
      <c r="H313" s="90"/>
      <c r="I313" s="93"/>
      <c r="J313" s="90"/>
      <c r="K313" s="90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spans="1:26" ht="15.75" customHeight="1" x14ac:dyDescent="0.3">
      <c r="A314" s="64"/>
      <c r="B314" s="64"/>
      <c r="C314" s="64"/>
      <c r="D314" s="90"/>
      <c r="E314" s="91"/>
      <c r="F314" s="91"/>
      <c r="G314" s="90"/>
      <c r="H314" s="90"/>
      <c r="I314" s="93"/>
      <c r="J314" s="90"/>
      <c r="K314" s="90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spans="1:26" ht="15.75" customHeight="1" x14ac:dyDescent="0.3">
      <c r="A315" s="64"/>
      <c r="B315" s="64"/>
      <c r="C315" s="64"/>
      <c r="D315" s="90"/>
      <c r="E315" s="91"/>
      <c r="F315" s="91"/>
      <c r="G315" s="90"/>
      <c r="H315" s="90"/>
      <c r="I315" s="93"/>
      <c r="J315" s="90"/>
      <c r="K315" s="90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spans="1:26" ht="15.75" customHeight="1" x14ac:dyDescent="0.3">
      <c r="A316" s="64"/>
      <c r="B316" s="64"/>
      <c r="C316" s="64"/>
      <c r="D316" s="90"/>
      <c r="E316" s="91"/>
      <c r="F316" s="91"/>
      <c r="G316" s="90"/>
      <c r="H316" s="90"/>
      <c r="I316" s="93"/>
      <c r="J316" s="90"/>
      <c r="K316" s="90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spans="1:26" ht="15.75" customHeight="1" x14ac:dyDescent="0.3">
      <c r="A317" s="64"/>
      <c r="B317" s="64"/>
      <c r="C317" s="64"/>
      <c r="D317" s="90"/>
      <c r="E317" s="91"/>
      <c r="F317" s="91"/>
      <c r="G317" s="90"/>
      <c r="H317" s="90"/>
      <c r="I317" s="93"/>
      <c r="J317" s="90"/>
      <c r="K317" s="90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spans="1:26" ht="15.75" customHeight="1" x14ac:dyDescent="0.3">
      <c r="A318" s="64"/>
      <c r="B318" s="64"/>
      <c r="C318" s="64"/>
      <c r="D318" s="90"/>
      <c r="E318" s="91"/>
      <c r="F318" s="91"/>
      <c r="G318" s="90"/>
      <c r="H318" s="90"/>
      <c r="I318" s="93"/>
      <c r="J318" s="90"/>
      <c r="K318" s="90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spans="1:26" ht="15.75" customHeight="1" x14ac:dyDescent="0.3">
      <c r="A319" s="64"/>
      <c r="B319" s="64"/>
      <c r="C319" s="64"/>
      <c r="D319" s="90"/>
      <c r="E319" s="91"/>
      <c r="F319" s="91"/>
      <c r="G319" s="90"/>
      <c r="H319" s="90"/>
      <c r="I319" s="93"/>
      <c r="J319" s="90"/>
      <c r="K319" s="90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spans="1:26" ht="15.75" customHeight="1" x14ac:dyDescent="0.3">
      <c r="A320" s="64"/>
      <c r="B320" s="64"/>
      <c r="C320" s="64"/>
      <c r="D320" s="90"/>
      <c r="E320" s="91"/>
      <c r="F320" s="91"/>
      <c r="G320" s="90"/>
      <c r="H320" s="90"/>
      <c r="I320" s="93"/>
      <c r="J320" s="90"/>
      <c r="K320" s="90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spans="1:26" ht="15.75" customHeight="1" x14ac:dyDescent="0.3">
      <c r="A321" s="64"/>
      <c r="B321" s="64"/>
      <c r="C321" s="64"/>
      <c r="D321" s="90"/>
      <c r="E321" s="91"/>
      <c r="F321" s="91"/>
      <c r="G321" s="90"/>
      <c r="H321" s="90"/>
      <c r="I321" s="93"/>
      <c r="J321" s="90"/>
      <c r="K321" s="90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spans="1:26" ht="15.75" customHeight="1" x14ac:dyDescent="0.3">
      <c r="A322" s="64"/>
      <c r="B322" s="64"/>
      <c r="C322" s="64"/>
      <c r="D322" s="90"/>
      <c r="E322" s="91"/>
      <c r="F322" s="91"/>
      <c r="G322" s="90"/>
      <c r="H322" s="90"/>
      <c r="I322" s="93"/>
      <c r="J322" s="90"/>
      <c r="K322" s="90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spans="1:26" ht="15.75" customHeight="1" x14ac:dyDescent="0.3">
      <c r="A323" s="64"/>
      <c r="B323" s="64"/>
      <c r="C323" s="64"/>
      <c r="D323" s="90"/>
      <c r="E323" s="91"/>
      <c r="F323" s="91"/>
      <c r="G323" s="90"/>
      <c r="H323" s="90"/>
      <c r="I323" s="93"/>
      <c r="J323" s="90"/>
      <c r="K323" s="90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spans="1:26" ht="15.75" customHeight="1" x14ac:dyDescent="0.3">
      <c r="A324" s="64"/>
      <c r="B324" s="64"/>
      <c r="C324" s="64"/>
      <c r="D324" s="90"/>
      <c r="E324" s="91"/>
      <c r="F324" s="91"/>
      <c r="G324" s="90"/>
      <c r="H324" s="90"/>
      <c r="I324" s="93"/>
      <c r="J324" s="90"/>
      <c r="K324" s="90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spans="1:26" ht="15.75" customHeight="1" x14ac:dyDescent="0.3">
      <c r="A325" s="64"/>
      <c r="B325" s="64"/>
      <c r="C325" s="64"/>
      <c r="D325" s="90"/>
      <c r="E325" s="91"/>
      <c r="F325" s="91"/>
      <c r="G325" s="90"/>
      <c r="H325" s="90"/>
      <c r="I325" s="93"/>
      <c r="J325" s="90"/>
      <c r="K325" s="90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spans="1:26" ht="15.75" customHeight="1" x14ac:dyDescent="0.3">
      <c r="A326" s="64"/>
      <c r="B326" s="64"/>
      <c r="C326" s="64"/>
      <c r="D326" s="90"/>
      <c r="E326" s="91"/>
      <c r="F326" s="91"/>
      <c r="G326" s="90"/>
      <c r="H326" s="90"/>
      <c r="I326" s="93"/>
      <c r="J326" s="90"/>
      <c r="K326" s="90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spans="1:26" ht="15.75" customHeight="1" x14ac:dyDescent="0.3">
      <c r="A327" s="64"/>
      <c r="B327" s="64"/>
      <c r="C327" s="64"/>
      <c r="D327" s="90"/>
      <c r="E327" s="91"/>
      <c r="F327" s="91"/>
      <c r="G327" s="90"/>
      <c r="H327" s="90"/>
      <c r="I327" s="93"/>
      <c r="J327" s="90"/>
      <c r="K327" s="90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spans="1:26" ht="15.75" customHeight="1" x14ac:dyDescent="0.3">
      <c r="A328" s="64"/>
      <c r="B328" s="64"/>
      <c r="C328" s="64"/>
      <c r="D328" s="90"/>
      <c r="E328" s="91"/>
      <c r="F328" s="91"/>
      <c r="G328" s="90"/>
      <c r="H328" s="90"/>
      <c r="I328" s="93"/>
      <c r="J328" s="90"/>
      <c r="K328" s="90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spans="1:26" ht="15.75" customHeight="1" x14ac:dyDescent="0.3">
      <c r="A329" s="64"/>
      <c r="B329" s="64"/>
      <c r="C329" s="64"/>
      <c r="D329" s="90"/>
      <c r="E329" s="91"/>
      <c r="F329" s="91"/>
      <c r="G329" s="90"/>
      <c r="H329" s="90"/>
      <c r="I329" s="93"/>
      <c r="J329" s="90"/>
      <c r="K329" s="90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spans="1:26" ht="15.75" customHeight="1" x14ac:dyDescent="0.3">
      <c r="A330" s="64"/>
      <c r="B330" s="64"/>
      <c r="C330" s="64"/>
      <c r="D330" s="90"/>
      <c r="E330" s="91"/>
      <c r="F330" s="91"/>
      <c r="G330" s="90"/>
      <c r="H330" s="90"/>
      <c r="I330" s="93"/>
      <c r="J330" s="90"/>
      <c r="K330" s="90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spans="1:26" ht="15.75" customHeight="1" x14ac:dyDescent="0.3">
      <c r="A331" s="64"/>
      <c r="B331" s="64"/>
      <c r="C331" s="64"/>
      <c r="D331" s="90"/>
      <c r="E331" s="91"/>
      <c r="F331" s="91"/>
      <c r="G331" s="90"/>
      <c r="H331" s="90"/>
      <c r="I331" s="93"/>
      <c r="J331" s="90"/>
      <c r="K331" s="90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spans="1:26" ht="15.75" customHeight="1" x14ac:dyDescent="0.3">
      <c r="A332" s="64"/>
      <c r="B332" s="64"/>
      <c r="C332" s="64"/>
      <c r="D332" s="90"/>
      <c r="E332" s="91"/>
      <c r="F332" s="91"/>
      <c r="G332" s="90"/>
      <c r="H332" s="90"/>
      <c r="I332" s="93"/>
      <c r="J332" s="90"/>
      <c r="K332" s="90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spans="1:26" ht="15.75" customHeight="1" x14ac:dyDescent="0.3">
      <c r="A333" s="64"/>
      <c r="B333" s="64"/>
      <c r="C333" s="64"/>
      <c r="D333" s="90"/>
      <c r="E333" s="91"/>
      <c r="F333" s="91"/>
      <c r="G333" s="90"/>
      <c r="H333" s="90"/>
      <c r="I333" s="93"/>
      <c r="J333" s="90"/>
      <c r="K333" s="90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spans="1:26" ht="15.75" customHeight="1" x14ac:dyDescent="0.3">
      <c r="A334" s="64"/>
      <c r="B334" s="64"/>
      <c r="C334" s="64"/>
      <c r="D334" s="90"/>
      <c r="E334" s="91"/>
      <c r="F334" s="91"/>
      <c r="G334" s="90"/>
      <c r="H334" s="90"/>
      <c r="I334" s="93"/>
      <c r="J334" s="90"/>
      <c r="K334" s="90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spans="1:26" ht="15.75" customHeight="1" x14ac:dyDescent="0.3">
      <c r="A335" s="64"/>
      <c r="B335" s="64"/>
      <c r="C335" s="64"/>
      <c r="D335" s="90"/>
      <c r="E335" s="91"/>
      <c r="F335" s="91"/>
      <c r="G335" s="90"/>
      <c r="H335" s="90"/>
      <c r="I335" s="93"/>
      <c r="J335" s="90"/>
      <c r="K335" s="90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spans="1:26" ht="15.75" customHeight="1" x14ac:dyDescent="0.3">
      <c r="A336" s="64"/>
      <c r="B336" s="64"/>
      <c r="C336" s="64"/>
      <c r="D336" s="90"/>
      <c r="E336" s="91"/>
      <c r="F336" s="91"/>
      <c r="G336" s="90"/>
      <c r="H336" s="90"/>
      <c r="I336" s="93"/>
      <c r="J336" s="90"/>
      <c r="K336" s="90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spans="1:26" ht="15.75" customHeight="1" x14ac:dyDescent="0.3">
      <c r="A337" s="64"/>
      <c r="B337" s="64"/>
      <c r="C337" s="64"/>
      <c r="D337" s="90"/>
      <c r="E337" s="91"/>
      <c r="F337" s="91"/>
      <c r="G337" s="90"/>
      <c r="H337" s="90"/>
      <c r="I337" s="93"/>
      <c r="J337" s="90"/>
      <c r="K337" s="90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spans="1:26" ht="15.75" customHeight="1" x14ac:dyDescent="0.3">
      <c r="A338" s="64"/>
      <c r="B338" s="64"/>
      <c r="C338" s="64"/>
      <c r="D338" s="90"/>
      <c r="E338" s="91"/>
      <c r="F338" s="91"/>
      <c r="G338" s="90"/>
      <c r="H338" s="90"/>
      <c r="I338" s="93"/>
      <c r="J338" s="90"/>
      <c r="K338" s="90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spans="1:26" ht="15.75" customHeight="1" x14ac:dyDescent="0.3">
      <c r="A339" s="64"/>
      <c r="B339" s="64"/>
      <c r="C339" s="64"/>
      <c r="D339" s="90"/>
      <c r="E339" s="91"/>
      <c r="F339" s="91"/>
      <c r="G339" s="90"/>
      <c r="H339" s="90"/>
      <c r="I339" s="93"/>
      <c r="J339" s="90"/>
      <c r="K339" s="90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spans="1:26" ht="15.75" customHeight="1" x14ac:dyDescent="0.3">
      <c r="A340" s="64"/>
      <c r="B340" s="64"/>
      <c r="C340" s="64"/>
      <c r="D340" s="90"/>
      <c r="E340" s="91"/>
      <c r="F340" s="91"/>
      <c r="G340" s="90"/>
      <c r="H340" s="90"/>
      <c r="I340" s="93"/>
      <c r="J340" s="90"/>
      <c r="K340" s="90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spans="1:26" ht="15.75" customHeight="1" x14ac:dyDescent="0.3">
      <c r="A341" s="64"/>
      <c r="B341" s="64"/>
      <c r="C341" s="64"/>
      <c r="D341" s="90"/>
      <c r="E341" s="91"/>
      <c r="F341" s="91"/>
      <c r="G341" s="90"/>
      <c r="H341" s="90"/>
      <c r="I341" s="93"/>
      <c r="J341" s="90"/>
      <c r="K341" s="90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spans="1:26" ht="15.75" customHeight="1" x14ac:dyDescent="0.3">
      <c r="A342" s="64"/>
      <c r="B342" s="64"/>
      <c r="C342" s="64"/>
      <c r="D342" s="90"/>
      <c r="E342" s="91"/>
      <c r="F342" s="91"/>
      <c r="G342" s="90"/>
      <c r="H342" s="90"/>
      <c r="I342" s="93"/>
      <c r="J342" s="90"/>
      <c r="K342" s="90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spans="1:26" ht="15.75" customHeight="1" x14ac:dyDescent="0.3">
      <c r="A343" s="64"/>
      <c r="B343" s="64"/>
      <c r="C343" s="64"/>
      <c r="D343" s="90"/>
      <c r="E343" s="91"/>
      <c r="F343" s="91"/>
      <c r="G343" s="90"/>
      <c r="H343" s="90"/>
      <c r="I343" s="93"/>
      <c r="J343" s="90"/>
      <c r="K343" s="90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spans="1:26" ht="15.75" customHeight="1" x14ac:dyDescent="0.3">
      <c r="A344" s="64"/>
      <c r="B344" s="64"/>
      <c r="C344" s="64"/>
      <c r="D344" s="90"/>
      <c r="E344" s="91"/>
      <c r="F344" s="91"/>
      <c r="G344" s="90"/>
      <c r="H344" s="90"/>
      <c r="I344" s="93"/>
      <c r="J344" s="90"/>
      <c r="K344" s="90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spans="1:26" ht="15.75" customHeight="1" x14ac:dyDescent="0.3">
      <c r="A345" s="64"/>
      <c r="B345" s="64"/>
      <c r="C345" s="64"/>
      <c r="D345" s="90"/>
      <c r="E345" s="91"/>
      <c r="F345" s="91"/>
      <c r="G345" s="90"/>
      <c r="H345" s="90"/>
      <c r="I345" s="93"/>
      <c r="J345" s="90"/>
      <c r="K345" s="90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spans="1:26" ht="15.75" customHeight="1" x14ac:dyDescent="0.3">
      <c r="A346" s="64"/>
      <c r="B346" s="64"/>
      <c r="C346" s="64"/>
      <c r="D346" s="90"/>
      <c r="E346" s="91"/>
      <c r="F346" s="91"/>
      <c r="G346" s="90"/>
      <c r="H346" s="90"/>
      <c r="I346" s="93"/>
      <c r="J346" s="90"/>
      <c r="K346" s="90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spans="1:26" ht="15.75" customHeight="1" x14ac:dyDescent="0.3">
      <c r="A347" s="64"/>
      <c r="B347" s="64"/>
      <c r="C347" s="64"/>
      <c r="D347" s="90"/>
      <c r="E347" s="91"/>
      <c r="F347" s="91"/>
      <c r="G347" s="90"/>
      <c r="H347" s="90"/>
      <c r="I347" s="93"/>
      <c r="J347" s="90"/>
      <c r="K347" s="90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spans="1:26" ht="15.75" customHeight="1" x14ac:dyDescent="0.3">
      <c r="A348" s="64"/>
      <c r="B348" s="64"/>
      <c r="C348" s="64"/>
      <c r="D348" s="90"/>
      <c r="E348" s="91"/>
      <c r="F348" s="91"/>
      <c r="G348" s="90"/>
      <c r="H348" s="90"/>
      <c r="I348" s="93"/>
      <c r="J348" s="90"/>
      <c r="K348" s="90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spans="1:26" ht="15.75" customHeight="1" x14ac:dyDescent="0.3">
      <c r="A349" s="64"/>
      <c r="B349" s="64"/>
      <c r="C349" s="64"/>
      <c r="D349" s="90"/>
      <c r="E349" s="91"/>
      <c r="F349" s="91"/>
      <c r="G349" s="90"/>
      <c r="H349" s="90"/>
      <c r="I349" s="93"/>
      <c r="J349" s="90"/>
      <c r="K349" s="90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spans="1:26" ht="15.75" customHeight="1" x14ac:dyDescent="0.3">
      <c r="A350" s="64"/>
      <c r="B350" s="64"/>
      <c r="C350" s="64"/>
      <c r="D350" s="90"/>
      <c r="E350" s="91"/>
      <c r="F350" s="91"/>
      <c r="G350" s="90"/>
      <c r="H350" s="90"/>
      <c r="I350" s="93"/>
      <c r="J350" s="90"/>
      <c r="K350" s="90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spans="1:26" ht="15.75" customHeight="1" x14ac:dyDescent="0.3">
      <c r="A351" s="64"/>
      <c r="B351" s="64"/>
      <c r="C351" s="64"/>
      <c r="D351" s="90"/>
      <c r="E351" s="91"/>
      <c r="F351" s="91"/>
      <c r="G351" s="90"/>
      <c r="H351" s="90"/>
      <c r="I351" s="93"/>
      <c r="J351" s="90"/>
      <c r="K351" s="90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spans="1:26" ht="15.75" customHeight="1" x14ac:dyDescent="0.3">
      <c r="A352" s="64"/>
      <c r="B352" s="64"/>
      <c r="C352" s="64"/>
      <c r="D352" s="90"/>
      <c r="E352" s="91"/>
      <c r="F352" s="91"/>
      <c r="G352" s="90"/>
      <c r="H352" s="90"/>
      <c r="I352" s="93"/>
      <c r="J352" s="90"/>
      <c r="K352" s="90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spans="1:26" ht="15.75" customHeight="1" x14ac:dyDescent="0.3">
      <c r="A353" s="64"/>
      <c r="B353" s="64"/>
      <c r="C353" s="64"/>
      <c r="D353" s="90"/>
      <c r="E353" s="91"/>
      <c r="F353" s="91"/>
      <c r="G353" s="90"/>
      <c r="H353" s="90"/>
      <c r="I353" s="93"/>
      <c r="J353" s="90"/>
      <c r="K353" s="90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spans="1:26" ht="15.75" customHeight="1" x14ac:dyDescent="0.3">
      <c r="A354" s="64"/>
      <c r="B354" s="64"/>
      <c r="C354" s="64"/>
      <c r="D354" s="90"/>
      <c r="E354" s="91"/>
      <c r="F354" s="91"/>
      <c r="G354" s="90"/>
      <c r="H354" s="90"/>
      <c r="I354" s="93"/>
      <c r="J354" s="90"/>
      <c r="K354" s="90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spans="1:26" ht="15.75" customHeight="1" x14ac:dyDescent="0.3">
      <c r="A355" s="64"/>
      <c r="B355" s="64"/>
      <c r="C355" s="64"/>
      <c r="D355" s="90"/>
      <c r="E355" s="91"/>
      <c r="F355" s="91"/>
      <c r="G355" s="90"/>
      <c r="H355" s="90"/>
      <c r="I355" s="93"/>
      <c r="J355" s="90"/>
      <c r="K355" s="90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spans="1:26" ht="15.75" customHeight="1" x14ac:dyDescent="0.3">
      <c r="A356" s="64"/>
      <c r="B356" s="64"/>
      <c r="C356" s="64"/>
      <c r="D356" s="90"/>
      <c r="E356" s="91"/>
      <c r="F356" s="91"/>
      <c r="G356" s="90"/>
      <c r="H356" s="90"/>
      <c r="I356" s="93"/>
      <c r="J356" s="90"/>
      <c r="K356" s="90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spans="1:26" ht="15.75" customHeight="1" x14ac:dyDescent="0.3">
      <c r="A357" s="64"/>
      <c r="B357" s="64"/>
      <c r="C357" s="64"/>
      <c r="D357" s="90"/>
      <c r="E357" s="91"/>
      <c r="F357" s="91"/>
      <c r="G357" s="90"/>
      <c r="H357" s="90"/>
      <c r="I357" s="93"/>
      <c r="J357" s="90"/>
      <c r="K357" s="90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spans="1:26" ht="15.75" customHeight="1" x14ac:dyDescent="0.3">
      <c r="A358" s="64"/>
      <c r="B358" s="64"/>
      <c r="C358" s="64"/>
      <c r="D358" s="90"/>
      <c r="E358" s="91"/>
      <c r="F358" s="91"/>
      <c r="G358" s="90"/>
      <c r="H358" s="90"/>
      <c r="I358" s="93"/>
      <c r="J358" s="90"/>
      <c r="K358" s="90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spans="1:26" ht="15.75" customHeight="1" x14ac:dyDescent="0.3">
      <c r="A359" s="64"/>
      <c r="B359" s="64"/>
      <c r="C359" s="64"/>
      <c r="D359" s="90"/>
      <c r="E359" s="91"/>
      <c r="F359" s="91"/>
      <c r="G359" s="90"/>
      <c r="H359" s="90"/>
      <c r="I359" s="93"/>
      <c r="J359" s="90"/>
      <c r="K359" s="90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spans="1:26" ht="15.75" customHeight="1" x14ac:dyDescent="0.3">
      <c r="A360" s="64"/>
      <c r="B360" s="64"/>
      <c r="C360" s="64"/>
      <c r="D360" s="90"/>
      <c r="E360" s="91"/>
      <c r="F360" s="91"/>
      <c r="G360" s="90"/>
      <c r="H360" s="90"/>
      <c r="I360" s="93"/>
      <c r="J360" s="90"/>
      <c r="K360" s="90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spans="1:26" ht="15.75" customHeight="1" x14ac:dyDescent="0.3">
      <c r="A361" s="64"/>
      <c r="B361" s="64"/>
      <c r="C361" s="64"/>
      <c r="D361" s="90"/>
      <c r="E361" s="91"/>
      <c r="F361" s="91"/>
      <c r="G361" s="90"/>
      <c r="H361" s="90"/>
      <c r="I361" s="93"/>
      <c r="J361" s="90"/>
      <c r="K361" s="90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spans="1:26" ht="15.75" customHeight="1" x14ac:dyDescent="0.3">
      <c r="A362" s="64"/>
      <c r="B362" s="64"/>
      <c r="C362" s="64"/>
      <c r="D362" s="90"/>
      <c r="E362" s="91"/>
      <c r="F362" s="91"/>
      <c r="G362" s="90"/>
      <c r="H362" s="90"/>
      <c r="I362" s="93"/>
      <c r="J362" s="90"/>
      <c r="K362" s="90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spans="1:26" ht="15.75" customHeight="1" x14ac:dyDescent="0.3">
      <c r="A363" s="64"/>
      <c r="B363" s="64"/>
      <c r="C363" s="64"/>
      <c r="D363" s="90"/>
      <c r="E363" s="91"/>
      <c r="F363" s="91"/>
      <c r="G363" s="90"/>
      <c r="H363" s="90"/>
      <c r="I363" s="93"/>
      <c r="J363" s="90"/>
      <c r="K363" s="90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spans="1:26" ht="15.75" customHeight="1" x14ac:dyDescent="0.3">
      <c r="A364" s="64"/>
      <c r="B364" s="64"/>
      <c r="C364" s="64"/>
      <c r="D364" s="90"/>
      <c r="E364" s="91"/>
      <c r="F364" s="91"/>
      <c r="G364" s="90"/>
      <c r="H364" s="90"/>
      <c r="I364" s="93"/>
      <c r="J364" s="90"/>
      <c r="K364" s="90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spans="1:26" ht="15.75" customHeight="1" x14ac:dyDescent="0.3">
      <c r="A365" s="64"/>
      <c r="B365" s="64"/>
      <c r="C365" s="64"/>
      <c r="D365" s="90"/>
      <c r="E365" s="91"/>
      <c r="F365" s="91"/>
      <c r="G365" s="90"/>
      <c r="H365" s="90"/>
      <c r="I365" s="93"/>
      <c r="J365" s="90"/>
      <c r="K365" s="90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spans="1:26" ht="15.75" customHeight="1" x14ac:dyDescent="0.3">
      <c r="A366" s="64"/>
      <c r="B366" s="64"/>
      <c r="C366" s="64"/>
      <c r="D366" s="90"/>
      <c r="E366" s="91"/>
      <c r="F366" s="91"/>
      <c r="G366" s="90"/>
      <c r="H366" s="90"/>
      <c r="I366" s="93"/>
      <c r="J366" s="90"/>
      <c r="K366" s="90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spans="1:26" ht="15.75" customHeight="1" x14ac:dyDescent="0.3">
      <c r="A367" s="64"/>
      <c r="B367" s="64"/>
      <c r="C367" s="64"/>
      <c r="D367" s="90"/>
      <c r="E367" s="91"/>
      <c r="F367" s="91"/>
      <c r="G367" s="90"/>
      <c r="H367" s="90"/>
      <c r="I367" s="93"/>
      <c r="J367" s="90"/>
      <c r="K367" s="90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spans="1:26" ht="15.75" customHeight="1" x14ac:dyDescent="0.3">
      <c r="A368" s="64"/>
      <c r="B368" s="64"/>
      <c r="C368" s="64"/>
      <c r="D368" s="90"/>
      <c r="E368" s="91"/>
      <c r="F368" s="91"/>
      <c r="G368" s="90"/>
      <c r="H368" s="90"/>
      <c r="I368" s="93"/>
      <c r="J368" s="90"/>
      <c r="K368" s="90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spans="1:26" ht="15.75" customHeight="1" x14ac:dyDescent="0.3">
      <c r="A369" s="64"/>
      <c r="B369" s="64"/>
      <c r="C369" s="64"/>
      <c r="D369" s="90"/>
      <c r="E369" s="91"/>
      <c r="F369" s="91"/>
      <c r="G369" s="90"/>
      <c r="H369" s="90"/>
      <c r="I369" s="93"/>
      <c r="J369" s="90"/>
      <c r="K369" s="90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spans="1:26" ht="15.75" customHeight="1" x14ac:dyDescent="0.3">
      <c r="A370" s="64"/>
      <c r="B370" s="64"/>
      <c r="C370" s="64"/>
      <c r="D370" s="90"/>
      <c r="E370" s="91"/>
      <c r="F370" s="91"/>
      <c r="G370" s="90"/>
      <c r="H370" s="90"/>
      <c r="I370" s="93"/>
      <c r="J370" s="90"/>
      <c r="K370" s="90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spans="1:26" ht="15.75" customHeight="1" x14ac:dyDescent="0.3">
      <c r="A371" s="64"/>
      <c r="B371" s="64"/>
      <c r="C371" s="64"/>
      <c r="D371" s="90"/>
      <c r="E371" s="91"/>
      <c r="F371" s="91"/>
      <c r="G371" s="90"/>
      <c r="H371" s="90"/>
      <c r="I371" s="93"/>
      <c r="J371" s="90"/>
      <c r="K371" s="90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spans="1:26" ht="15.75" customHeight="1" x14ac:dyDescent="0.3">
      <c r="A372" s="64"/>
      <c r="B372" s="64"/>
      <c r="C372" s="64"/>
      <c r="D372" s="90"/>
      <c r="E372" s="91"/>
      <c r="F372" s="91"/>
      <c r="G372" s="90"/>
      <c r="H372" s="90"/>
      <c r="I372" s="93"/>
      <c r="J372" s="90"/>
      <c r="K372" s="90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spans="1:26" ht="15.75" customHeight="1" x14ac:dyDescent="0.3">
      <c r="A373" s="64"/>
      <c r="B373" s="64"/>
      <c r="C373" s="64"/>
      <c r="D373" s="90"/>
      <c r="E373" s="91"/>
      <c r="F373" s="91"/>
      <c r="G373" s="90"/>
      <c r="H373" s="90"/>
      <c r="I373" s="93"/>
      <c r="J373" s="90"/>
      <c r="K373" s="90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spans="1:26" ht="15.75" customHeight="1" x14ac:dyDescent="0.3">
      <c r="A374" s="64"/>
      <c r="B374" s="64"/>
      <c r="C374" s="64"/>
      <c r="D374" s="90"/>
      <c r="E374" s="91"/>
      <c r="F374" s="91"/>
      <c r="G374" s="90"/>
      <c r="H374" s="90"/>
      <c r="I374" s="93"/>
      <c r="J374" s="90"/>
      <c r="K374" s="90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spans="1:26" ht="15.75" customHeight="1" x14ac:dyDescent="0.3">
      <c r="A375" s="64"/>
      <c r="B375" s="64"/>
      <c r="C375" s="64"/>
      <c r="D375" s="90"/>
      <c r="E375" s="91"/>
      <c r="F375" s="91"/>
      <c r="G375" s="90"/>
      <c r="H375" s="90"/>
      <c r="I375" s="93"/>
      <c r="J375" s="90"/>
      <c r="K375" s="90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spans="1:26" ht="15.75" customHeight="1" x14ac:dyDescent="0.3">
      <c r="A376" s="64"/>
      <c r="B376" s="64"/>
      <c r="C376" s="64"/>
      <c r="D376" s="90"/>
      <c r="E376" s="91"/>
      <c r="F376" s="91"/>
      <c r="G376" s="90"/>
      <c r="H376" s="90"/>
      <c r="I376" s="93"/>
      <c r="J376" s="90"/>
      <c r="K376" s="90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spans="1:26" ht="15.75" customHeight="1" x14ac:dyDescent="0.3">
      <c r="A377" s="64"/>
      <c r="B377" s="64"/>
      <c r="C377" s="64"/>
      <c r="D377" s="90"/>
      <c r="E377" s="91"/>
      <c r="F377" s="91"/>
      <c r="G377" s="90"/>
      <c r="H377" s="90"/>
      <c r="I377" s="93"/>
      <c r="J377" s="90"/>
      <c r="K377" s="90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spans="1:26" ht="15.75" customHeight="1" x14ac:dyDescent="0.3">
      <c r="A378" s="64"/>
      <c r="B378" s="64"/>
      <c r="C378" s="64"/>
      <c r="D378" s="90"/>
      <c r="E378" s="91"/>
      <c r="F378" s="91"/>
      <c r="G378" s="90"/>
      <c r="H378" s="90"/>
      <c r="I378" s="93"/>
      <c r="J378" s="90"/>
      <c r="K378" s="90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spans="1:26" ht="15.75" customHeight="1" x14ac:dyDescent="0.3">
      <c r="A379" s="64"/>
      <c r="B379" s="64"/>
      <c r="C379" s="64"/>
      <c r="D379" s="90"/>
      <c r="E379" s="91"/>
      <c r="F379" s="91"/>
      <c r="G379" s="90"/>
      <c r="H379" s="90"/>
      <c r="I379" s="93"/>
      <c r="J379" s="90"/>
      <c r="K379" s="90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spans="1:26" ht="15.75" customHeight="1" x14ac:dyDescent="0.3">
      <c r="A380" s="64"/>
      <c r="B380" s="64"/>
      <c r="C380" s="64"/>
      <c r="D380" s="90"/>
      <c r="E380" s="91"/>
      <c r="F380" s="91"/>
      <c r="G380" s="90"/>
      <c r="H380" s="90"/>
      <c r="I380" s="93"/>
      <c r="J380" s="90"/>
      <c r="K380" s="90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spans="1:26" ht="15.75" customHeight="1" x14ac:dyDescent="0.3">
      <c r="A381" s="64"/>
      <c r="B381" s="64"/>
      <c r="C381" s="64"/>
      <c r="D381" s="90"/>
      <c r="E381" s="91"/>
      <c r="F381" s="91"/>
      <c r="G381" s="90"/>
      <c r="H381" s="90"/>
      <c r="I381" s="93"/>
      <c r="J381" s="90"/>
      <c r="K381" s="90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spans="1:26" ht="15.75" customHeight="1" x14ac:dyDescent="0.3">
      <c r="A382" s="64"/>
      <c r="B382" s="64"/>
      <c r="C382" s="64"/>
      <c r="D382" s="90"/>
      <c r="E382" s="91"/>
      <c r="F382" s="91"/>
      <c r="G382" s="90"/>
      <c r="H382" s="90"/>
      <c r="I382" s="93"/>
      <c r="J382" s="90"/>
      <c r="K382" s="90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spans="1:26" ht="15.75" customHeight="1" x14ac:dyDescent="0.3">
      <c r="A383" s="64"/>
      <c r="B383" s="64"/>
      <c r="C383" s="64"/>
      <c r="D383" s="90"/>
      <c r="E383" s="91"/>
      <c r="F383" s="91"/>
      <c r="G383" s="90"/>
      <c r="H383" s="90"/>
      <c r="I383" s="93"/>
      <c r="J383" s="90"/>
      <c r="K383" s="90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spans="1:26" ht="15.75" customHeight="1" x14ac:dyDescent="0.3">
      <c r="A384" s="64"/>
      <c r="B384" s="64"/>
      <c r="C384" s="64"/>
      <c r="D384" s="90"/>
      <c r="E384" s="91"/>
      <c r="F384" s="91"/>
      <c r="G384" s="90"/>
      <c r="H384" s="90"/>
      <c r="I384" s="93"/>
      <c r="J384" s="90"/>
      <c r="K384" s="90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spans="1:26" ht="15.75" customHeight="1" x14ac:dyDescent="0.3">
      <c r="A385" s="64"/>
      <c r="B385" s="64"/>
      <c r="C385" s="64"/>
      <c r="D385" s="90"/>
      <c r="E385" s="91"/>
      <c r="F385" s="91"/>
      <c r="G385" s="90"/>
      <c r="H385" s="90"/>
      <c r="I385" s="93"/>
      <c r="J385" s="90"/>
      <c r="K385" s="90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spans="1:26" ht="15.75" customHeight="1" x14ac:dyDescent="0.3">
      <c r="A386" s="64"/>
      <c r="B386" s="64"/>
      <c r="C386" s="64"/>
      <c r="D386" s="90"/>
      <c r="E386" s="91"/>
      <c r="F386" s="91"/>
      <c r="G386" s="90"/>
      <c r="H386" s="90"/>
      <c r="I386" s="93"/>
      <c r="J386" s="90"/>
      <c r="K386" s="90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spans="1:26" ht="15.75" customHeight="1" x14ac:dyDescent="0.3">
      <c r="A387" s="64"/>
      <c r="B387" s="64"/>
      <c r="C387" s="64"/>
      <c r="D387" s="90"/>
      <c r="E387" s="91"/>
      <c r="F387" s="91"/>
      <c r="G387" s="90"/>
      <c r="H387" s="90"/>
      <c r="I387" s="93"/>
      <c r="J387" s="90"/>
      <c r="K387" s="90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spans="1:26" ht="15.75" customHeight="1" x14ac:dyDescent="0.3">
      <c r="A388" s="64"/>
      <c r="B388" s="64"/>
      <c r="C388" s="64"/>
      <c r="D388" s="90"/>
      <c r="E388" s="91"/>
      <c r="F388" s="91"/>
      <c r="G388" s="90"/>
      <c r="H388" s="90"/>
      <c r="I388" s="93"/>
      <c r="J388" s="90"/>
      <c r="K388" s="90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spans="1:26" ht="15.75" customHeight="1" x14ac:dyDescent="0.3">
      <c r="A389" s="64"/>
      <c r="B389" s="64"/>
      <c r="C389" s="64"/>
      <c r="D389" s="90"/>
      <c r="E389" s="91"/>
      <c r="F389" s="91"/>
      <c r="G389" s="90"/>
      <c r="H389" s="90"/>
      <c r="I389" s="93"/>
      <c r="J389" s="90"/>
      <c r="K389" s="90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spans="1:26" ht="15.75" customHeight="1" x14ac:dyDescent="0.3">
      <c r="A390" s="64"/>
      <c r="B390" s="64"/>
      <c r="C390" s="64"/>
      <c r="D390" s="90"/>
      <c r="E390" s="91"/>
      <c r="F390" s="91"/>
      <c r="G390" s="90"/>
      <c r="H390" s="90"/>
      <c r="I390" s="93"/>
      <c r="J390" s="90"/>
      <c r="K390" s="90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spans="1:26" ht="15.75" customHeight="1" x14ac:dyDescent="0.3">
      <c r="A391" s="64"/>
      <c r="B391" s="64"/>
      <c r="C391" s="64"/>
      <c r="D391" s="90"/>
      <c r="E391" s="91"/>
      <c r="F391" s="91"/>
      <c r="G391" s="90"/>
      <c r="H391" s="90"/>
      <c r="I391" s="93"/>
      <c r="J391" s="90"/>
      <c r="K391" s="90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spans="1:26" ht="15.75" customHeight="1" x14ac:dyDescent="0.3">
      <c r="A392" s="64"/>
      <c r="B392" s="64"/>
      <c r="C392" s="64"/>
      <c r="D392" s="90"/>
      <c r="E392" s="91"/>
      <c r="F392" s="91"/>
      <c r="G392" s="90"/>
      <c r="H392" s="90"/>
      <c r="I392" s="93"/>
      <c r="J392" s="90"/>
      <c r="K392" s="90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spans="1:26" ht="15.75" customHeight="1" x14ac:dyDescent="0.3">
      <c r="A393" s="64"/>
      <c r="B393" s="64"/>
      <c r="C393" s="64"/>
      <c r="D393" s="90"/>
      <c r="E393" s="91"/>
      <c r="F393" s="91"/>
      <c r="G393" s="90"/>
      <c r="H393" s="90"/>
      <c r="I393" s="93"/>
      <c r="J393" s="90"/>
      <c r="K393" s="90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spans="1:26" ht="15.75" customHeight="1" x14ac:dyDescent="0.3">
      <c r="A394" s="64"/>
      <c r="B394" s="64"/>
      <c r="C394" s="64"/>
      <c r="D394" s="90"/>
      <c r="E394" s="91"/>
      <c r="F394" s="91"/>
      <c r="G394" s="90"/>
      <c r="H394" s="90"/>
      <c r="I394" s="93"/>
      <c r="J394" s="90"/>
      <c r="K394" s="90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spans="1:26" ht="15.75" customHeight="1" x14ac:dyDescent="0.3">
      <c r="A395" s="64"/>
      <c r="B395" s="64"/>
      <c r="C395" s="64"/>
      <c r="D395" s="90"/>
      <c r="E395" s="91"/>
      <c r="F395" s="91"/>
      <c r="G395" s="90"/>
      <c r="H395" s="90"/>
      <c r="I395" s="93"/>
      <c r="J395" s="90"/>
      <c r="K395" s="90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spans="1:26" ht="15.75" customHeight="1" x14ac:dyDescent="0.3">
      <c r="A396" s="64"/>
      <c r="B396" s="64"/>
      <c r="C396" s="64"/>
      <c r="D396" s="90"/>
      <c r="E396" s="91"/>
      <c r="F396" s="91"/>
      <c r="G396" s="90"/>
      <c r="H396" s="90"/>
      <c r="I396" s="93"/>
      <c r="J396" s="90"/>
      <c r="K396" s="90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spans="1:26" ht="15.75" customHeight="1" x14ac:dyDescent="0.3">
      <c r="A397" s="64"/>
      <c r="B397" s="64"/>
      <c r="C397" s="64"/>
      <c r="D397" s="90"/>
      <c r="E397" s="91"/>
      <c r="F397" s="91"/>
      <c r="G397" s="90"/>
      <c r="H397" s="90"/>
      <c r="I397" s="93"/>
      <c r="J397" s="90"/>
      <c r="K397" s="90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spans="1:26" ht="15.75" customHeight="1" x14ac:dyDescent="0.3">
      <c r="A398" s="64"/>
      <c r="B398" s="64"/>
      <c r="C398" s="64"/>
      <c r="D398" s="90"/>
      <c r="E398" s="91"/>
      <c r="F398" s="91"/>
      <c r="G398" s="90"/>
      <c r="H398" s="90"/>
      <c r="I398" s="93"/>
      <c r="J398" s="90"/>
      <c r="K398" s="90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spans="1:26" ht="15.75" customHeight="1" x14ac:dyDescent="0.3">
      <c r="A399" s="64"/>
      <c r="B399" s="64"/>
      <c r="C399" s="64"/>
      <c r="D399" s="90"/>
      <c r="E399" s="91"/>
      <c r="F399" s="91"/>
      <c r="G399" s="90"/>
      <c r="H399" s="90"/>
      <c r="I399" s="93"/>
      <c r="J399" s="90"/>
      <c r="K399" s="90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spans="1:26" ht="15.75" customHeight="1" x14ac:dyDescent="0.3">
      <c r="A400" s="64"/>
      <c r="B400" s="64"/>
      <c r="C400" s="64"/>
      <c r="D400" s="90"/>
      <c r="E400" s="91"/>
      <c r="F400" s="91"/>
      <c r="G400" s="90"/>
      <c r="H400" s="90"/>
      <c r="I400" s="93"/>
      <c r="J400" s="90"/>
      <c r="K400" s="90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spans="1:26" ht="15.75" customHeight="1" x14ac:dyDescent="0.3">
      <c r="A401" s="64"/>
      <c r="B401" s="64"/>
      <c r="C401" s="64"/>
      <c r="D401" s="90"/>
      <c r="E401" s="91"/>
      <c r="F401" s="91"/>
      <c r="G401" s="90"/>
      <c r="H401" s="90"/>
      <c r="I401" s="93"/>
      <c r="J401" s="90"/>
      <c r="K401" s="90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spans="1:26" ht="15.75" customHeight="1" x14ac:dyDescent="0.3">
      <c r="A402" s="64"/>
      <c r="B402" s="64"/>
      <c r="C402" s="64"/>
      <c r="D402" s="90"/>
      <c r="E402" s="91"/>
      <c r="F402" s="91"/>
      <c r="G402" s="90"/>
      <c r="H402" s="90"/>
      <c r="I402" s="93"/>
      <c r="J402" s="90"/>
      <c r="K402" s="90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spans="1:26" ht="15.75" customHeight="1" x14ac:dyDescent="0.3">
      <c r="A403" s="64"/>
      <c r="B403" s="64"/>
      <c r="C403" s="64"/>
      <c r="D403" s="90"/>
      <c r="E403" s="91"/>
      <c r="F403" s="91"/>
      <c r="G403" s="90"/>
      <c r="H403" s="90"/>
      <c r="I403" s="93"/>
      <c r="J403" s="90"/>
      <c r="K403" s="90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spans="1:26" ht="15.75" customHeight="1" x14ac:dyDescent="0.3">
      <c r="A404" s="64"/>
      <c r="B404" s="64"/>
      <c r="C404" s="64"/>
      <c r="D404" s="90"/>
      <c r="E404" s="91"/>
      <c r="F404" s="91"/>
      <c r="G404" s="90"/>
      <c r="H404" s="90"/>
      <c r="I404" s="93"/>
      <c r="J404" s="90"/>
      <c r="K404" s="90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spans="1:26" ht="15.75" customHeight="1" x14ac:dyDescent="0.3">
      <c r="A405" s="64"/>
      <c r="B405" s="64"/>
      <c r="C405" s="64"/>
      <c r="D405" s="90"/>
      <c r="E405" s="91"/>
      <c r="F405" s="91"/>
      <c r="G405" s="90"/>
      <c r="H405" s="90"/>
      <c r="I405" s="93"/>
      <c r="J405" s="90"/>
      <c r="K405" s="90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spans="1:26" ht="15.75" customHeight="1" x14ac:dyDescent="0.3">
      <c r="A406" s="64"/>
      <c r="B406" s="64"/>
      <c r="C406" s="64"/>
      <c r="D406" s="90"/>
      <c r="E406" s="91"/>
      <c r="F406" s="91"/>
      <c r="G406" s="90"/>
      <c r="H406" s="90"/>
      <c r="I406" s="93"/>
      <c r="J406" s="90"/>
      <c r="K406" s="90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spans="1:26" ht="15.75" customHeight="1" x14ac:dyDescent="0.3">
      <c r="A407" s="64"/>
      <c r="B407" s="64"/>
      <c r="C407" s="64"/>
      <c r="D407" s="90"/>
      <c r="E407" s="91"/>
      <c r="F407" s="91"/>
      <c r="G407" s="90"/>
      <c r="H407" s="90"/>
      <c r="I407" s="93"/>
      <c r="J407" s="90"/>
      <c r="K407" s="90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spans="1:26" ht="15.75" customHeight="1" x14ac:dyDescent="0.3">
      <c r="A408" s="64"/>
      <c r="B408" s="64"/>
      <c r="C408" s="64"/>
      <c r="D408" s="90"/>
      <c r="E408" s="91"/>
      <c r="F408" s="91"/>
      <c r="G408" s="90"/>
      <c r="H408" s="90"/>
      <c r="I408" s="93"/>
      <c r="J408" s="90"/>
      <c r="K408" s="90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spans="1:26" ht="15.75" customHeight="1" x14ac:dyDescent="0.3">
      <c r="A409" s="64"/>
      <c r="B409" s="64"/>
      <c r="C409" s="64"/>
      <c r="D409" s="90"/>
      <c r="E409" s="91"/>
      <c r="F409" s="91"/>
      <c r="G409" s="90"/>
      <c r="H409" s="90"/>
      <c r="I409" s="93"/>
      <c r="J409" s="90"/>
      <c r="K409" s="90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spans="1:26" ht="15.75" customHeight="1" x14ac:dyDescent="0.3">
      <c r="A410" s="64"/>
      <c r="B410" s="64"/>
      <c r="C410" s="64"/>
      <c r="D410" s="90"/>
      <c r="E410" s="91"/>
      <c r="F410" s="91"/>
      <c r="G410" s="90"/>
      <c r="H410" s="90"/>
      <c r="I410" s="93"/>
      <c r="J410" s="90"/>
      <c r="K410" s="90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spans="1:26" ht="15.75" customHeight="1" x14ac:dyDescent="0.3">
      <c r="A411" s="64"/>
      <c r="B411" s="64"/>
      <c r="C411" s="64"/>
      <c r="D411" s="90"/>
      <c r="E411" s="91"/>
      <c r="F411" s="91"/>
      <c r="G411" s="90"/>
      <c r="H411" s="90"/>
      <c r="I411" s="93"/>
      <c r="J411" s="90"/>
      <c r="K411" s="90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spans="1:26" ht="15.75" customHeight="1" x14ac:dyDescent="0.3">
      <c r="A412" s="64"/>
      <c r="B412" s="64"/>
      <c r="C412" s="64"/>
      <c r="D412" s="90"/>
      <c r="E412" s="91"/>
      <c r="F412" s="91"/>
      <c r="G412" s="90"/>
      <c r="H412" s="90"/>
      <c r="I412" s="93"/>
      <c r="J412" s="90"/>
      <c r="K412" s="90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spans="1:26" ht="15.75" customHeight="1" x14ac:dyDescent="0.3">
      <c r="A413" s="64"/>
      <c r="B413" s="64"/>
      <c r="C413" s="64"/>
      <c r="D413" s="90"/>
      <c r="E413" s="91"/>
      <c r="F413" s="91"/>
      <c r="G413" s="90"/>
      <c r="H413" s="90"/>
      <c r="I413" s="93"/>
      <c r="J413" s="90"/>
      <c r="K413" s="90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spans="1:26" ht="15.75" customHeight="1" x14ac:dyDescent="0.3">
      <c r="A414" s="64"/>
      <c r="B414" s="64"/>
      <c r="C414" s="64"/>
      <c r="D414" s="90"/>
      <c r="E414" s="91"/>
      <c r="F414" s="91"/>
      <c r="G414" s="90"/>
      <c r="H414" s="90"/>
      <c r="I414" s="93"/>
      <c r="J414" s="90"/>
      <c r="K414" s="90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spans="1:26" ht="15.75" customHeight="1" x14ac:dyDescent="0.3">
      <c r="A415" s="64"/>
      <c r="B415" s="64"/>
      <c r="C415" s="64"/>
      <c r="D415" s="90"/>
      <c r="E415" s="91"/>
      <c r="F415" s="91"/>
      <c r="G415" s="90"/>
      <c r="H415" s="90"/>
      <c r="I415" s="93"/>
      <c r="J415" s="90"/>
      <c r="K415" s="90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spans="1:26" ht="15.75" customHeight="1" x14ac:dyDescent="0.3">
      <c r="A416" s="64"/>
      <c r="B416" s="64"/>
      <c r="C416" s="64"/>
      <c r="D416" s="90"/>
      <c r="E416" s="91"/>
      <c r="F416" s="91"/>
      <c r="G416" s="90"/>
      <c r="H416" s="90"/>
      <c r="I416" s="93"/>
      <c r="J416" s="90"/>
      <c r="K416" s="90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spans="1:26" ht="15.75" customHeight="1" x14ac:dyDescent="0.3">
      <c r="A417" s="64"/>
      <c r="B417" s="64"/>
      <c r="C417" s="64"/>
      <c r="D417" s="90"/>
      <c r="E417" s="91"/>
      <c r="F417" s="91"/>
      <c r="G417" s="90"/>
      <c r="H417" s="90"/>
      <c r="I417" s="93"/>
      <c r="J417" s="90"/>
      <c r="K417" s="90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spans="1:26" ht="15.75" customHeight="1" x14ac:dyDescent="0.3">
      <c r="A418" s="64"/>
      <c r="B418" s="64"/>
      <c r="C418" s="64"/>
      <c r="D418" s="90"/>
      <c r="E418" s="91"/>
      <c r="F418" s="91"/>
      <c r="G418" s="90"/>
      <c r="H418" s="90"/>
      <c r="I418" s="93"/>
      <c r="J418" s="90"/>
      <c r="K418" s="90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spans="1:26" ht="15.75" customHeight="1" x14ac:dyDescent="0.3">
      <c r="A419" s="64"/>
      <c r="B419" s="64"/>
      <c r="C419" s="64"/>
      <c r="D419" s="90"/>
      <c r="E419" s="91"/>
      <c r="F419" s="91"/>
      <c r="G419" s="90"/>
      <c r="H419" s="90"/>
      <c r="I419" s="93"/>
      <c r="J419" s="90"/>
      <c r="K419" s="90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spans="1:26" ht="15.75" customHeight="1" x14ac:dyDescent="0.3">
      <c r="A420" s="64"/>
      <c r="B420" s="64"/>
      <c r="C420" s="64"/>
      <c r="D420" s="90"/>
      <c r="E420" s="91"/>
      <c r="F420" s="91"/>
      <c r="G420" s="90"/>
      <c r="H420" s="90"/>
      <c r="I420" s="93"/>
      <c r="J420" s="90"/>
      <c r="K420" s="90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spans="1:26" ht="15.75" customHeight="1" x14ac:dyDescent="0.3">
      <c r="A421" s="64"/>
      <c r="B421" s="64"/>
      <c r="C421" s="64"/>
      <c r="D421" s="90"/>
      <c r="E421" s="91"/>
      <c r="F421" s="91"/>
      <c r="G421" s="90"/>
      <c r="H421" s="90"/>
      <c r="I421" s="93"/>
      <c r="J421" s="90"/>
      <c r="K421" s="90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spans="1:26" ht="15.75" customHeight="1" x14ac:dyDescent="0.3">
      <c r="A422" s="64"/>
      <c r="B422" s="64"/>
      <c r="C422" s="64"/>
      <c r="D422" s="90"/>
      <c r="E422" s="91"/>
      <c r="F422" s="91"/>
      <c r="G422" s="90"/>
      <c r="H422" s="90"/>
      <c r="I422" s="93"/>
      <c r="J422" s="90"/>
      <c r="K422" s="90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spans="1:26" ht="15.75" customHeight="1" x14ac:dyDescent="0.3">
      <c r="A423" s="64"/>
      <c r="B423" s="64"/>
      <c r="C423" s="64"/>
      <c r="D423" s="90"/>
      <c r="E423" s="91"/>
      <c r="F423" s="91"/>
      <c r="G423" s="90"/>
      <c r="H423" s="90"/>
      <c r="I423" s="93"/>
      <c r="J423" s="90"/>
      <c r="K423" s="90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spans="1:26" ht="15.75" customHeight="1" x14ac:dyDescent="0.3">
      <c r="A424" s="64"/>
      <c r="B424" s="64"/>
      <c r="C424" s="64"/>
      <c r="D424" s="90"/>
      <c r="E424" s="91"/>
      <c r="F424" s="91"/>
      <c r="G424" s="90"/>
      <c r="H424" s="90"/>
      <c r="I424" s="93"/>
      <c r="J424" s="90"/>
      <c r="K424" s="90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spans="1:26" ht="15.75" customHeight="1" x14ac:dyDescent="0.3">
      <c r="A425" s="64"/>
      <c r="B425" s="64"/>
      <c r="C425" s="64"/>
      <c r="D425" s="90"/>
      <c r="E425" s="91"/>
      <c r="F425" s="91"/>
      <c r="G425" s="90"/>
      <c r="H425" s="90"/>
      <c r="I425" s="93"/>
      <c r="J425" s="90"/>
      <c r="K425" s="90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spans="1:26" ht="15.75" customHeight="1" x14ac:dyDescent="0.3">
      <c r="A426" s="64"/>
      <c r="B426" s="64"/>
      <c r="C426" s="64"/>
      <c r="D426" s="90"/>
      <c r="E426" s="91"/>
      <c r="F426" s="91"/>
      <c r="G426" s="90"/>
      <c r="H426" s="90"/>
      <c r="I426" s="93"/>
      <c r="J426" s="90"/>
      <c r="K426" s="90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spans="1:26" ht="15.75" customHeight="1" x14ac:dyDescent="0.3">
      <c r="A427" s="64"/>
      <c r="B427" s="64"/>
      <c r="C427" s="64"/>
      <c r="D427" s="90"/>
      <c r="E427" s="91"/>
      <c r="F427" s="91"/>
      <c r="G427" s="90"/>
      <c r="H427" s="90"/>
      <c r="I427" s="93"/>
      <c r="J427" s="90"/>
      <c r="K427" s="90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spans="1:26" ht="15.75" customHeight="1" x14ac:dyDescent="0.3">
      <c r="A428" s="64"/>
      <c r="B428" s="64"/>
      <c r="C428" s="64"/>
      <c r="D428" s="90"/>
      <c r="E428" s="91"/>
      <c r="F428" s="91"/>
      <c r="G428" s="90"/>
      <c r="H428" s="90"/>
      <c r="I428" s="93"/>
      <c r="J428" s="90"/>
      <c r="K428" s="90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spans="1:26" ht="15.75" customHeight="1" x14ac:dyDescent="0.3">
      <c r="A429" s="64"/>
      <c r="B429" s="64"/>
      <c r="C429" s="64"/>
      <c r="D429" s="90"/>
      <c r="E429" s="91"/>
      <c r="F429" s="91"/>
      <c r="G429" s="90"/>
      <c r="H429" s="90"/>
      <c r="I429" s="93"/>
      <c r="J429" s="90"/>
      <c r="K429" s="90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spans="1:26" ht="15.75" customHeight="1" x14ac:dyDescent="0.3">
      <c r="A430" s="64"/>
      <c r="B430" s="64"/>
      <c r="C430" s="64"/>
      <c r="D430" s="90"/>
      <c r="E430" s="91"/>
      <c r="F430" s="91"/>
      <c r="G430" s="90"/>
      <c r="H430" s="90"/>
      <c r="I430" s="93"/>
      <c r="J430" s="90"/>
      <c r="K430" s="90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spans="1:26" ht="15.75" customHeight="1" x14ac:dyDescent="0.3">
      <c r="A431" s="64"/>
      <c r="B431" s="64"/>
      <c r="C431" s="64"/>
      <c r="D431" s="90"/>
      <c r="E431" s="91"/>
      <c r="F431" s="91"/>
      <c r="G431" s="90"/>
      <c r="H431" s="90"/>
      <c r="I431" s="93"/>
      <c r="J431" s="90"/>
      <c r="K431" s="90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spans="1:26" ht="15.75" customHeight="1" x14ac:dyDescent="0.3">
      <c r="A432" s="64"/>
      <c r="B432" s="64"/>
      <c r="C432" s="64"/>
      <c r="D432" s="90"/>
      <c r="E432" s="91"/>
      <c r="F432" s="91"/>
      <c r="G432" s="90"/>
      <c r="H432" s="90"/>
      <c r="I432" s="93"/>
      <c r="J432" s="90"/>
      <c r="K432" s="90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spans="1:26" ht="15.75" customHeight="1" x14ac:dyDescent="0.3">
      <c r="A433" s="64"/>
      <c r="B433" s="64"/>
      <c r="C433" s="64"/>
      <c r="D433" s="90"/>
      <c r="E433" s="91"/>
      <c r="F433" s="91"/>
      <c r="G433" s="90"/>
      <c r="H433" s="90"/>
      <c r="I433" s="93"/>
      <c r="J433" s="90"/>
      <c r="K433" s="90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spans="1:26" ht="15.75" customHeight="1" x14ac:dyDescent="0.3">
      <c r="A434" s="64"/>
      <c r="B434" s="64"/>
      <c r="C434" s="64"/>
      <c r="D434" s="90"/>
      <c r="E434" s="91"/>
      <c r="F434" s="91"/>
      <c r="G434" s="90"/>
      <c r="H434" s="90"/>
      <c r="I434" s="93"/>
      <c r="J434" s="90"/>
      <c r="K434" s="90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spans="1:26" ht="15.75" customHeight="1" x14ac:dyDescent="0.3">
      <c r="A435" s="64"/>
      <c r="B435" s="64"/>
      <c r="C435" s="64"/>
      <c r="D435" s="90"/>
      <c r="E435" s="91"/>
      <c r="F435" s="91"/>
      <c r="G435" s="90"/>
      <c r="H435" s="90"/>
      <c r="I435" s="93"/>
      <c r="J435" s="90"/>
      <c r="K435" s="90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spans="1:26" ht="15.75" customHeight="1" x14ac:dyDescent="0.3">
      <c r="A436" s="64"/>
      <c r="B436" s="64"/>
      <c r="C436" s="64"/>
      <c r="D436" s="90"/>
      <c r="E436" s="91"/>
      <c r="F436" s="91"/>
      <c r="G436" s="90"/>
      <c r="H436" s="90"/>
      <c r="I436" s="93"/>
      <c r="J436" s="90"/>
      <c r="K436" s="90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spans="1:26" ht="15.75" customHeight="1" x14ac:dyDescent="0.3">
      <c r="A437" s="64"/>
      <c r="B437" s="64"/>
      <c r="C437" s="64"/>
      <c r="D437" s="90"/>
      <c r="E437" s="91"/>
      <c r="F437" s="91"/>
      <c r="G437" s="90"/>
      <c r="H437" s="90"/>
      <c r="I437" s="93"/>
      <c r="J437" s="90"/>
      <c r="K437" s="90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spans="1:26" ht="15.75" customHeight="1" x14ac:dyDescent="0.3">
      <c r="A438" s="64"/>
      <c r="B438" s="64"/>
      <c r="C438" s="64"/>
      <c r="D438" s="90"/>
      <c r="E438" s="91"/>
      <c r="F438" s="91"/>
      <c r="G438" s="90"/>
      <c r="H438" s="90"/>
      <c r="I438" s="93"/>
      <c r="J438" s="90"/>
      <c r="K438" s="90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spans="1:26" ht="15.75" customHeight="1" x14ac:dyDescent="0.3">
      <c r="A439" s="64"/>
      <c r="B439" s="64"/>
      <c r="C439" s="64"/>
      <c r="D439" s="90"/>
      <c r="E439" s="91"/>
      <c r="F439" s="91"/>
      <c r="G439" s="90"/>
      <c r="H439" s="90"/>
      <c r="I439" s="93"/>
      <c r="J439" s="90"/>
      <c r="K439" s="90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spans="1:26" ht="15.75" customHeight="1" x14ac:dyDescent="0.3">
      <c r="A440" s="64"/>
      <c r="B440" s="64"/>
      <c r="C440" s="64"/>
      <c r="D440" s="90"/>
      <c r="E440" s="91"/>
      <c r="F440" s="91"/>
      <c r="G440" s="90"/>
      <c r="H440" s="90"/>
      <c r="I440" s="93"/>
      <c r="J440" s="90"/>
      <c r="K440" s="90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spans="1:26" ht="15.75" customHeight="1" x14ac:dyDescent="0.3">
      <c r="A441" s="64"/>
      <c r="B441" s="64"/>
      <c r="C441" s="64"/>
      <c r="D441" s="90"/>
      <c r="E441" s="91"/>
      <c r="F441" s="91"/>
      <c r="G441" s="90"/>
      <c r="H441" s="90"/>
      <c r="I441" s="93"/>
      <c r="J441" s="90"/>
      <c r="K441" s="90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spans="1:26" ht="15.75" customHeight="1" x14ac:dyDescent="0.3">
      <c r="A442" s="64"/>
      <c r="B442" s="64"/>
      <c r="C442" s="64"/>
      <c r="D442" s="90"/>
      <c r="E442" s="91"/>
      <c r="F442" s="91"/>
      <c r="G442" s="90"/>
      <c r="H442" s="90"/>
      <c r="I442" s="93"/>
      <c r="J442" s="90"/>
      <c r="K442" s="90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spans="1:26" ht="15.75" customHeight="1" x14ac:dyDescent="0.3">
      <c r="A443" s="64"/>
      <c r="B443" s="64"/>
      <c r="C443" s="64"/>
      <c r="D443" s="90"/>
      <c r="E443" s="91"/>
      <c r="F443" s="91"/>
      <c r="G443" s="90"/>
      <c r="H443" s="90"/>
      <c r="I443" s="93"/>
      <c r="J443" s="90"/>
      <c r="K443" s="90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spans="1:26" ht="15.75" customHeight="1" x14ac:dyDescent="0.3">
      <c r="A444" s="64"/>
      <c r="B444" s="64"/>
      <c r="C444" s="64"/>
      <c r="D444" s="90"/>
      <c r="E444" s="91"/>
      <c r="F444" s="91"/>
      <c r="G444" s="90"/>
      <c r="H444" s="90"/>
      <c r="I444" s="93"/>
      <c r="J444" s="90"/>
      <c r="K444" s="90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spans="1:26" ht="15.75" customHeight="1" x14ac:dyDescent="0.3">
      <c r="A445" s="64"/>
      <c r="B445" s="64"/>
      <c r="C445" s="64"/>
      <c r="D445" s="90"/>
      <c r="E445" s="91"/>
      <c r="F445" s="91"/>
      <c r="G445" s="90"/>
      <c r="H445" s="90"/>
      <c r="I445" s="93"/>
      <c r="J445" s="90"/>
      <c r="K445" s="90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spans="1:26" ht="15.75" customHeight="1" x14ac:dyDescent="0.3">
      <c r="A446" s="64"/>
      <c r="B446" s="64"/>
      <c r="C446" s="64"/>
      <c r="D446" s="90"/>
      <c r="E446" s="91"/>
      <c r="F446" s="91"/>
      <c r="G446" s="90"/>
      <c r="H446" s="90"/>
      <c r="I446" s="93"/>
      <c r="J446" s="90"/>
      <c r="K446" s="90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spans="1:26" ht="15.75" customHeight="1" x14ac:dyDescent="0.3">
      <c r="A447" s="64"/>
      <c r="B447" s="64"/>
      <c r="C447" s="64"/>
      <c r="D447" s="90"/>
      <c r="E447" s="91"/>
      <c r="F447" s="91"/>
      <c r="G447" s="90"/>
      <c r="H447" s="90"/>
      <c r="I447" s="93"/>
      <c r="J447" s="90"/>
      <c r="K447" s="90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spans="1:26" ht="15.75" customHeight="1" x14ac:dyDescent="0.3">
      <c r="A448" s="64"/>
      <c r="B448" s="64"/>
      <c r="C448" s="64"/>
      <c r="D448" s="90"/>
      <c r="E448" s="91"/>
      <c r="F448" s="91"/>
      <c r="G448" s="90"/>
      <c r="H448" s="90"/>
      <c r="I448" s="93"/>
      <c r="J448" s="90"/>
      <c r="K448" s="90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spans="1:26" ht="15.75" customHeight="1" x14ac:dyDescent="0.3">
      <c r="A449" s="64"/>
      <c r="B449" s="64"/>
      <c r="C449" s="64"/>
      <c r="D449" s="90"/>
      <c r="E449" s="91"/>
      <c r="F449" s="91"/>
      <c r="G449" s="90"/>
      <c r="H449" s="90"/>
      <c r="I449" s="93"/>
      <c r="J449" s="90"/>
      <c r="K449" s="90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spans="1:26" ht="15.75" customHeight="1" x14ac:dyDescent="0.3">
      <c r="A450" s="64"/>
      <c r="B450" s="64"/>
      <c r="C450" s="64"/>
      <c r="D450" s="90"/>
      <c r="E450" s="91"/>
      <c r="F450" s="91"/>
      <c r="G450" s="90"/>
      <c r="H450" s="90"/>
      <c r="I450" s="93"/>
      <c r="J450" s="90"/>
      <c r="K450" s="90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spans="1:26" ht="15.75" customHeight="1" x14ac:dyDescent="0.3">
      <c r="A451" s="64"/>
      <c r="B451" s="64"/>
      <c r="C451" s="64"/>
      <c r="D451" s="90"/>
      <c r="E451" s="91"/>
      <c r="F451" s="91"/>
      <c r="G451" s="90"/>
      <c r="H451" s="90"/>
      <c r="I451" s="93"/>
      <c r="J451" s="90"/>
      <c r="K451" s="90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spans="1:26" ht="15.75" customHeight="1" x14ac:dyDescent="0.3">
      <c r="A452" s="64"/>
      <c r="B452" s="64"/>
      <c r="C452" s="64"/>
      <c r="D452" s="90"/>
      <c r="E452" s="91"/>
      <c r="F452" s="91"/>
      <c r="G452" s="90"/>
      <c r="H452" s="90"/>
      <c r="I452" s="93"/>
      <c r="J452" s="90"/>
      <c r="K452" s="90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spans="1:26" ht="15.75" customHeight="1" x14ac:dyDescent="0.3">
      <c r="A453" s="64"/>
      <c r="B453" s="64"/>
      <c r="C453" s="64"/>
      <c r="D453" s="90"/>
      <c r="E453" s="91"/>
      <c r="F453" s="91"/>
      <c r="G453" s="90"/>
      <c r="H453" s="90"/>
      <c r="I453" s="93"/>
      <c r="J453" s="90"/>
      <c r="K453" s="90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spans="1:26" ht="15.75" customHeight="1" x14ac:dyDescent="0.3">
      <c r="A454" s="64"/>
      <c r="B454" s="64"/>
      <c r="C454" s="64"/>
      <c r="D454" s="90"/>
      <c r="E454" s="91"/>
      <c r="F454" s="91"/>
      <c r="G454" s="90"/>
      <c r="H454" s="90"/>
      <c r="I454" s="93"/>
      <c r="J454" s="90"/>
      <c r="K454" s="90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spans="1:26" ht="15.75" customHeight="1" x14ac:dyDescent="0.3">
      <c r="A455" s="64"/>
      <c r="B455" s="64"/>
      <c r="C455" s="64"/>
      <c r="D455" s="90"/>
      <c r="E455" s="91"/>
      <c r="F455" s="91"/>
      <c r="G455" s="90"/>
      <c r="H455" s="90"/>
      <c r="I455" s="93"/>
      <c r="J455" s="90"/>
      <c r="K455" s="90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spans="1:26" ht="15.75" customHeight="1" x14ac:dyDescent="0.3">
      <c r="A456" s="64"/>
      <c r="B456" s="64"/>
      <c r="C456" s="64"/>
      <c r="D456" s="90"/>
      <c r="E456" s="91"/>
      <c r="F456" s="91"/>
      <c r="G456" s="90"/>
      <c r="H456" s="90"/>
      <c r="I456" s="93"/>
      <c r="J456" s="90"/>
      <c r="K456" s="90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spans="1:26" ht="15.75" customHeight="1" x14ac:dyDescent="0.3">
      <c r="A457" s="64"/>
      <c r="B457" s="64"/>
      <c r="C457" s="64"/>
      <c r="D457" s="90"/>
      <c r="E457" s="91"/>
      <c r="F457" s="91"/>
      <c r="G457" s="90"/>
      <c r="H457" s="90"/>
      <c r="I457" s="93"/>
      <c r="J457" s="90"/>
      <c r="K457" s="90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spans="1:26" ht="15.75" customHeight="1" x14ac:dyDescent="0.3">
      <c r="A458" s="64"/>
      <c r="B458" s="64"/>
      <c r="C458" s="64"/>
      <c r="D458" s="90"/>
      <c r="E458" s="91"/>
      <c r="F458" s="91"/>
      <c r="G458" s="90"/>
      <c r="H458" s="90"/>
      <c r="I458" s="93"/>
      <c r="J458" s="90"/>
      <c r="K458" s="90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spans="1:26" ht="15.75" customHeight="1" x14ac:dyDescent="0.3">
      <c r="A459" s="64"/>
      <c r="B459" s="64"/>
      <c r="C459" s="64"/>
      <c r="D459" s="90"/>
      <c r="E459" s="91"/>
      <c r="F459" s="91"/>
      <c r="G459" s="90"/>
      <c r="H459" s="90"/>
      <c r="I459" s="93"/>
      <c r="J459" s="90"/>
      <c r="K459" s="90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spans="1:26" ht="15.75" customHeight="1" x14ac:dyDescent="0.3">
      <c r="A460" s="64"/>
      <c r="B460" s="64"/>
      <c r="C460" s="64"/>
      <c r="D460" s="90"/>
      <c r="E460" s="91"/>
      <c r="F460" s="91"/>
      <c r="G460" s="90"/>
      <c r="H460" s="90"/>
      <c r="I460" s="93"/>
      <c r="J460" s="90"/>
      <c r="K460" s="90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spans="1:26" ht="15.75" customHeight="1" x14ac:dyDescent="0.3">
      <c r="A461" s="64"/>
      <c r="B461" s="64"/>
      <c r="C461" s="64"/>
      <c r="D461" s="90"/>
      <c r="E461" s="91"/>
      <c r="F461" s="91"/>
      <c r="G461" s="90"/>
      <c r="H461" s="90"/>
      <c r="I461" s="93"/>
      <c r="J461" s="90"/>
      <c r="K461" s="90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spans="1:26" ht="15.75" customHeight="1" x14ac:dyDescent="0.3">
      <c r="A462" s="64"/>
      <c r="B462" s="64"/>
      <c r="C462" s="64"/>
      <c r="D462" s="90"/>
      <c r="E462" s="91"/>
      <c r="F462" s="91"/>
      <c r="G462" s="90"/>
      <c r="H462" s="90"/>
      <c r="I462" s="93"/>
      <c r="J462" s="90"/>
      <c r="K462" s="90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spans="1:26" ht="15.75" customHeight="1" x14ac:dyDescent="0.3">
      <c r="A463" s="64"/>
      <c r="B463" s="64"/>
      <c r="C463" s="64"/>
      <c r="D463" s="90"/>
      <c r="E463" s="91"/>
      <c r="F463" s="91"/>
      <c r="G463" s="90"/>
      <c r="H463" s="90"/>
      <c r="I463" s="93"/>
      <c r="J463" s="90"/>
      <c r="K463" s="90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spans="1:26" ht="15.75" customHeight="1" x14ac:dyDescent="0.3">
      <c r="A464" s="64"/>
      <c r="B464" s="64"/>
      <c r="C464" s="64"/>
      <c r="D464" s="90"/>
      <c r="E464" s="91"/>
      <c r="F464" s="91"/>
      <c r="G464" s="90"/>
      <c r="H464" s="90"/>
      <c r="I464" s="93"/>
      <c r="J464" s="90"/>
      <c r="K464" s="90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spans="1:26" ht="15.75" customHeight="1" x14ac:dyDescent="0.3">
      <c r="A465" s="64"/>
      <c r="B465" s="64"/>
      <c r="C465" s="64"/>
      <c r="D465" s="90"/>
      <c r="E465" s="91"/>
      <c r="F465" s="91"/>
      <c r="G465" s="90"/>
      <c r="H465" s="90"/>
      <c r="I465" s="93"/>
      <c r="J465" s="90"/>
      <c r="K465" s="90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spans="1:26" ht="15.75" customHeight="1" x14ac:dyDescent="0.3">
      <c r="A466" s="64"/>
      <c r="B466" s="64"/>
      <c r="C466" s="64"/>
      <c r="D466" s="90"/>
      <c r="E466" s="91"/>
      <c r="F466" s="91"/>
      <c r="G466" s="90"/>
      <c r="H466" s="90"/>
      <c r="I466" s="93"/>
      <c r="J466" s="90"/>
      <c r="K466" s="90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spans="1:26" ht="15.75" customHeight="1" x14ac:dyDescent="0.3">
      <c r="A467" s="64"/>
      <c r="B467" s="64"/>
      <c r="C467" s="64"/>
      <c r="D467" s="90"/>
      <c r="E467" s="91"/>
      <c r="F467" s="91"/>
      <c r="G467" s="90"/>
      <c r="H467" s="90"/>
      <c r="I467" s="93"/>
      <c r="J467" s="90"/>
      <c r="K467" s="90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spans="1:26" ht="15.75" customHeight="1" x14ac:dyDescent="0.3">
      <c r="A468" s="64"/>
      <c r="B468" s="64"/>
      <c r="C468" s="64"/>
      <c r="D468" s="90"/>
      <c r="E468" s="91"/>
      <c r="F468" s="91"/>
      <c r="G468" s="90"/>
      <c r="H468" s="90"/>
      <c r="I468" s="93"/>
      <c r="J468" s="90"/>
      <c r="K468" s="90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spans="1:26" ht="15.75" customHeight="1" x14ac:dyDescent="0.3">
      <c r="A469" s="64"/>
      <c r="B469" s="64"/>
      <c r="C469" s="64"/>
      <c r="D469" s="90"/>
      <c r="E469" s="91"/>
      <c r="F469" s="91"/>
      <c r="G469" s="90"/>
      <c r="H469" s="90"/>
      <c r="I469" s="93"/>
      <c r="J469" s="90"/>
      <c r="K469" s="90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spans="1:26" ht="15.75" customHeight="1" x14ac:dyDescent="0.3">
      <c r="A470" s="64"/>
      <c r="B470" s="64"/>
      <c r="C470" s="64"/>
      <c r="D470" s="90"/>
      <c r="E470" s="91"/>
      <c r="F470" s="91"/>
      <c r="G470" s="90"/>
      <c r="H470" s="90"/>
      <c r="I470" s="93"/>
      <c r="J470" s="90"/>
      <c r="K470" s="90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spans="1:26" ht="15.75" customHeight="1" x14ac:dyDescent="0.3">
      <c r="A471" s="64"/>
      <c r="B471" s="64"/>
      <c r="C471" s="64"/>
      <c r="D471" s="90"/>
      <c r="E471" s="91"/>
      <c r="F471" s="91"/>
      <c r="G471" s="90"/>
      <c r="H471" s="90"/>
      <c r="I471" s="93"/>
      <c r="J471" s="90"/>
      <c r="K471" s="90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spans="1:26" ht="15.75" customHeight="1" x14ac:dyDescent="0.3">
      <c r="A472" s="64"/>
      <c r="B472" s="64"/>
      <c r="C472" s="64"/>
      <c r="D472" s="90"/>
      <c r="E472" s="91"/>
      <c r="F472" s="91"/>
      <c r="G472" s="90"/>
      <c r="H472" s="90"/>
      <c r="I472" s="93"/>
      <c r="J472" s="90"/>
      <c r="K472" s="90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spans="1:26" ht="15.75" customHeight="1" x14ac:dyDescent="0.3">
      <c r="A473" s="64"/>
      <c r="B473" s="64"/>
      <c r="C473" s="64"/>
      <c r="D473" s="90"/>
      <c r="E473" s="91"/>
      <c r="F473" s="91"/>
      <c r="G473" s="90"/>
      <c r="H473" s="90"/>
      <c r="I473" s="93"/>
      <c r="J473" s="90"/>
      <c r="K473" s="90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spans="1:26" ht="15.75" customHeight="1" x14ac:dyDescent="0.3">
      <c r="A474" s="64"/>
      <c r="B474" s="64"/>
      <c r="C474" s="64"/>
      <c r="D474" s="90"/>
      <c r="E474" s="91"/>
      <c r="F474" s="91"/>
      <c r="G474" s="90"/>
      <c r="H474" s="90"/>
      <c r="I474" s="93"/>
      <c r="J474" s="90"/>
      <c r="K474" s="90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spans="1:26" ht="15.75" customHeight="1" x14ac:dyDescent="0.3">
      <c r="A475" s="64"/>
      <c r="B475" s="64"/>
      <c r="C475" s="64"/>
      <c r="D475" s="90"/>
      <c r="E475" s="91"/>
      <c r="F475" s="91"/>
      <c r="G475" s="90"/>
      <c r="H475" s="90"/>
      <c r="I475" s="93"/>
      <c r="J475" s="90"/>
      <c r="K475" s="90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spans="1:26" ht="15.75" customHeight="1" x14ac:dyDescent="0.3">
      <c r="A476" s="64"/>
      <c r="B476" s="64"/>
      <c r="C476" s="64"/>
      <c r="D476" s="90"/>
      <c r="E476" s="91"/>
      <c r="F476" s="91"/>
      <c r="G476" s="90"/>
      <c r="H476" s="90"/>
      <c r="I476" s="93"/>
      <c r="J476" s="90"/>
      <c r="K476" s="90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spans="1:26" ht="15.75" customHeight="1" x14ac:dyDescent="0.3">
      <c r="A477" s="64"/>
      <c r="B477" s="64"/>
      <c r="C477" s="64"/>
      <c r="D477" s="90"/>
      <c r="E477" s="91"/>
      <c r="F477" s="91"/>
      <c r="G477" s="90"/>
      <c r="H477" s="90"/>
      <c r="I477" s="93"/>
      <c r="J477" s="90"/>
      <c r="K477" s="90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spans="1:26" ht="15.75" customHeight="1" x14ac:dyDescent="0.3">
      <c r="A478" s="64"/>
      <c r="B478" s="64"/>
      <c r="C478" s="64"/>
      <c r="D478" s="90"/>
      <c r="E478" s="91"/>
      <c r="F478" s="91"/>
      <c r="G478" s="90"/>
      <c r="H478" s="90"/>
      <c r="I478" s="93"/>
      <c r="J478" s="90"/>
      <c r="K478" s="90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spans="1:26" ht="15.75" customHeight="1" x14ac:dyDescent="0.3">
      <c r="A479" s="64"/>
      <c r="B479" s="64"/>
      <c r="C479" s="64"/>
      <c r="D479" s="90"/>
      <c r="E479" s="91"/>
      <c r="F479" s="91"/>
      <c r="G479" s="90"/>
      <c r="H479" s="90"/>
      <c r="I479" s="93"/>
      <c r="J479" s="90"/>
      <c r="K479" s="90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spans="1:26" ht="15.75" customHeight="1" x14ac:dyDescent="0.3">
      <c r="A480" s="64"/>
      <c r="B480" s="64"/>
      <c r="C480" s="64"/>
      <c r="D480" s="90"/>
      <c r="E480" s="91"/>
      <c r="F480" s="91"/>
      <c r="G480" s="90"/>
      <c r="H480" s="90"/>
      <c r="I480" s="93"/>
      <c r="J480" s="90"/>
      <c r="K480" s="90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spans="1:26" ht="15.75" customHeight="1" x14ac:dyDescent="0.3">
      <c r="A481" s="64"/>
      <c r="B481" s="64"/>
      <c r="C481" s="64"/>
      <c r="D481" s="90"/>
      <c r="E481" s="91"/>
      <c r="F481" s="91"/>
      <c r="G481" s="90"/>
      <c r="H481" s="90"/>
      <c r="I481" s="93"/>
      <c r="J481" s="90"/>
      <c r="K481" s="90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spans="1:26" ht="15.75" customHeight="1" x14ac:dyDescent="0.3">
      <c r="A482" s="64"/>
      <c r="B482" s="64"/>
      <c r="C482" s="64"/>
      <c r="D482" s="90"/>
      <c r="E482" s="91"/>
      <c r="F482" s="91"/>
      <c r="G482" s="90"/>
      <c r="H482" s="90"/>
      <c r="I482" s="93"/>
      <c r="J482" s="90"/>
      <c r="K482" s="90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spans="1:26" ht="15.75" customHeight="1" x14ac:dyDescent="0.3">
      <c r="A483" s="64"/>
      <c r="B483" s="64"/>
      <c r="C483" s="64"/>
      <c r="D483" s="90"/>
      <c r="E483" s="91"/>
      <c r="F483" s="91"/>
      <c r="G483" s="90"/>
      <c r="H483" s="90"/>
      <c r="I483" s="93"/>
      <c r="J483" s="90"/>
      <c r="K483" s="90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spans="1:26" ht="15.75" customHeight="1" x14ac:dyDescent="0.3">
      <c r="A484" s="64"/>
      <c r="B484" s="64"/>
      <c r="C484" s="64"/>
      <c r="D484" s="90"/>
      <c r="E484" s="91"/>
      <c r="F484" s="91"/>
      <c r="G484" s="90"/>
      <c r="H484" s="90"/>
      <c r="I484" s="93"/>
      <c r="J484" s="90"/>
      <c r="K484" s="90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spans="1:26" ht="15.75" customHeight="1" x14ac:dyDescent="0.3">
      <c r="A485" s="64"/>
      <c r="B485" s="64"/>
      <c r="C485" s="64"/>
      <c r="D485" s="90"/>
      <c r="E485" s="91"/>
      <c r="F485" s="91"/>
      <c r="G485" s="90"/>
      <c r="H485" s="90"/>
      <c r="I485" s="93"/>
      <c r="J485" s="90"/>
      <c r="K485" s="90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spans="1:26" ht="15.75" customHeight="1" x14ac:dyDescent="0.3">
      <c r="A486" s="64"/>
      <c r="B486" s="64"/>
      <c r="C486" s="64"/>
      <c r="D486" s="90"/>
      <c r="E486" s="91"/>
      <c r="F486" s="91"/>
      <c r="G486" s="90"/>
      <c r="H486" s="90"/>
      <c r="I486" s="93"/>
      <c r="J486" s="90"/>
      <c r="K486" s="90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spans="1:26" ht="15.75" customHeight="1" x14ac:dyDescent="0.3">
      <c r="A487" s="64"/>
      <c r="B487" s="64"/>
      <c r="C487" s="64"/>
      <c r="D487" s="90"/>
      <c r="E487" s="91"/>
      <c r="F487" s="91"/>
      <c r="G487" s="90"/>
      <c r="H487" s="90"/>
      <c r="I487" s="93"/>
      <c r="J487" s="90"/>
      <c r="K487" s="90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spans="1:26" ht="15.75" customHeight="1" x14ac:dyDescent="0.3">
      <c r="A488" s="64"/>
      <c r="B488" s="64"/>
      <c r="C488" s="64"/>
      <c r="D488" s="90"/>
      <c r="E488" s="91"/>
      <c r="F488" s="91"/>
      <c r="G488" s="90"/>
      <c r="H488" s="90"/>
      <c r="I488" s="93"/>
      <c r="J488" s="90"/>
      <c r="K488" s="90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spans="1:26" ht="15.75" customHeight="1" x14ac:dyDescent="0.3">
      <c r="A489" s="64"/>
      <c r="B489" s="64"/>
      <c r="C489" s="64"/>
      <c r="D489" s="90"/>
      <c r="E489" s="91"/>
      <c r="F489" s="91"/>
      <c r="G489" s="90"/>
      <c r="H489" s="90"/>
      <c r="I489" s="93"/>
      <c r="J489" s="90"/>
      <c r="K489" s="90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spans="1:26" ht="15.75" customHeight="1" x14ac:dyDescent="0.3">
      <c r="A490" s="64"/>
      <c r="B490" s="64"/>
      <c r="C490" s="64"/>
      <c r="D490" s="90"/>
      <c r="E490" s="91"/>
      <c r="F490" s="91"/>
      <c r="G490" s="90"/>
      <c r="H490" s="90"/>
      <c r="I490" s="93"/>
      <c r="J490" s="90"/>
      <c r="K490" s="90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spans="1:26" ht="15.75" customHeight="1" x14ac:dyDescent="0.3">
      <c r="A491" s="64"/>
      <c r="B491" s="64"/>
      <c r="C491" s="64"/>
      <c r="D491" s="90"/>
      <c r="E491" s="91"/>
      <c r="F491" s="91"/>
      <c r="G491" s="90"/>
      <c r="H491" s="90"/>
      <c r="I491" s="93"/>
      <c r="J491" s="90"/>
      <c r="K491" s="90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spans="1:26" ht="15.75" customHeight="1" x14ac:dyDescent="0.3">
      <c r="A492" s="64"/>
      <c r="B492" s="64"/>
      <c r="C492" s="64"/>
      <c r="D492" s="90"/>
      <c r="E492" s="91"/>
      <c r="F492" s="91"/>
      <c r="G492" s="90"/>
      <c r="H492" s="90"/>
      <c r="I492" s="93"/>
      <c r="J492" s="90"/>
      <c r="K492" s="90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spans="1:26" ht="15.75" customHeight="1" x14ac:dyDescent="0.3">
      <c r="A493" s="64"/>
      <c r="B493" s="64"/>
      <c r="C493" s="64"/>
      <c r="D493" s="90"/>
      <c r="E493" s="91"/>
      <c r="F493" s="91"/>
      <c r="G493" s="90"/>
      <c r="H493" s="90"/>
      <c r="I493" s="93"/>
      <c r="J493" s="90"/>
      <c r="K493" s="90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spans="1:26" ht="15.75" customHeight="1" x14ac:dyDescent="0.3">
      <c r="A494" s="64"/>
      <c r="B494" s="64"/>
      <c r="C494" s="64"/>
      <c r="D494" s="90"/>
      <c r="E494" s="91"/>
      <c r="F494" s="91"/>
      <c r="G494" s="90"/>
      <c r="H494" s="90"/>
      <c r="I494" s="93"/>
      <c r="J494" s="90"/>
      <c r="K494" s="90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spans="1:26" ht="15.75" customHeight="1" x14ac:dyDescent="0.3">
      <c r="A495" s="64"/>
      <c r="B495" s="64"/>
      <c r="C495" s="64"/>
      <c r="D495" s="90"/>
      <c r="E495" s="91"/>
      <c r="F495" s="91"/>
      <c r="G495" s="90"/>
      <c r="H495" s="90"/>
      <c r="I495" s="93"/>
      <c r="J495" s="90"/>
      <c r="K495" s="90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spans="1:26" ht="15.75" customHeight="1" x14ac:dyDescent="0.3">
      <c r="A496" s="64"/>
      <c r="B496" s="64"/>
      <c r="C496" s="64"/>
      <c r="D496" s="90"/>
      <c r="E496" s="91"/>
      <c r="F496" s="91"/>
      <c r="G496" s="90"/>
      <c r="H496" s="90"/>
      <c r="I496" s="93"/>
      <c r="J496" s="90"/>
      <c r="K496" s="90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spans="1:26" ht="15.75" customHeight="1" x14ac:dyDescent="0.3">
      <c r="A497" s="64"/>
      <c r="B497" s="64"/>
      <c r="C497" s="64"/>
      <c r="D497" s="90"/>
      <c r="E497" s="91"/>
      <c r="F497" s="91"/>
      <c r="G497" s="90"/>
      <c r="H497" s="90"/>
      <c r="I497" s="93"/>
      <c r="J497" s="90"/>
      <c r="K497" s="90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spans="1:26" ht="15.75" customHeight="1" x14ac:dyDescent="0.3">
      <c r="A498" s="64"/>
      <c r="B498" s="64"/>
      <c r="C498" s="64"/>
      <c r="D498" s="90"/>
      <c r="E498" s="91"/>
      <c r="F498" s="91"/>
      <c r="G498" s="90"/>
      <c r="H498" s="90"/>
      <c r="I498" s="93"/>
      <c r="J498" s="90"/>
      <c r="K498" s="90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spans="1:26" ht="15.75" customHeight="1" x14ac:dyDescent="0.3">
      <c r="A499" s="64"/>
      <c r="B499" s="64"/>
      <c r="C499" s="64"/>
      <c r="D499" s="90"/>
      <c r="E499" s="91"/>
      <c r="F499" s="91"/>
      <c r="G499" s="90"/>
      <c r="H499" s="90"/>
      <c r="I499" s="93"/>
      <c r="J499" s="90"/>
      <c r="K499" s="90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spans="1:26" ht="15.75" customHeight="1" x14ac:dyDescent="0.3">
      <c r="A500" s="64"/>
      <c r="B500" s="64"/>
      <c r="C500" s="64"/>
      <c r="D500" s="90"/>
      <c r="E500" s="91"/>
      <c r="F500" s="91"/>
      <c r="G500" s="90"/>
      <c r="H500" s="90"/>
      <c r="I500" s="93"/>
      <c r="J500" s="90"/>
      <c r="K500" s="90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spans="1:26" ht="15.75" customHeight="1" x14ac:dyDescent="0.3">
      <c r="A501" s="64"/>
      <c r="B501" s="64"/>
      <c r="C501" s="64"/>
      <c r="D501" s="90"/>
      <c r="E501" s="91"/>
      <c r="F501" s="91"/>
      <c r="G501" s="90"/>
      <c r="H501" s="90"/>
      <c r="I501" s="93"/>
      <c r="J501" s="90"/>
      <c r="K501" s="90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spans="1:26" ht="15.75" customHeight="1" x14ac:dyDescent="0.3">
      <c r="A502" s="64"/>
      <c r="B502" s="64"/>
      <c r="C502" s="64"/>
      <c r="D502" s="90"/>
      <c r="E502" s="91"/>
      <c r="F502" s="91"/>
      <c r="G502" s="90"/>
      <c r="H502" s="90"/>
      <c r="I502" s="93"/>
      <c r="J502" s="90"/>
      <c r="K502" s="90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spans="1:26" ht="15.75" customHeight="1" x14ac:dyDescent="0.3">
      <c r="A503" s="64"/>
      <c r="B503" s="64"/>
      <c r="C503" s="64"/>
      <c r="D503" s="90"/>
      <c r="E503" s="91"/>
      <c r="F503" s="91"/>
      <c r="G503" s="90"/>
      <c r="H503" s="90"/>
      <c r="I503" s="93"/>
      <c r="J503" s="90"/>
      <c r="K503" s="90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spans="1:26" ht="15.75" customHeight="1" x14ac:dyDescent="0.3">
      <c r="A504" s="64"/>
      <c r="B504" s="64"/>
      <c r="C504" s="64"/>
      <c r="D504" s="90"/>
      <c r="E504" s="91"/>
      <c r="F504" s="91"/>
      <c r="G504" s="90"/>
      <c r="H504" s="90"/>
      <c r="I504" s="93"/>
      <c r="J504" s="90"/>
      <c r="K504" s="90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spans="1:26" ht="15.75" customHeight="1" x14ac:dyDescent="0.3">
      <c r="A505" s="64"/>
      <c r="B505" s="64"/>
      <c r="C505" s="64"/>
      <c r="D505" s="90"/>
      <c r="E505" s="91"/>
      <c r="F505" s="91"/>
      <c r="G505" s="90"/>
      <c r="H505" s="90"/>
      <c r="I505" s="93"/>
      <c r="J505" s="90"/>
      <c r="K505" s="90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spans="1:26" ht="15.75" customHeight="1" x14ac:dyDescent="0.3">
      <c r="A506" s="64"/>
      <c r="B506" s="64"/>
      <c r="C506" s="64"/>
      <c r="D506" s="90"/>
      <c r="E506" s="91"/>
      <c r="F506" s="91"/>
      <c r="G506" s="90"/>
      <c r="H506" s="90"/>
      <c r="I506" s="93"/>
      <c r="J506" s="90"/>
      <c r="K506" s="90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spans="1:26" ht="15.75" customHeight="1" x14ac:dyDescent="0.3">
      <c r="A507" s="64"/>
      <c r="B507" s="64"/>
      <c r="C507" s="64"/>
      <c r="D507" s="90"/>
      <c r="E507" s="91"/>
      <c r="F507" s="91"/>
      <c r="G507" s="90"/>
      <c r="H507" s="90"/>
      <c r="I507" s="93"/>
      <c r="J507" s="90"/>
      <c r="K507" s="90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spans="1:26" ht="15.75" customHeight="1" x14ac:dyDescent="0.3">
      <c r="A508" s="64"/>
      <c r="B508" s="64"/>
      <c r="C508" s="64"/>
      <c r="D508" s="90"/>
      <c r="E508" s="91"/>
      <c r="F508" s="91"/>
      <c r="G508" s="90"/>
      <c r="H508" s="90"/>
      <c r="I508" s="93"/>
      <c r="J508" s="90"/>
      <c r="K508" s="90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spans="1:26" ht="15.75" customHeight="1" x14ac:dyDescent="0.3">
      <c r="A509" s="64"/>
      <c r="B509" s="64"/>
      <c r="C509" s="64"/>
      <c r="D509" s="90"/>
      <c r="E509" s="91"/>
      <c r="F509" s="91"/>
      <c r="G509" s="90"/>
      <c r="H509" s="90"/>
      <c r="I509" s="93"/>
      <c r="J509" s="90"/>
      <c r="K509" s="90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spans="1:26" ht="15.75" customHeight="1" x14ac:dyDescent="0.3">
      <c r="A510" s="64"/>
      <c r="B510" s="64"/>
      <c r="C510" s="64"/>
      <c r="D510" s="90"/>
      <c r="E510" s="91"/>
      <c r="F510" s="91"/>
      <c r="G510" s="90"/>
      <c r="H510" s="90"/>
      <c r="I510" s="93"/>
      <c r="J510" s="90"/>
      <c r="K510" s="90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spans="1:26" ht="15.75" customHeight="1" x14ac:dyDescent="0.3">
      <c r="A511" s="64"/>
      <c r="B511" s="64"/>
      <c r="C511" s="64"/>
      <c r="D511" s="90"/>
      <c r="E511" s="91"/>
      <c r="F511" s="91"/>
      <c r="G511" s="90"/>
      <c r="H511" s="90"/>
      <c r="I511" s="93"/>
      <c r="J511" s="90"/>
      <c r="K511" s="90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spans="1:26" ht="15.75" customHeight="1" x14ac:dyDescent="0.3">
      <c r="A512" s="64"/>
      <c r="B512" s="64"/>
      <c r="C512" s="64"/>
      <c r="D512" s="90"/>
      <c r="E512" s="91"/>
      <c r="F512" s="91"/>
      <c r="G512" s="90"/>
      <c r="H512" s="90"/>
      <c r="I512" s="93"/>
      <c r="J512" s="90"/>
      <c r="K512" s="90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spans="1:26" ht="15.75" customHeight="1" x14ac:dyDescent="0.3">
      <c r="A513" s="64"/>
      <c r="B513" s="64"/>
      <c r="C513" s="64"/>
      <c r="D513" s="90"/>
      <c r="E513" s="91"/>
      <c r="F513" s="91"/>
      <c r="G513" s="90"/>
      <c r="H513" s="90"/>
      <c r="I513" s="93"/>
      <c r="J513" s="90"/>
      <c r="K513" s="90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spans="1:26" ht="15.75" customHeight="1" x14ac:dyDescent="0.3">
      <c r="A514" s="64"/>
      <c r="B514" s="64"/>
      <c r="C514" s="64"/>
      <c r="D514" s="90"/>
      <c r="E514" s="91"/>
      <c r="F514" s="91"/>
      <c r="G514" s="90"/>
      <c r="H514" s="90"/>
      <c r="I514" s="93"/>
      <c r="J514" s="90"/>
      <c r="K514" s="90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spans="1:26" ht="15.75" customHeight="1" x14ac:dyDescent="0.3">
      <c r="A515" s="64"/>
      <c r="B515" s="64"/>
      <c r="C515" s="64"/>
      <c r="D515" s="90"/>
      <c r="E515" s="91"/>
      <c r="F515" s="91"/>
      <c r="G515" s="90"/>
      <c r="H515" s="90"/>
      <c r="I515" s="93"/>
      <c r="J515" s="90"/>
      <c r="K515" s="90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spans="1:26" ht="15.75" customHeight="1" x14ac:dyDescent="0.3">
      <c r="A516" s="64"/>
      <c r="B516" s="64"/>
      <c r="C516" s="64"/>
      <c r="D516" s="90"/>
      <c r="E516" s="91"/>
      <c r="F516" s="91"/>
      <c r="G516" s="90"/>
      <c r="H516" s="90"/>
      <c r="I516" s="93"/>
      <c r="J516" s="90"/>
      <c r="K516" s="90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spans="1:26" ht="15.75" customHeight="1" x14ac:dyDescent="0.3">
      <c r="A517" s="64"/>
      <c r="B517" s="64"/>
      <c r="C517" s="64"/>
      <c r="D517" s="90"/>
      <c r="E517" s="91"/>
      <c r="F517" s="91"/>
      <c r="G517" s="90"/>
      <c r="H517" s="90"/>
      <c r="I517" s="93"/>
      <c r="J517" s="90"/>
      <c r="K517" s="90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spans="1:26" ht="15.75" customHeight="1" x14ac:dyDescent="0.3">
      <c r="A518" s="64"/>
      <c r="B518" s="64"/>
      <c r="C518" s="64"/>
      <c r="D518" s="90"/>
      <c r="E518" s="91"/>
      <c r="F518" s="91"/>
      <c r="G518" s="90"/>
      <c r="H518" s="90"/>
      <c r="I518" s="93"/>
      <c r="J518" s="90"/>
      <c r="K518" s="90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spans="1:26" ht="15.75" customHeight="1" x14ac:dyDescent="0.3">
      <c r="A519" s="64"/>
      <c r="B519" s="64"/>
      <c r="C519" s="64"/>
      <c r="D519" s="90"/>
      <c r="E519" s="91"/>
      <c r="F519" s="91"/>
      <c r="G519" s="90"/>
      <c r="H519" s="90"/>
      <c r="I519" s="93"/>
      <c r="J519" s="90"/>
      <c r="K519" s="90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spans="1:26" ht="15.75" customHeight="1" x14ac:dyDescent="0.3">
      <c r="A520" s="64"/>
      <c r="B520" s="64"/>
      <c r="C520" s="64"/>
      <c r="D520" s="90"/>
      <c r="E520" s="91"/>
      <c r="F520" s="91"/>
      <c r="G520" s="90"/>
      <c r="H520" s="90"/>
      <c r="I520" s="93"/>
      <c r="J520" s="90"/>
      <c r="K520" s="90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spans="1:26" ht="15.75" customHeight="1" x14ac:dyDescent="0.3">
      <c r="A521" s="64"/>
      <c r="B521" s="64"/>
      <c r="C521" s="64"/>
      <c r="D521" s="90"/>
      <c r="E521" s="91"/>
      <c r="F521" s="91"/>
      <c r="G521" s="90"/>
      <c r="H521" s="90"/>
      <c r="I521" s="93"/>
      <c r="J521" s="90"/>
      <c r="K521" s="90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spans="1:26" ht="15.75" customHeight="1" x14ac:dyDescent="0.3">
      <c r="A522" s="64"/>
      <c r="B522" s="64"/>
      <c r="C522" s="64"/>
      <c r="D522" s="90"/>
      <c r="E522" s="91"/>
      <c r="F522" s="91"/>
      <c r="G522" s="90"/>
      <c r="H522" s="90"/>
      <c r="I522" s="93"/>
      <c r="J522" s="90"/>
      <c r="K522" s="90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spans="1:26" ht="15.75" customHeight="1" x14ac:dyDescent="0.3">
      <c r="A523" s="64"/>
      <c r="B523" s="64"/>
      <c r="C523" s="64"/>
      <c r="D523" s="90"/>
      <c r="E523" s="91"/>
      <c r="F523" s="91"/>
      <c r="G523" s="90"/>
      <c r="H523" s="90"/>
      <c r="I523" s="93"/>
      <c r="J523" s="90"/>
      <c r="K523" s="90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spans="1:26" ht="15.75" customHeight="1" x14ac:dyDescent="0.3">
      <c r="A524" s="64"/>
      <c r="B524" s="64"/>
      <c r="C524" s="64"/>
      <c r="D524" s="90"/>
      <c r="E524" s="91"/>
      <c r="F524" s="91"/>
      <c r="G524" s="90"/>
      <c r="H524" s="90"/>
      <c r="I524" s="93"/>
      <c r="J524" s="90"/>
      <c r="K524" s="90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spans="1:26" ht="15.75" customHeight="1" x14ac:dyDescent="0.3">
      <c r="A525" s="64"/>
      <c r="B525" s="64"/>
      <c r="C525" s="64"/>
      <c r="D525" s="90"/>
      <c r="E525" s="91"/>
      <c r="F525" s="91"/>
      <c r="G525" s="90"/>
      <c r="H525" s="90"/>
      <c r="I525" s="93"/>
      <c r="J525" s="90"/>
      <c r="K525" s="90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spans="1:26" ht="15.75" customHeight="1" x14ac:dyDescent="0.3">
      <c r="A526" s="64"/>
      <c r="B526" s="64"/>
      <c r="C526" s="64"/>
      <c r="D526" s="90"/>
      <c r="E526" s="91"/>
      <c r="F526" s="91"/>
      <c r="G526" s="90"/>
      <c r="H526" s="90"/>
      <c r="I526" s="93"/>
      <c r="J526" s="90"/>
      <c r="K526" s="90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spans="1:26" ht="15.75" customHeight="1" x14ac:dyDescent="0.3">
      <c r="A527" s="64"/>
      <c r="B527" s="64"/>
      <c r="C527" s="64"/>
      <c r="D527" s="90"/>
      <c r="E527" s="91"/>
      <c r="F527" s="91"/>
      <c r="G527" s="90"/>
      <c r="H527" s="90"/>
      <c r="I527" s="93"/>
      <c r="J527" s="90"/>
      <c r="K527" s="90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spans="1:26" ht="15.75" customHeight="1" x14ac:dyDescent="0.3">
      <c r="A528" s="64"/>
      <c r="B528" s="64"/>
      <c r="C528" s="64"/>
      <c r="D528" s="90"/>
      <c r="E528" s="91"/>
      <c r="F528" s="91"/>
      <c r="G528" s="90"/>
      <c r="H528" s="90"/>
      <c r="I528" s="93"/>
      <c r="J528" s="90"/>
      <c r="K528" s="90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spans="1:26" ht="15.75" customHeight="1" x14ac:dyDescent="0.3">
      <c r="A529" s="64"/>
      <c r="B529" s="64"/>
      <c r="C529" s="64"/>
      <c r="D529" s="90"/>
      <c r="E529" s="91"/>
      <c r="F529" s="91"/>
      <c r="G529" s="90"/>
      <c r="H529" s="90"/>
      <c r="I529" s="93"/>
      <c r="J529" s="90"/>
      <c r="K529" s="90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spans="1:26" ht="15.75" customHeight="1" x14ac:dyDescent="0.3">
      <c r="A530" s="64"/>
      <c r="B530" s="64"/>
      <c r="C530" s="64"/>
      <c r="D530" s="90"/>
      <c r="E530" s="91"/>
      <c r="F530" s="91"/>
      <c r="G530" s="90"/>
      <c r="H530" s="90"/>
      <c r="I530" s="93"/>
      <c r="J530" s="90"/>
      <c r="K530" s="90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spans="1:26" ht="15.75" customHeight="1" x14ac:dyDescent="0.3">
      <c r="A531" s="64"/>
      <c r="B531" s="64"/>
      <c r="C531" s="64"/>
      <c r="D531" s="90"/>
      <c r="E531" s="91"/>
      <c r="F531" s="91"/>
      <c r="G531" s="90"/>
      <c r="H531" s="90"/>
      <c r="I531" s="93"/>
      <c r="J531" s="90"/>
      <c r="K531" s="90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spans="1:26" ht="15.75" customHeight="1" x14ac:dyDescent="0.3">
      <c r="A532" s="64"/>
      <c r="B532" s="64"/>
      <c r="C532" s="64"/>
      <c r="D532" s="90"/>
      <c r="E532" s="91"/>
      <c r="F532" s="91"/>
      <c r="G532" s="90"/>
      <c r="H532" s="90"/>
      <c r="I532" s="93"/>
      <c r="J532" s="90"/>
      <c r="K532" s="90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spans="1:26" ht="15.75" customHeight="1" x14ac:dyDescent="0.3">
      <c r="A533" s="64"/>
      <c r="B533" s="64"/>
      <c r="C533" s="64"/>
      <c r="D533" s="90"/>
      <c r="E533" s="91"/>
      <c r="F533" s="91"/>
      <c r="G533" s="90"/>
      <c r="H533" s="90"/>
      <c r="I533" s="93"/>
      <c r="J533" s="90"/>
      <c r="K533" s="90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spans="1:26" ht="15.75" customHeight="1" x14ac:dyDescent="0.3">
      <c r="A534" s="64"/>
      <c r="B534" s="64"/>
      <c r="C534" s="64"/>
      <c r="D534" s="90"/>
      <c r="E534" s="91"/>
      <c r="F534" s="91"/>
      <c r="G534" s="90"/>
      <c r="H534" s="90"/>
      <c r="I534" s="93"/>
      <c r="J534" s="90"/>
      <c r="K534" s="90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spans="1:26" ht="15.75" customHeight="1" x14ac:dyDescent="0.3">
      <c r="A535" s="64"/>
      <c r="B535" s="64"/>
      <c r="C535" s="64"/>
      <c r="D535" s="90"/>
      <c r="E535" s="91"/>
      <c r="F535" s="91"/>
      <c r="G535" s="90"/>
      <c r="H535" s="90"/>
      <c r="I535" s="93"/>
      <c r="J535" s="90"/>
      <c r="K535" s="90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spans="1:26" ht="15.75" customHeight="1" x14ac:dyDescent="0.3">
      <c r="A536" s="64"/>
      <c r="B536" s="64"/>
      <c r="C536" s="64"/>
      <c r="D536" s="90"/>
      <c r="E536" s="91"/>
      <c r="F536" s="91"/>
      <c r="G536" s="90"/>
      <c r="H536" s="90"/>
      <c r="I536" s="93"/>
      <c r="J536" s="90"/>
      <c r="K536" s="90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spans="1:26" ht="15.75" customHeight="1" x14ac:dyDescent="0.3">
      <c r="A537" s="64"/>
      <c r="B537" s="64"/>
      <c r="C537" s="64"/>
      <c r="D537" s="90"/>
      <c r="E537" s="91"/>
      <c r="F537" s="91"/>
      <c r="G537" s="90"/>
      <c r="H537" s="90"/>
      <c r="I537" s="93"/>
      <c r="J537" s="90"/>
      <c r="K537" s="90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spans="1:26" ht="15.75" customHeight="1" x14ac:dyDescent="0.3">
      <c r="A538" s="64"/>
      <c r="B538" s="64"/>
      <c r="C538" s="64"/>
      <c r="D538" s="90"/>
      <c r="E538" s="91"/>
      <c r="F538" s="91"/>
      <c r="G538" s="90"/>
      <c r="H538" s="90"/>
      <c r="I538" s="93"/>
      <c r="J538" s="90"/>
      <c r="K538" s="90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spans="1:26" ht="15.75" customHeight="1" x14ac:dyDescent="0.3">
      <c r="A539" s="64"/>
      <c r="B539" s="64"/>
      <c r="C539" s="64"/>
      <c r="D539" s="90"/>
      <c r="E539" s="91"/>
      <c r="F539" s="91"/>
      <c r="G539" s="90"/>
      <c r="H539" s="90"/>
      <c r="I539" s="93"/>
      <c r="J539" s="90"/>
      <c r="K539" s="90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spans="1:26" ht="15.75" customHeight="1" x14ac:dyDescent="0.3">
      <c r="A540" s="64"/>
      <c r="B540" s="64"/>
      <c r="C540" s="64"/>
      <c r="D540" s="90"/>
      <c r="E540" s="91"/>
      <c r="F540" s="91"/>
      <c r="G540" s="90"/>
      <c r="H540" s="90"/>
      <c r="I540" s="93"/>
      <c r="J540" s="90"/>
      <c r="K540" s="90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spans="1:26" ht="15.75" customHeight="1" x14ac:dyDescent="0.3">
      <c r="A541" s="64"/>
      <c r="B541" s="64"/>
      <c r="C541" s="64"/>
      <c r="D541" s="90"/>
      <c r="E541" s="91"/>
      <c r="F541" s="91"/>
      <c r="G541" s="90"/>
      <c r="H541" s="90"/>
      <c r="I541" s="93"/>
      <c r="J541" s="90"/>
      <c r="K541" s="90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spans="1:26" ht="15.75" customHeight="1" x14ac:dyDescent="0.3">
      <c r="A542" s="64"/>
      <c r="B542" s="64"/>
      <c r="C542" s="64"/>
      <c r="D542" s="90"/>
      <c r="E542" s="91"/>
      <c r="F542" s="91"/>
      <c r="G542" s="90"/>
      <c r="H542" s="90"/>
      <c r="I542" s="93"/>
      <c r="J542" s="90"/>
      <c r="K542" s="90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spans="1:26" ht="15.75" customHeight="1" x14ac:dyDescent="0.3">
      <c r="A543" s="64"/>
      <c r="B543" s="64"/>
      <c r="C543" s="64"/>
      <c r="D543" s="90"/>
      <c r="E543" s="91"/>
      <c r="F543" s="91"/>
      <c r="G543" s="90"/>
      <c r="H543" s="90"/>
      <c r="I543" s="93"/>
      <c r="J543" s="90"/>
      <c r="K543" s="90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spans="1:26" ht="15.75" customHeight="1" x14ac:dyDescent="0.3">
      <c r="A544" s="64"/>
      <c r="B544" s="64"/>
      <c r="C544" s="64"/>
      <c r="D544" s="90"/>
      <c r="E544" s="91"/>
      <c r="F544" s="91"/>
      <c r="G544" s="90"/>
      <c r="H544" s="90"/>
      <c r="I544" s="93"/>
      <c r="J544" s="90"/>
      <c r="K544" s="90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spans="1:26" ht="15.75" customHeight="1" x14ac:dyDescent="0.3">
      <c r="A545" s="64"/>
      <c r="B545" s="64"/>
      <c r="C545" s="64"/>
      <c r="D545" s="90"/>
      <c r="E545" s="91"/>
      <c r="F545" s="91"/>
      <c r="G545" s="90"/>
      <c r="H545" s="90"/>
      <c r="I545" s="93"/>
      <c r="J545" s="90"/>
      <c r="K545" s="90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spans="1:26" ht="15.75" customHeight="1" x14ac:dyDescent="0.3">
      <c r="A546" s="64"/>
      <c r="B546" s="64"/>
      <c r="C546" s="64"/>
      <c r="D546" s="90"/>
      <c r="E546" s="91"/>
      <c r="F546" s="91"/>
      <c r="G546" s="90"/>
      <c r="H546" s="90"/>
      <c r="I546" s="93"/>
      <c r="J546" s="90"/>
      <c r="K546" s="90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spans="1:26" ht="15.75" customHeight="1" x14ac:dyDescent="0.3">
      <c r="A547" s="64"/>
      <c r="B547" s="64"/>
      <c r="C547" s="64"/>
      <c r="D547" s="90"/>
      <c r="E547" s="91"/>
      <c r="F547" s="91"/>
      <c r="G547" s="90"/>
      <c r="H547" s="90"/>
      <c r="I547" s="93"/>
      <c r="J547" s="90"/>
      <c r="K547" s="90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spans="1:26" ht="15.75" customHeight="1" x14ac:dyDescent="0.3">
      <c r="A548" s="64"/>
      <c r="B548" s="64"/>
      <c r="C548" s="64"/>
      <c r="D548" s="90"/>
      <c r="E548" s="91"/>
      <c r="F548" s="91"/>
      <c r="G548" s="90"/>
      <c r="H548" s="90"/>
      <c r="I548" s="93"/>
      <c r="J548" s="90"/>
      <c r="K548" s="90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spans="1:26" ht="15.75" customHeight="1" x14ac:dyDescent="0.3">
      <c r="A549" s="64"/>
      <c r="B549" s="64"/>
      <c r="C549" s="64"/>
      <c r="D549" s="90"/>
      <c r="E549" s="91"/>
      <c r="F549" s="91"/>
      <c r="G549" s="90"/>
      <c r="H549" s="90"/>
      <c r="I549" s="93"/>
      <c r="J549" s="90"/>
      <c r="K549" s="90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spans="1:26" ht="15.75" customHeight="1" x14ac:dyDescent="0.3">
      <c r="A550" s="64"/>
      <c r="B550" s="64"/>
      <c r="C550" s="64"/>
      <c r="D550" s="90"/>
      <c r="E550" s="91"/>
      <c r="F550" s="91"/>
      <c r="G550" s="90"/>
      <c r="H550" s="90"/>
      <c r="I550" s="93"/>
      <c r="J550" s="90"/>
      <c r="K550" s="90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spans="1:26" ht="15.75" customHeight="1" x14ac:dyDescent="0.3">
      <c r="A551" s="64"/>
      <c r="B551" s="64"/>
      <c r="C551" s="64"/>
      <c r="D551" s="90"/>
      <c r="E551" s="91"/>
      <c r="F551" s="91"/>
      <c r="G551" s="90"/>
      <c r="H551" s="90"/>
      <c r="I551" s="93"/>
      <c r="J551" s="90"/>
      <c r="K551" s="90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spans="1:26" ht="15.75" customHeight="1" x14ac:dyDescent="0.3">
      <c r="A552" s="64"/>
      <c r="B552" s="64"/>
      <c r="C552" s="64"/>
      <c r="D552" s="90"/>
      <c r="E552" s="91"/>
      <c r="F552" s="91"/>
      <c r="G552" s="90"/>
      <c r="H552" s="90"/>
      <c r="I552" s="93"/>
      <c r="J552" s="90"/>
      <c r="K552" s="90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spans="1:26" ht="15.75" customHeight="1" x14ac:dyDescent="0.3">
      <c r="A553" s="64"/>
      <c r="B553" s="64"/>
      <c r="C553" s="64"/>
      <c r="D553" s="90"/>
      <c r="E553" s="91"/>
      <c r="F553" s="91"/>
      <c r="G553" s="90"/>
      <c r="H553" s="90"/>
      <c r="I553" s="93"/>
      <c r="J553" s="90"/>
      <c r="K553" s="90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spans="1:26" ht="15.75" customHeight="1" x14ac:dyDescent="0.3">
      <c r="A554" s="64"/>
      <c r="B554" s="64"/>
      <c r="C554" s="64"/>
      <c r="D554" s="90"/>
      <c r="E554" s="91"/>
      <c r="F554" s="91"/>
      <c r="G554" s="90"/>
      <c r="H554" s="90"/>
      <c r="I554" s="93"/>
      <c r="J554" s="90"/>
      <c r="K554" s="90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spans="1:26" ht="15.75" customHeight="1" x14ac:dyDescent="0.3">
      <c r="A555" s="64"/>
      <c r="B555" s="64"/>
      <c r="C555" s="64"/>
      <c r="D555" s="90"/>
      <c r="E555" s="91"/>
      <c r="F555" s="91"/>
      <c r="G555" s="90"/>
      <c r="H555" s="90"/>
      <c r="I555" s="93"/>
      <c r="J555" s="90"/>
      <c r="K555" s="90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spans="1:26" ht="15.75" customHeight="1" x14ac:dyDescent="0.3">
      <c r="A556" s="64"/>
      <c r="B556" s="64"/>
      <c r="C556" s="64"/>
      <c r="D556" s="90"/>
      <c r="E556" s="91"/>
      <c r="F556" s="91"/>
      <c r="G556" s="90"/>
      <c r="H556" s="90"/>
      <c r="I556" s="93"/>
      <c r="J556" s="90"/>
      <c r="K556" s="90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spans="1:26" ht="15.75" customHeight="1" x14ac:dyDescent="0.3">
      <c r="A557" s="64"/>
      <c r="B557" s="64"/>
      <c r="C557" s="64"/>
      <c r="D557" s="90"/>
      <c r="E557" s="91"/>
      <c r="F557" s="91"/>
      <c r="G557" s="90"/>
      <c r="H557" s="90"/>
      <c r="I557" s="93"/>
      <c r="J557" s="90"/>
      <c r="K557" s="90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spans="1:26" ht="15.75" customHeight="1" x14ac:dyDescent="0.3">
      <c r="A558" s="64"/>
      <c r="B558" s="64"/>
      <c r="C558" s="64"/>
      <c r="D558" s="90"/>
      <c r="E558" s="91"/>
      <c r="F558" s="91"/>
      <c r="G558" s="90"/>
      <c r="H558" s="90"/>
      <c r="I558" s="93"/>
      <c r="J558" s="90"/>
      <c r="K558" s="90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spans="1:26" ht="15.75" customHeight="1" x14ac:dyDescent="0.3">
      <c r="A559" s="64"/>
      <c r="B559" s="64"/>
      <c r="C559" s="64"/>
      <c r="D559" s="90"/>
      <c r="E559" s="91"/>
      <c r="F559" s="91"/>
      <c r="G559" s="90"/>
      <c r="H559" s="90"/>
      <c r="I559" s="93"/>
      <c r="J559" s="90"/>
      <c r="K559" s="90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spans="1:26" ht="15.75" customHeight="1" x14ac:dyDescent="0.3">
      <c r="A560" s="64"/>
      <c r="B560" s="64"/>
      <c r="C560" s="64"/>
      <c r="D560" s="90"/>
      <c r="E560" s="91"/>
      <c r="F560" s="91"/>
      <c r="G560" s="90"/>
      <c r="H560" s="90"/>
      <c r="I560" s="93"/>
      <c r="J560" s="90"/>
      <c r="K560" s="90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spans="1:26" ht="15.75" customHeight="1" x14ac:dyDescent="0.3">
      <c r="A561" s="64"/>
      <c r="B561" s="64"/>
      <c r="C561" s="64"/>
      <c r="D561" s="90"/>
      <c r="E561" s="91"/>
      <c r="F561" s="91"/>
      <c r="G561" s="90"/>
      <c r="H561" s="90"/>
      <c r="I561" s="93"/>
      <c r="J561" s="90"/>
      <c r="K561" s="90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spans="1:26" ht="15.75" customHeight="1" x14ac:dyDescent="0.3">
      <c r="A562" s="64"/>
      <c r="B562" s="64"/>
      <c r="C562" s="64"/>
      <c r="D562" s="90"/>
      <c r="E562" s="91"/>
      <c r="F562" s="91"/>
      <c r="G562" s="90"/>
      <c r="H562" s="90"/>
      <c r="I562" s="93"/>
      <c r="J562" s="90"/>
      <c r="K562" s="90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spans="1:26" ht="15.75" customHeight="1" x14ac:dyDescent="0.3">
      <c r="A563" s="64"/>
      <c r="B563" s="64"/>
      <c r="C563" s="64"/>
      <c r="D563" s="90"/>
      <c r="E563" s="91"/>
      <c r="F563" s="91"/>
      <c r="G563" s="90"/>
      <c r="H563" s="90"/>
      <c r="I563" s="93"/>
      <c r="J563" s="90"/>
      <c r="K563" s="90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spans="1:26" ht="15.75" customHeight="1" x14ac:dyDescent="0.3">
      <c r="A564" s="64"/>
      <c r="B564" s="64"/>
      <c r="C564" s="64"/>
      <c r="D564" s="90"/>
      <c r="E564" s="91"/>
      <c r="F564" s="91"/>
      <c r="G564" s="90"/>
      <c r="H564" s="90"/>
      <c r="I564" s="93"/>
      <c r="J564" s="90"/>
      <c r="K564" s="90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spans="1:26" ht="15.75" customHeight="1" x14ac:dyDescent="0.3">
      <c r="A565" s="64"/>
      <c r="B565" s="64"/>
      <c r="C565" s="64"/>
      <c r="D565" s="90"/>
      <c r="E565" s="91"/>
      <c r="F565" s="91"/>
      <c r="G565" s="90"/>
      <c r="H565" s="90"/>
      <c r="I565" s="93"/>
      <c r="J565" s="90"/>
      <c r="K565" s="90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spans="1:26" ht="15.75" customHeight="1" x14ac:dyDescent="0.3">
      <c r="A566" s="64"/>
      <c r="B566" s="64"/>
      <c r="C566" s="64"/>
      <c r="D566" s="90"/>
      <c r="E566" s="91"/>
      <c r="F566" s="91"/>
      <c r="G566" s="90"/>
      <c r="H566" s="90"/>
      <c r="I566" s="93"/>
      <c r="J566" s="90"/>
      <c r="K566" s="90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spans="1:26" ht="15.75" customHeight="1" x14ac:dyDescent="0.3">
      <c r="A567" s="64"/>
      <c r="B567" s="64"/>
      <c r="C567" s="64"/>
      <c r="D567" s="90"/>
      <c r="E567" s="91"/>
      <c r="F567" s="91"/>
      <c r="G567" s="90"/>
      <c r="H567" s="90"/>
      <c r="I567" s="93"/>
      <c r="J567" s="90"/>
      <c r="K567" s="90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spans="1:26" ht="15.75" customHeight="1" x14ac:dyDescent="0.3">
      <c r="A568" s="64"/>
      <c r="B568" s="64"/>
      <c r="C568" s="64"/>
      <c r="D568" s="90"/>
      <c r="E568" s="91"/>
      <c r="F568" s="91"/>
      <c r="G568" s="90"/>
      <c r="H568" s="90"/>
      <c r="I568" s="93"/>
      <c r="J568" s="90"/>
      <c r="K568" s="90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spans="1:26" ht="15.75" customHeight="1" x14ac:dyDescent="0.3">
      <c r="A569" s="64"/>
      <c r="B569" s="64"/>
      <c r="C569" s="64"/>
      <c r="D569" s="90"/>
      <c r="E569" s="91"/>
      <c r="F569" s="91"/>
      <c r="G569" s="90"/>
      <c r="H569" s="90"/>
      <c r="I569" s="93"/>
      <c r="J569" s="90"/>
      <c r="K569" s="90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spans="1:26" ht="15.75" customHeight="1" x14ac:dyDescent="0.3">
      <c r="A570" s="64"/>
      <c r="B570" s="64"/>
      <c r="C570" s="64"/>
      <c r="D570" s="90"/>
      <c r="E570" s="91"/>
      <c r="F570" s="91"/>
      <c r="G570" s="90"/>
      <c r="H570" s="90"/>
      <c r="I570" s="93"/>
      <c r="J570" s="90"/>
      <c r="K570" s="90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spans="1:26" ht="15.75" customHeight="1" x14ac:dyDescent="0.3">
      <c r="A571" s="64"/>
      <c r="B571" s="64"/>
      <c r="C571" s="64"/>
      <c r="D571" s="90"/>
      <c r="E571" s="91"/>
      <c r="F571" s="91"/>
      <c r="G571" s="90"/>
      <c r="H571" s="90"/>
      <c r="I571" s="93"/>
      <c r="J571" s="90"/>
      <c r="K571" s="90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spans="1:26" ht="15.75" customHeight="1" x14ac:dyDescent="0.3">
      <c r="A572" s="64"/>
      <c r="B572" s="64"/>
      <c r="C572" s="64"/>
      <c r="D572" s="90"/>
      <c r="E572" s="91"/>
      <c r="F572" s="91"/>
      <c r="G572" s="90"/>
      <c r="H572" s="90"/>
      <c r="I572" s="93"/>
      <c r="J572" s="90"/>
      <c r="K572" s="90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spans="1:26" ht="15.75" customHeight="1" x14ac:dyDescent="0.3">
      <c r="A573" s="64"/>
      <c r="B573" s="64"/>
      <c r="C573" s="64"/>
      <c r="D573" s="90"/>
      <c r="E573" s="91"/>
      <c r="F573" s="91"/>
      <c r="G573" s="90"/>
      <c r="H573" s="90"/>
      <c r="I573" s="93"/>
      <c r="J573" s="90"/>
      <c r="K573" s="90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spans="1:26" ht="15.75" customHeight="1" x14ac:dyDescent="0.3">
      <c r="A574" s="64"/>
      <c r="B574" s="64"/>
      <c r="C574" s="64"/>
      <c r="D574" s="90"/>
      <c r="E574" s="91"/>
      <c r="F574" s="91"/>
      <c r="G574" s="90"/>
      <c r="H574" s="90"/>
      <c r="I574" s="93"/>
      <c r="J574" s="90"/>
      <c r="K574" s="90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spans="1:26" ht="15.75" customHeight="1" x14ac:dyDescent="0.3">
      <c r="A575" s="64"/>
      <c r="B575" s="64"/>
      <c r="C575" s="64"/>
      <c r="D575" s="90"/>
      <c r="E575" s="91"/>
      <c r="F575" s="91"/>
      <c r="G575" s="90"/>
      <c r="H575" s="90"/>
      <c r="I575" s="93"/>
      <c r="J575" s="90"/>
      <c r="K575" s="90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spans="1:26" ht="15.75" customHeight="1" x14ac:dyDescent="0.3">
      <c r="A576" s="64"/>
      <c r="B576" s="64"/>
      <c r="C576" s="64"/>
      <c r="D576" s="90"/>
      <c r="E576" s="91"/>
      <c r="F576" s="91"/>
      <c r="G576" s="90"/>
      <c r="H576" s="90"/>
      <c r="I576" s="93"/>
      <c r="J576" s="90"/>
      <c r="K576" s="90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spans="1:26" ht="15.75" customHeight="1" x14ac:dyDescent="0.3">
      <c r="A577" s="64"/>
      <c r="B577" s="64"/>
      <c r="C577" s="64"/>
      <c r="D577" s="90"/>
      <c r="E577" s="91"/>
      <c r="F577" s="91"/>
      <c r="G577" s="90"/>
      <c r="H577" s="90"/>
      <c r="I577" s="93"/>
      <c r="J577" s="90"/>
      <c r="K577" s="90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spans="1:26" ht="15.75" customHeight="1" x14ac:dyDescent="0.3">
      <c r="A578" s="64"/>
      <c r="B578" s="64"/>
      <c r="C578" s="64"/>
      <c r="D578" s="90"/>
      <c r="E578" s="91"/>
      <c r="F578" s="91"/>
      <c r="G578" s="90"/>
      <c r="H578" s="90"/>
      <c r="I578" s="93"/>
      <c r="J578" s="90"/>
      <c r="K578" s="90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spans="1:26" ht="15.75" customHeight="1" x14ac:dyDescent="0.3">
      <c r="A579" s="64"/>
      <c r="B579" s="64"/>
      <c r="C579" s="64"/>
      <c r="D579" s="90"/>
      <c r="E579" s="91"/>
      <c r="F579" s="91"/>
      <c r="G579" s="90"/>
      <c r="H579" s="90"/>
      <c r="I579" s="93"/>
      <c r="J579" s="90"/>
      <c r="K579" s="90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spans="1:26" ht="15.75" customHeight="1" x14ac:dyDescent="0.3">
      <c r="A580" s="64"/>
      <c r="B580" s="64"/>
      <c r="C580" s="64"/>
      <c r="D580" s="90"/>
      <c r="E580" s="91"/>
      <c r="F580" s="91"/>
      <c r="G580" s="90"/>
      <c r="H580" s="90"/>
      <c r="I580" s="93"/>
      <c r="J580" s="90"/>
      <c r="K580" s="90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spans="1:26" ht="15.75" customHeight="1" x14ac:dyDescent="0.3">
      <c r="A581" s="64"/>
      <c r="B581" s="64"/>
      <c r="C581" s="64"/>
      <c r="D581" s="90"/>
      <c r="E581" s="91"/>
      <c r="F581" s="91"/>
      <c r="G581" s="90"/>
      <c r="H581" s="90"/>
      <c r="I581" s="93"/>
      <c r="J581" s="90"/>
      <c r="K581" s="90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spans="1:26" ht="15.75" customHeight="1" x14ac:dyDescent="0.3">
      <c r="A582" s="64"/>
      <c r="B582" s="64"/>
      <c r="C582" s="64"/>
      <c r="D582" s="90"/>
      <c r="E582" s="91"/>
      <c r="F582" s="91"/>
      <c r="G582" s="90"/>
      <c r="H582" s="90"/>
      <c r="I582" s="93"/>
      <c r="J582" s="90"/>
      <c r="K582" s="90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spans="1:26" ht="15.75" customHeight="1" x14ac:dyDescent="0.3">
      <c r="A583" s="64"/>
      <c r="B583" s="64"/>
      <c r="C583" s="64"/>
      <c r="D583" s="90"/>
      <c r="E583" s="91"/>
      <c r="F583" s="91"/>
      <c r="G583" s="90"/>
      <c r="H583" s="90"/>
      <c r="I583" s="93"/>
      <c r="J583" s="90"/>
      <c r="K583" s="90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spans="1:26" ht="15.75" customHeight="1" x14ac:dyDescent="0.3">
      <c r="A584" s="64"/>
      <c r="B584" s="64"/>
      <c r="C584" s="64"/>
      <c r="D584" s="90"/>
      <c r="E584" s="91"/>
      <c r="F584" s="91"/>
      <c r="G584" s="90"/>
      <c r="H584" s="90"/>
      <c r="I584" s="93"/>
      <c r="J584" s="90"/>
      <c r="K584" s="90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spans="1:26" ht="15.75" customHeight="1" x14ac:dyDescent="0.3">
      <c r="A585" s="64"/>
      <c r="B585" s="64"/>
      <c r="C585" s="64"/>
      <c r="D585" s="90"/>
      <c r="E585" s="91"/>
      <c r="F585" s="91"/>
      <c r="G585" s="90"/>
      <c r="H585" s="90"/>
      <c r="I585" s="93"/>
      <c r="J585" s="90"/>
      <c r="K585" s="90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spans="1:26" ht="15.75" customHeight="1" x14ac:dyDescent="0.3">
      <c r="A586" s="64"/>
      <c r="B586" s="64"/>
      <c r="C586" s="64"/>
      <c r="D586" s="90"/>
      <c r="E586" s="91"/>
      <c r="F586" s="91"/>
      <c r="G586" s="90"/>
      <c r="H586" s="90"/>
      <c r="I586" s="93"/>
      <c r="J586" s="90"/>
      <c r="K586" s="90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spans="1:26" ht="15.75" customHeight="1" x14ac:dyDescent="0.3">
      <c r="A587" s="64"/>
      <c r="B587" s="64"/>
      <c r="C587" s="64"/>
      <c r="D587" s="90"/>
      <c r="E587" s="91"/>
      <c r="F587" s="91"/>
      <c r="G587" s="90"/>
      <c r="H587" s="90"/>
      <c r="I587" s="93"/>
      <c r="J587" s="90"/>
      <c r="K587" s="90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spans="1:26" ht="15.75" customHeight="1" x14ac:dyDescent="0.3">
      <c r="A588" s="64"/>
      <c r="B588" s="64"/>
      <c r="C588" s="64"/>
      <c r="D588" s="90"/>
      <c r="E588" s="91"/>
      <c r="F588" s="91"/>
      <c r="G588" s="90"/>
      <c r="H588" s="90"/>
      <c r="I588" s="93"/>
      <c r="J588" s="90"/>
      <c r="K588" s="90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spans="1:26" ht="15.75" customHeight="1" x14ac:dyDescent="0.3">
      <c r="A589" s="64"/>
      <c r="B589" s="64"/>
      <c r="C589" s="64"/>
      <c r="D589" s="90"/>
      <c r="E589" s="91"/>
      <c r="F589" s="91"/>
      <c r="G589" s="90"/>
      <c r="H589" s="90"/>
      <c r="I589" s="93"/>
      <c r="J589" s="90"/>
      <c r="K589" s="90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spans="1:26" ht="15.75" customHeight="1" x14ac:dyDescent="0.3">
      <c r="A590" s="64"/>
      <c r="B590" s="64"/>
      <c r="C590" s="64"/>
      <c r="D590" s="90"/>
      <c r="E590" s="91"/>
      <c r="F590" s="91"/>
      <c r="G590" s="90"/>
      <c r="H590" s="90"/>
      <c r="I590" s="93"/>
      <c r="J590" s="90"/>
      <c r="K590" s="90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spans="1:26" ht="15.75" customHeight="1" x14ac:dyDescent="0.3">
      <c r="A591" s="64"/>
      <c r="B591" s="64"/>
      <c r="C591" s="64"/>
      <c r="D591" s="90"/>
      <c r="E591" s="91"/>
      <c r="F591" s="91"/>
      <c r="G591" s="90"/>
      <c r="H591" s="90"/>
      <c r="I591" s="93"/>
      <c r="J591" s="90"/>
      <c r="K591" s="90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spans="1:26" ht="15.75" customHeight="1" x14ac:dyDescent="0.3">
      <c r="A592" s="64"/>
      <c r="B592" s="64"/>
      <c r="C592" s="64"/>
      <c r="D592" s="90"/>
      <c r="E592" s="91"/>
      <c r="F592" s="91"/>
      <c r="G592" s="90"/>
      <c r="H592" s="90"/>
      <c r="I592" s="93"/>
      <c r="J592" s="90"/>
      <c r="K592" s="90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spans="1:26" ht="15.75" customHeight="1" x14ac:dyDescent="0.3">
      <c r="A593" s="64"/>
      <c r="B593" s="64"/>
      <c r="C593" s="64"/>
      <c r="D593" s="90"/>
      <c r="E593" s="91"/>
      <c r="F593" s="91"/>
      <c r="G593" s="90"/>
      <c r="H593" s="90"/>
      <c r="I593" s="93"/>
      <c r="J593" s="90"/>
      <c r="K593" s="90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spans="1:26" ht="15.75" customHeight="1" x14ac:dyDescent="0.3">
      <c r="A594" s="64"/>
      <c r="B594" s="64"/>
      <c r="C594" s="64"/>
      <c r="D594" s="90"/>
      <c r="E594" s="91"/>
      <c r="F594" s="91"/>
      <c r="G594" s="90"/>
      <c r="H594" s="90"/>
      <c r="I594" s="93"/>
      <c r="J594" s="90"/>
      <c r="K594" s="90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spans="1:26" ht="15.75" customHeight="1" x14ac:dyDescent="0.3">
      <c r="A595" s="64"/>
      <c r="B595" s="64"/>
      <c r="C595" s="64"/>
      <c r="D595" s="90"/>
      <c r="E595" s="91"/>
      <c r="F595" s="91"/>
      <c r="G595" s="90"/>
      <c r="H595" s="90"/>
      <c r="I595" s="93"/>
      <c r="J595" s="90"/>
      <c r="K595" s="90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spans="1:26" ht="15.75" customHeight="1" x14ac:dyDescent="0.3">
      <c r="A596" s="64"/>
      <c r="B596" s="64"/>
      <c r="C596" s="64"/>
      <c r="D596" s="90"/>
      <c r="E596" s="91"/>
      <c r="F596" s="91"/>
      <c r="G596" s="90"/>
      <c r="H596" s="90"/>
      <c r="I596" s="93"/>
      <c r="J596" s="90"/>
      <c r="K596" s="90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spans="1:26" ht="15.75" customHeight="1" x14ac:dyDescent="0.3">
      <c r="A597" s="64"/>
      <c r="B597" s="64"/>
      <c r="C597" s="64"/>
      <c r="D597" s="90"/>
      <c r="E597" s="91"/>
      <c r="F597" s="91"/>
      <c r="G597" s="90"/>
      <c r="H597" s="90"/>
      <c r="I597" s="93"/>
      <c r="J597" s="90"/>
      <c r="K597" s="90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spans="1:26" ht="15.75" customHeight="1" x14ac:dyDescent="0.3">
      <c r="A598" s="64"/>
      <c r="B598" s="64"/>
      <c r="C598" s="64"/>
      <c r="D598" s="90"/>
      <c r="E598" s="91"/>
      <c r="F598" s="91"/>
      <c r="G598" s="90"/>
      <c r="H598" s="90"/>
      <c r="I598" s="93"/>
      <c r="J598" s="90"/>
      <c r="K598" s="90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spans="1:26" ht="15.75" customHeight="1" x14ac:dyDescent="0.3">
      <c r="A599" s="64"/>
      <c r="B599" s="64"/>
      <c r="C599" s="64"/>
      <c r="D599" s="90"/>
      <c r="E599" s="91"/>
      <c r="F599" s="91"/>
      <c r="G599" s="90"/>
      <c r="H599" s="90"/>
      <c r="I599" s="93"/>
      <c r="J599" s="90"/>
      <c r="K599" s="90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spans="1:26" ht="15.75" customHeight="1" x14ac:dyDescent="0.3">
      <c r="A600" s="64"/>
      <c r="B600" s="64"/>
      <c r="C600" s="64"/>
      <c r="D600" s="90"/>
      <c r="E600" s="91"/>
      <c r="F600" s="91"/>
      <c r="G600" s="90"/>
      <c r="H600" s="90"/>
      <c r="I600" s="93"/>
      <c r="J600" s="90"/>
      <c r="K600" s="90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spans="1:26" ht="15.75" customHeight="1" x14ac:dyDescent="0.3">
      <c r="A601" s="64"/>
      <c r="B601" s="64"/>
      <c r="C601" s="64"/>
      <c r="D601" s="90"/>
      <c r="E601" s="91"/>
      <c r="F601" s="91"/>
      <c r="G601" s="90"/>
      <c r="H601" s="90"/>
      <c r="I601" s="93"/>
      <c r="J601" s="90"/>
      <c r="K601" s="90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spans="1:26" ht="15.75" customHeight="1" x14ac:dyDescent="0.3">
      <c r="A602" s="64"/>
      <c r="B602" s="64"/>
      <c r="C602" s="64"/>
      <c r="D602" s="90"/>
      <c r="E602" s="91"/>
      <c r="F602" s="91"/>
      <c r="G602" s="90"/>
      <c r="H602" s="90"/>
      <c r="I602" s="93"/>
      <c r="J602" s="90"/>
      <c r="K602" s="90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spans="1:26" ht="15.75" customHeight="1" x14ac:dyDescent="0.3">
      <c r="A603" s="64"/>
      <c r="B603" s="64"/>
      <c r="C603" s="64"/>
      <c r="D603" s="90"/>
      <c r="E603" s="91"/>
      <c r="F603" s="91"/>
      <c r="G603" s="90"/>
      <c r="H603" s="90"/>
      <c r="I603" s="93"/>
      <c r="J603" s="90"/>
      <c r="K603" s="90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spans="1:26" ht="15.75" customHeight="1" x14ac:dyDescent="0.3">
      <c r="A604" s="64"/>
      <c r="B604" s="64"/>
      <c r="C604" s="64"/>
      <c r="D604" s="90"/>
      <c r="E604" s="91"/>
      <c r="F604" s="91"/>
      <c r="G604" s="90"/>
      <c r="H604" s="90"/>
      <c r="I604" s="93"/>
      <c r="J604" s="90"/>
      <c r="K604" s="90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spans="1:26" ht="15.75" customHeight="1" x14ac:dyDescent="0.3">
      <c r="A605" s="64"/>
      <c r="B605" s="64"/>
      <c r="C605" s="64"/>
      <c r="D605" s="90"/>
      <c r="E605" s="91"/>
      <c r="F605" s="91"/>
      <c r="G605" s="90"/>
      <c r="H605" s="90"/>
      <c r="I605" s="93"/>
      <c r="J605" s="90"/>
      <c r="K605" s="90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spans="1:26" ht="15.75" customHeight="1" x14ac:dyDescent="0.3">
      <c r="A606" s="64"/>
      <c r="B606" s="64"/>
      <c r="C606" s="64"/>
      <c r="D606" s="90"/>
      <c r="E606" s="91"/>
      <c r="F606" s="91"/>
      <c r="G606" s="90"/>
      <c r="H606" s="90"/>
      <c r="I606" s="93"/>
      <c r="J606" s="90"/>
      <c r="K606" s="90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spans="1:26" ht="15.75" customHeight="1" x14ac:dyDescent="0.3">
      <c r="A607" s="64"/>
      <c r="B607" s="64"/>
      <c r="C607" s="64"/>
      <c r="D607" s="90"/>
      <c r="E607" s="91"/>
      <c r="F607" s="91"/>
      <c r="G607" s="90"/>
      <c r="H607" s="90"/>
      <c r="I607" s="93"/>
      <c r="J607" s="90"/>
      <c r="K607" s="90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spans="1:26" ht="15.75" customHeight="1" x14ac:dyDescent="0.3">
      <c r="A608" s="64"/>
      <c r="B608" s="64"/>
      <c r="C608" s="64"/>
      <c r="D608" s="90"/>
      <c r="E608" s="91"/>
      <c r="F608" s="91"/>
      <c r="G608" s="90"/>
      <c r="H608" s="90"/>
      <c r="I608" s="93"/>
      <c r="J608" s="90"/>
      <c r="K608" s="90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spans="1:26" ht="15.75" customHeight="1" x14ac:dyDescent="0.3">
      <c r="A609" s="64"/>
      <c r="B609" s="64"/>
      <c r="C609" s="64"/>
      <c r="D609" s="90"/>
      <c r="E609" s="91"/>
      <c r="F609" s="91"/>
      <c r="G609" s="90"/>
      <c r="H609" s="90"/>
      <c r="I609" s="93"/>
      <c r="J609" s="90"/>
      <c r="K609" s="90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spans="1:26" ht="15.75" customHeight="1" x14ac:dyDescent="0.3">
      <c r="A610" s="64"/>
      <c r="B610" s="64"/>
      <c r="C610" s="64"/>
      <c r="D610" s="90"/>
      <c r="E610" s="91"/>
      <c r="F610" s="91"/>
      <c r="G610" s="90"/>
      <c r="H610" s="90"/>
      <c r="I610" s="93"/>
      <c r="J610" s="90"/>
      <c r="K610" s="90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spans="1:26" ht="15.75" customHeight="1" x14ac:dyDescent="0.3">
      <c r="A611" s="64"/>
      <c r="B611" s="64"/>
      <c r="C611" s="64"/>
      <c r="D611" s="90"/>
      <c r="E611" s="91"/>
      <c r="F611" s="91"/>
      <c r="G611" s="90"/>
      <c r="H611" s="90"/>
      <c r="I611" s="93"/>
      <c r="J611" s="90"/>
      <c r="K611" s="90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spans="1:26" ht="15.75" customHeight="1" x14ac:dyDescent="0.3">
      <c r="A612" s="64"/>
      <c r="B612" s="64"/>
      <c r="C612" s="64"/>
      <c r="D612" s="90"/>
      <c r="E612" s="91"/>
      <c r="F612" s="91"/>
      <c r="G612" s="90"/>
      <c r="H612" s="90"/>
      <c r="I612" s="93"/>
      <c r="J612" s="90"/>
      <c r="K612" s="90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spans="1:26" ht="15.75" customHeight="1" x14ac:dyDescent="0.3">
      <c r="A613" s="64"/>
      <c r="B613" s="64"/>
      <c r="C613" s="64"/>
      <c r="D613" s="90"/>
      <c r="E613" s="91"/>
      <c r="F613" s="91"/>
      <c r="G613" s="90"/>
      <c r="H613" s="90"/>
      <c r="I613" s="93"/>
      <c r="J613" s="90"/>
      <c r="K613" s="90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spans="1:26" ht="15.75" customHeight="1" x14ac:dyDescent="0.3">
      <c r="A614" s="64"/>
      <c r="B614" s="64"/>
      <c r="C614" s="64"/>
      <c r="D614" s="90"/>
      <c r="E614" s="91"/>
      <c r="F614" s="91"/>
      <c r="G614" s="90"/>
      <c r="H614" s="90"/>
      <c r="I614" s="93"/>
      <c r="J614" s="90"/>
      <c r="K614" s="90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spans="1:26" ht="15.75" customHeight="1" x14ac:dyDescent="0.3">
      <c r="A615" s="64"/>
      <c r="B615" s="64"/>
      <c r="C615" s="64"/>
      <c r="D615" s="90"/>
      <c r="E615" s="91"/>
      <c r="F615" s="91"/>
      <c r="G615" s="90"/>
      <c r="H615" s="90"/>
      <c r="I615" s="93"/>
      <c r="J615" s="90"/>
      <c r="K615" s="90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spans="1:26" ht="15.75" customHeight="1" x14ac:dyDescent="0.3">
      <c r="A616" s="64"/>
      <c r="B616" s="64"/>
      <c r="C616" s="64"/>
      <c r="D616" s="90"/>
      <c r="E616" s="91"/>
      <c r="F616" s="91"/>
      <c r="G616" s="90"/>
      <c r="H616" s="90"/>
      <c r="I616" s="93"/>
      <c r="J616" s="90"/>
      <c r="K616" s="90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spans="1:26" ht="15.75" customHeight="1" x14ac:dyDescent="0.3">
      <c r="A617" s="64"/>
      <c r="B617" s="64"/>
      <c r="C617" s="64"/>
      <c r="D617" s="90"/>
      <c r="E617" s="91"/>
      <c r="F617" s="91"/>
      <c r="G617" s="90"/>
      <c r="H617" s="90"/>
      <c r="I617" s="93"/>
      <c r="J617" s="90"/>
      <c r="K617" s="90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spans="1:26" ht="15.75" customHeight="1" x14ac:dyDescent="0.3">
      <c r="A618" s="64"/>
      <c r="B618" s="64"/>
      <c r="C618" s="64"/>
      <c r="D618" s="90"/>
      <c r="E618" s="91"/>
      <c r="F618" s="91"/>
      <c r="G618" s="90"/>
      <c r="H618" s="90"/>
      <c r="I618" s="93"/>
      <c r="J618" s="90"/>
      <c r="K618" s="90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spans="1:26" ht="15.75" customHeight="1" x14ac:dyDescent="0.3">
      <c r="A619" s="64"/>
      <c r="B619" s="64"/>
      <c r="C619" s="64"/>
      <c r="D619" s="90"/>
      <c r="E619" s="91"/>
      <c r="F619" s="91"/>
      <c r="G619" s="90"/>
      <c r="H619" s="90"/>
      <c r="I619" s="93"/>
      <c r="J619" s="90"/>
      <c r="K619" s="90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spans="1:26" ht="15.75" customHeight="1" x14ac:dyDescent="0.3">
      <c r="A620" s="64"/>
      <c r="B620" s="64"/>
      <c r="C620" s="64"/>
      <c r="D620" s="90"/>
      <c r="E620" s="91"/>
      <c r="F620" s="91"/>
      <c r="G620" s="90"/>
      <c r="H620" s="90"/>
      <c r="I620" s="93"/>
      <c r="J620" s="90"/>
      <c r="K620" s="90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spans="1:26" ht="15.75" customHeight="1" x14ac:dyDescent="0.3">
      <c r="A621" s="64"/>
      <c r="B621" s="64"/>
      <c r="C621" s="64"/>
      <c r="D621" s="90"/>
      <c r="E621" s="91"/>
      <c r="F621" s="91"/>
      <c r="G621" s="90"/>
      <c r="H621" s="90"/>
      <c r="I621" s="93"/>
      <c r="J621" s="90"/>
      <c r="K621" s="90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spans="1:26" ht="15.75" customHeight="1" x14ac:dyDescent="0.3">
      <c r="A622" s="64"/>
      <c r="B622" s="64"/>
      <c r="C622" s="64"/>
      <c r="D622" s="90"/>
      <c r="E622" s="91"/>
      <c r="F622" s="91"/>
      <c r="G622" s="90"/>
      <c r="H622" s="90"/>
      <c r="I622" s="93"/>
      <c r="J622" s="90"/>
      <c r="K622" s="90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spans="1:26" ht="15.75" customHeight="1" x14ac:dyDescent="0.3">
      <c r="A623" s="64"/>
      <c r="B623" s="64"/>
      <c r="C623" s="64"/>
      <c r="D623" s="90"/>
      <c r="E623" s="91"/>
      <c r="F623" s="91"/>
      <c r="G623" s="90"/>
      <c r="H623" s="90"/>
      <c r="I623" s="93"/>
      <c r="J623" s="90"/>
      <c r="K623" s="90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spans="1:26" ht="15.75" customHeight="1" x14ac:dyDescent="0.3">
      <c r="A624" s="64"/>
      <c r="B624" s="64"/>
      <c r="C624" s="64"/>
      <c r="D624" s="90"/>
      <c r="E624" s="91"/>
      <c r="F624" s="91"/>
      <c r="G624" s="90"/>
      <c r="H624" s="90"/>
      <c r="I624" s="93"/>
      <c r="J624" s="90"/>
      <c r="K624" s="90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spans="1:26" ht="15.75" customHeight="1" x14ac:dyDescent="0.3">
      <c r="A625" s="64"/>
      <c r="B625" s="64"/>
      <c r="C625" s="64"/>
      <c r="D625" s="90"/>
      <c r="E625" s="91"/>
      <c r="F625" s="91"/>
      <c r="G625" s="90"/>
      <c r="H625" s="90"/>
      <c r="I625" s="93"/>
      <c r="J625" s="90"/>
      <c r="K625" s="90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spans="1:26" ht="15.75" customHeight="1" x14ac:dyDescent="0.3">
      <c r="A626" s="64"/>
      <c r="B626" s="64"/>
      <c r="C626" s="64"/>
      <c r="D626" s="90"/>
      <c r="E626" s="91"/>
      <c r="F626" s="91"/>
      <c r="G626" s="90"/>
      <c r="H626" s="90"/>
      <c r="I626" s="93"/>
      <c r="J626" s="90"/>
      <c r="K626" s="90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spans="1:26" ht="15.75" customHeight="1" x14ac:dyDescent="0.3">
      <c r="A627" s="64"/>
      <c r="B627" s="64"/>
      <c r="C627" s="64"/>
      <c r="D627" s="90"/>
      <c r="E627" s="91"/>
      <c r="F627" s="91"/>
      <c r="G627" s="90"/>
      <c r="H627" s="90"/>
      <c r="I627" s="93"/>
      <c r="J627" s="90"/>
      <c r="K627" s="90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spans="1:26" ht="15.75" customHeight="1" x14ac:dyDescent="0.3">
      <c r="A628" s="64"/>
      <c r="B628" s="64"/>
      <c r="C628" s="64"/>
      <c r="D628" s="90"/>
      <c r="E628" s="91"/>
      <c r="F628" s="91"/>
      <c r="G628" s="90"/>
      <c r="H628" s="90"/>
      <c r="I628" s="93"/>
      <c r="J628" s="90"/>
      <c r="K628" s="90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spans="1:26" ht="15.75" customHeight="1" x14ac:dyDescent="0.3">
      <c r="A629" s="64"/>
      <c r="B629" s="64"/>
      <c r="C629" s="64"/>
      <c r="D629" s="90"/>
      <c r="E629" s="91"/>
      <c r="F629" s="91"/>
      <c r="G629" s="90"/>
      <c r="H629" s="90"/>
      <c r="I629" s="93"/>
      <c r="J629" s="90"/>
      <c r="K629" s="90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spans="1:26" ht="15.75" customHeight="1" x14ac:dyDescent="0.3">
      <c r="A630" s="64"/>
      <c r="B630" s="64"/>
      <c r="C630" s="64"/>
      <c r="D630" s="90"/>
      <c r="E630" s="91"/>
      <c r="F630" s="91"/>
      <c r="G630" s="90"/>
      <c r="H630" s="90"/>
      <c r="I630" s="93"/>
      <c r="J630" s="90"/>
      <c r="K630" s="90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spans="1:26" ht="15.75" customHeight="1" x14ac:dyDescent="0.3">
      <c r="A631" s="64"/>
      <c r="B631" s="64"/>
      <c r="C631" s="64"/>
      <c r="D631" s="90"/>
      <c r="E631" s="91"/>
      <c r="F631" s="91"/>
      <c r="G631" s="90"/>
      <c r="H631" s="90"/>
      <c r="I631" s="93"/>
      <c r="J631" s="90"/>
      <c r="K631" s="90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spans="1:26" ht="15.75" customHeight="1" x14ac:dyDescent="0.3">
      <c r="A632" s="64"/>
      <c r="B632" s="64"/>
      <c r="C632" s="64"/>
      <c r="D632" s="90"/>
      <c r="E632" s="91"/>
      <c r="F632" s="91"/>
      <c r="G632" s="90"/>
      <c r="H632" s="90"/>
      <c r="I632" s="93"/>
      <c r="J632" s="90"/>
      <c r="K632" s="90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spans="1:26" ht="15.75" customHeight="1" x14ac:dyDescent="0.3">
      <c r="A633" s="64"/>
      <c r="B633" s="64"/>
      <c r="C633" s="64"/>
      <c r="D633" s="90"/>
      <c r="E633" s="91"/>
      <c r="F633" s="91"/>
      <c r="G633" s="90"/>
      <c r="H633" s="90"/>
      <c r="I633" s="93"/>
      <c r="J633" s="90"/>
      <c r="K633" s="90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spans="1:26" ht="15.75" customHeight="1" x14ac:dyDescent="0.3">
      <c r="A634" s="64"/>
      <c r="B634" s="64"/>
      <c r="C634" s="64"/>
      <c r="D634" s="90"/>
      <c r="E634" s="91"/>
      <c r="F634" s="91"/>
      <c r="G634" s="90"/>
      <c r="H634" s="90"/>
      <c r="I634" s="93"/>
      <c r="J634" s="90"/>
      <c r="K634" s="90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spans="1:26" ht="15.75" customHeight="1" x14ac:dyDescent="0.3">
      <c r="A635" s="64"/>
      <c r="B635" s="64"/>
      <c r="C635" s="64"/>
      <c r="D635" s="90"/>
      <c r="E635" s="91"/>
      <c r="F635" s="91"/>
      <c r="G635" s="90"/>
      <c r="H635" s="90"/>
      <c r="I635" s="93"/>
      <c r="J635" s="90"/>
      <c r="K635" s="90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spans="1:26" ht="15.75" customHeight="1" x14ac:dyDescent="0.3">
      <c r="A636" s="64"/>
      <c r="B636" s="64"/>
      <c r="C636" s="64"/>
      <c r="D636" s="90"/>
      <c r="E636" s="91"/>
      <c r="F636" s="91"/>
      <c r="G636" s="90"/>
      <c r="H636" s="90"/>
      <c r="I636" s="93"/>
      <c r="J636" s="90"/>
      <c r="K636" s="90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spans="1:26" ht="15.75" customHeight="1" x14ac:dyDescent="0.3">
      <c r="A637" s="64"/>
      <c r="B637" s="64"/>
      <c r="C637" s="64"/>
      <c r="D637" s="90"/>
      <c r="E637" s="91"/>
      <c r="F637" s="91"/>
      <c r="G637" s="90"/>
      <c r="H637" s="90"/>
      <c r="I637" s="93"/>
      <c r="J637" s="90"/>
      <c r="K637" s="90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spans="1:26" ht="15.75" customHeight="1" x14ac:dyDescent="0.3">
      <c r="A638" s="64"/>
      <c r="B638" s="64"/>
      <c r="C638" s="64"/>
      <c r="D638" s="90"/>
      <c r="E638" s="91"/>
      <c r="F638" s="91"/>
      <c r="G638" s="90"/>
      <c r="H638" s="90"/>
      <c r="I638" s="93"/>
      <c r="J638" s="90"/>
      <c r="K638" s="90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spans="1:26" ht="15.75" customHeight="1" x14ac:dyDescent="0.3">
      <c r="A639" s="64"/>
      <c r="B639" s="64"/>
      <c r="C639" s="64"/>
      <c r="D639" s="90"/>
      <c r="E639" s="91"/>
      <c r="F639" s="91"/>
      <c r="G639" s="90"/>
      <c r="H639" s="90"/>
      <c r="I639" s="93"/>
      <c r="J639" s="90"/>
      <c r="K639" s="90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spans="1:26" ht="15.75" customHeight="1" x14ac:dyDescent="0.3">
      <c r="A640" s="64"/>
      <c r="B640" s="64"/>
      <c r="C640" s="64"/>
      <c r="D640" s="90"/>
      <c r="E640" s="91"/>
      <c r="F640" s="91"/>
      <c r="G640" s="90"/>
      <c r="H640" s="90"/>
      <c r="I640" s="93"/>
      <c r="J640" s="90"/>
      <c r="K640" s="90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spans="1:26" ht="15.75" customHeight="1" x14ac:dyDescent="0.3">
      <c r="A641" s="64"/>
      <c r="B641" s="64"/>
      <c r="C641" s="64"/>
      <c r="D641" s="90"/>
      <c r="E641" s="91"/>
      <c r="F641" s="91"/>
      <c r="G641" s="90"/>
      <c r="H641" s="90"/>
      <c r="I641" s="93"/>
      <c r="J641" s="90"/>
      <c r="K641" s="90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spans="1:26" ht="15.75" customHeight="1" x14ac:dyDescent="0.3">
      <c r="A642" s="64"/>
      <c r="B642" s="64"/>
      <c r="C642" s="64"/>
      <c r="D642" s="90"/>
      <c r="E642" s="91"/>
      <c r="F642" s="91"/>
      <c r="G642" s="90"/>
      <c r="H642" s="90"/>
      <c r="I642" s="93"/>
      <c r="J642" s="90"/>
      <c r="K642" s="90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spans="1:26" ht="15.75" customHeight="1" x14ac:dyDescent="0.3">
      <c r="A643" s="64"/>
      <c r="B643" s="64"/>
      <c r="C643" s="64"/>
      <c r="D643" s="90"/>
      <c r="E643" s="91"/>
      <c r="F643" s="91"/>
      <c r="G643" s="90"/>
      <c r="H643" s="90"/>
      <c r="I643" s="93"/>
      <c r="J643" s="90"/>
      <c r="K643" s="90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spans="1:26" ht="15.75" customHeight="1" x14ac:dyDescent="0.3">
      <c r="A644" s="64"/>
      <c r="B644" s="64"/>
      <c r="C644" s="64"/>
      <c r="D644" s="90"/>
      <c r="E644" s="91"/>
      <c r="F644" s="91"/>
      <c r="G644" s="90"/>
      <c r="H644" s="90"/>
      <c r="I644" s="93"/>
      <c r="J644" s="90"/>
      <c r="K644" s="90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spans="1:26" ht="15.75" customHeight="1" x14ac:dyDescent="0.3">
      <c r="A645" s="64"/>
      <c r="B645" s="64"/>
      <c r="C645" s="64"/>
      <c r="D645" s="90"/>
      <c r="E645" s="91"/>
      <c r="F645" s="91"/>
      <c r="G645" s="90"/>
      <c r="H645" s="90"/>
      <c r="I645" s="93"/>
      <c r="J645" s="90"/>
      <c r="K645" s="90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spans="1:26" ht="15.75" customHeight="1" x14ac:dyDescent="0.3">
      <c r="A646" s="64"/>
      <c r="B646" s="64"/>
      <c r="C646" s="64"/>
      <c r="D646" s="90"/>
      <c r="E646" s="91"/>
      <c r="F646" s="91"/>
      <c r="G646" s="90"/>
      <c r="H646" s="90"/>
      <c r="I646" s="93"/>
      <c r="J646" s="90"/>
      <c r="K646" s="90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spans="1:26" ht="15.75" customHeight="1" x14ac:dyDescent="0.3">
      <c r="A647" s="64"/>
      <c r="B647" s="64"/>
      <c r="C647" s="64"/>
      <c r="D647" s="90"/>
      <c r="E647" s="91"/>
      <c r="F647" s="91"/>
      <c r="G647" s="90"/>
      <c r="H647" s="90"/>
      <c r="I647" s="93"/>
      <c r="J647" s="90"/>
      <c r="K647" s="90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spans="1:26" ht="15.75" customHeight="1" x14ac:dyDescent="0.3">
      <c r="A648" s="64"/>
      <c r="B648" s="64"/>
      <c r="C648" s="64"/>
      <c r="D648" s="90"/>
      <c r="E648" s="91"/>
      <c r="F648" s="91"/>
      <c r="G648" s="90"/>
      <c r="H648" s="90"/>
      <c r="I648" s="93"/>
      <c r="J648" s="90"/>
      <c r="K648" s="90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spans="1:26" ht="15.75" customHeight="1" x14ac:dyDescent="0.3">
      <c r="A649" s="64"/>
      <c r="B649" s="64"/>
      <c r="C649" s="64"/>
      <c r="D649" s="90"/>
      <c r="E649" s="91"/>
      <c r="F649" s="91"/>
      <c r="G649" s="90"/>
      <c r="H649" s="90"/>
      <c r="I649" s="93"/>
      <c r="J649" s="90"/>
      <c r="K649" s="90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spans="1:26" ht="15.75" customHeight="1" x14ac:dyDescent="0.3">
      <c r="A650" s="64"/>
      <c r="B650" s="64"/>
      <c r="C650" s="64"/>
      <c r="D650" s="90"/>
      <c r="E650" s="91"/>
      <c r="F650" s="91"/>
      <c r="G650" s="90"/>
      <c r="H650" s="90"/>
      <c r="I650" s="93"/>
      <c r="J650" s="90"/>
      <c r="K650" s="90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spans="1:26" ht="15.75" customHeight="1" x14ac:dyDescent="0.3">
      <c r="A651" s="64"/>
      <c r="B651" s="64"/>
      <c r="C651" s="64"/>
      <c r="D651" s="90"/>
      <c r="E651" s="91"/>
      <c r="F651" s="91"/>
      <c r="G651" s="90"/>
      <c r="H651" s="90"/>
      <c r="I651" s="93"/>
      <c r="J651" s="90"/>
      <c r="K651" s="90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spans="1:26" ht="15.75" customHeight="1" x14ac:dyDescent="0.3">
      <c r="A652" s="64"/>
      <c r="B652" s="64"/>
      <c r="C652" s="64"/>
      <c r="D652" s="90"/>
      <c r="E652" s="91"/>
      <c r="F652" s="91"/>
      <c r="G652" s="90"/>
      <c r="H652" s="90"/>
      <c r="I652" s="93"/>
      <c r="J652" s="90"/>
      <c r="K652" s="90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spans="1:26" ht="15.75" customHeight="1" x14ac:dyDescent="0.3">
      <c r="A653" s="64"/>
      <c r="B653" s="64"/>
      <c r="C653" s="64"/>
      <c r="D653" s="90"/>
      <c r="E653" s="91"/>
      <c r="F653" s="91"/>
      <c r="G653" s="90"/>
      <c r="H653" s="90"/>
      <c r="I653" s="93"/>
      <c r="J653" s="90"/>
      <c r="K653" s="90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spans="1:26" ht="15.75" customHeight="1" x14ac:dyDescent="0.3">
      <c r="A654" s="64"/>
      <c r="B654" s="64"/>
      <c r="C654" s="64"/>
      <c r="D654" s="90"/>
      <c r="E654" s="91"/>
      <c r="F654" s="91"/>
      <c r="G654" s="90"/>
      <c r="H654" s="90"/>
      <c r="I654" s="93"/>
      <c r="J654" s="90"/>
      <c r="K654" s="90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spans="1:26" ht="15.75" customHeight="1" x14ac:dyDescent="0.3">
      <c r="A655" s="64"/>
      <c r="B655" s="64"/>
      <c r="C655" s="64"/>
      <c r="D655" s="90"/>
      <c r="E655" s="91"/>
      <c r="F655" s="91"/>
      <c r="G655" s="90"/>
      <c r="H655" s="90"/>
      <c r="I655" s="93"/>
      <c r="J655" s="90"/>
      <c r="K655" s="90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spans="1:26" ht="15.75" customHeight="1" x14ac:dyDescent="0.3">
      <c r="A656" s="64"/>
      <c r="B656" s="64"/>
      <c r="C656" s="64"/>
      <c r="D656" s="90"/>
      <c r="E656" s="91"/>
      <c r="F656" s="91"/>
      <c r="G656" s="90"/>
      <c r="H656" s="90"/>
      <c r="I656" s="93"/>
      <c r="J656" s="90"/>
      <c r="K656" s="90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spans="1:26" ht="15.75" customHeight="1" x14ac:dyDescent="0.3">
      <c r="A657" s="64"/>
      <c r="B657" s="64"/>
      <c r="C657" s="64"/>
      <c r="D657" s="90"/>
      <c r="E657" s="91"/>
      <c r="F657" s="91"/>
      <c r="G657" s="90"/>
      <c r="H657" s="90"/>
      <c r="I657" s="93"/>
      <c r="J657" s="90"/>
      <c r="K657" s="90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spans="1:26" ht="15.75" customHeight="1" x14ac:dyDescent="0.3">
      <c r="A658" s="64"/>
      <c r="B658" s="64"/>
      <c r="C658" s="64"/>
      <c r="D658" s="90"/>
      <c r="E658" s="91"/>
      <c r="F658" s="91"/>
      <c r="G658" s="90"/>
      <c r="H658" s="90"/>
      <c r="I658" s="93"/>
      <c r="J658" s="90"/>
      <c r="K658" s="90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spans="1:26" ht="15.75" customHeight="1" x14ac:dyDescent="0.3">
      <c r="A659" s="64"/>
      <c r="B659" s="64"/>
      <c r="C659" s="64"/>
      <c r="D659" s="90"/>
      <c r="E659" s="91"/>
      <c r="F659" s="91"/>
      <c r="G659" s="90"/>
      <c r="H659" s="90"/>
      <c r="I659" s="93"/>
      <c r="J659" s="90"/>
      <c r="K659" s="90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spans="1:26" ht="15.75" customHeight="1" x14ac:dyDescent="0.3">
      <c r="A660" s="64"/>
      <c r="B660" s="64"/>
      <c r="C660" s="64"/>
      <c r="D660" s="90"/>
      <c r="E660" s="91"/>
      <c r="F660" s="91"/>
      <c r="G660" s="90"/>
      <c r="H660" s="90"/>
      <c r="I660" s="93"/>
      <c r="J660" s="90"/>
      <c r="K660" s="90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spans="1:26" ht="15.75" customHeight="1" x14ac:dyDescent="0.3">
      <c r="A661" s="64"/>
      <c r="B661" s="64"/>
      <c r="C661" s="64"/>
      <c r="D661" s="90"/>
      <c r="E661" s="91"/>
      <c r="F661" s="91"/>
      <c r="G661" s="90"/>
      <c r="H661" s="90"/>
      <c r="I661" s="93"/>
      <c r="J661" s="90"/>
      <c r="K661" s="90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spans="1:26" ht="15.75" customHeight="1" x14ac:dyDescent="0.3">
      <c r="A662" s="64"/>
      <c r="B662" s="64"/>
      <c r="C662" s="64"/>
      <c r="D662" s="90"/>
      <c r="E662" s="91"/>
      <c r="F662" s="91"/>
      <c r="G662" s="90"/>
      <c r="H662" s="90"/>
      <c r="I662" s="93"/>
      <c r="J662" s="90"/>
      <c r="K662" s="90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spans="1:26" ht="15.75" customHeight="1" x14ac:dyDescent="0.3">
      <c r="A663" s="64"/>
      <c r="B663" s="64"/>
      <c r="C663" s="64"/>
      <c r="D663" s="90"/>
      <c r="E663" s="91"/>
      <c r="F663" s="91"/>
      <c r="G663" s="90"/>
      <c r="H663" s="90"/>
      <c r="I663" s="93"/>
      <c r="J663" s="90"/>
      <c r="K663" s="90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spans="1:26" ht="15.75" customHeight="1" x14ac:dyDescent="0.3">
      <c r="A664" s="64"/>
      <c r="B664" s="64"/>
      <c r="C664" s="64"/>
      <c r="D664" s="90"/>
      <c r="E664" s="91"/>
      <c r="F664" s="91"/>
      <c r="G664" s="90"/>
      <c r="H664" s="90"/>
      <c r="I664" s="93"/>
      <c r="J664" s="90"/>
      <c r="K664" s="90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spans="1:26" ht="15.75" customHeight="1" x14ac:dyDescent="0.3">
      <c r="A665" s="64"/>
      <c r="B665" s="64"/>
      <c r="C665" s="64"/>
      <c r="D665" s="90"/>
      <c r="E665" s="91"/>
      <c r="F665" s="91"/>
      <c r="G665" s="90"/>
      <c r="H665" s="90"/>
      <c r="I665" s="93"/>
      <c r="J665" s="90"/>
      <c r="K665" s="90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spans="1:26" ht="15.75" customHeight="1" x14ac:dyDescent="0.3">
      <c r="A666" s="64"/>
      <c r="B666" s="64"/>
      <c r="C666" s="64"/>
      <c r="D666" s="90"/>
      <c r="E666" s="91"/>
      <c r="F666" s="91"/>
      <c r="G666" s="90"/>
      <c r="H666" s="90"/>
      <c r="I666" s="93"/>
      <c r="J666" s="90"/>
      <c r="K666" s="90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spans="1:26" ht="15.75" customHeight="1" x14ac:dyDescent="0.3">
      <c r="A667" s="64"/>
      <c r="B667" s="64"/>
      <c r="C667" s="64"/>
      <c r="D667" s="90"/>
      <c r="E667" s="91"/>
      <c r="F667" s="91"/>
      <c r="G667" s="90"/>
      <c r="H667" s="90"/>
      <c r="I667" s="93"/>
      <c r="J667" s="90"/>
      <c r="K667" s="90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spans="1:26" ht="15.75" customHeight="1" x14ac:dyDescent="0.3">
      <c r="A668" s="64"/>
      <c r="B668" s="64"/>
      <c r="C668" s="64"/>
      <c r="D668" s="90"/>
      <c r="E668" s="91"/>
      <c r="F668" s="91"/>
      <c r="G668" s="90"/>
      <c r="H668" s="90"/>
      <c r="I668" s="93"/>
      <c r="J668" s="90"/>
      <c r="K668" s="90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spans="1:26" ht="15.75" customHeight="1" x14ac:dyDescent="0.3">
      <c r="A669" s="64"/>
      <c r="B669" s="64"/>
      <c r="C669" s="64"/>
      <c r="D669" s="90"/>
      <c r="E669" s="91"/>
      <c r="F669" s="91"/>
      <c r="G669" s="90"/>
      <c r="H669" s="90"/>
      <c r="I669" s="93"/>
      <c r="J669" s="90"/>
      <c r="K669" s="90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spans="1:26" ht="15.75" customHeight="1" x14ac:dyDescent="0.3">
      <c r="A670" s="64"/>
      <c r="B670" s="64"/>
      <c r="C670" s="64"/>
      <c r="D670" s="90"/>
      <c r="E670" s="91"/>
      <c r="F670" s="91"/>
      <c r="G670" s="90"/>
      <c r="H670" s="90"/>
      <c r="I670" s="93"/>
      <c r="J670" s="90"/>
      <c r="K670" s="90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spans="1:26" ht="15.75" customHeight="1" x14ac:dyDescent="0.3">
      <c r="A671" s="64"/>
      <c r="B671" s="64"/>
      <c r="C671" s="64"/>
      <c r="D671" s="90"/>
      <c r="E671" s="91"/>
      <c r="F671" s="91"/>
      <c r="G671" s="90"/>
      <c r="H671" s="90"/>
      <c r="I671" s="93"/>
      <c r="J671" s="90"/>
      <c r="K671" s="90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spans="1:26" ht="15.75" customHeight="1" x14ac:dyDescent="0.3">
      <c r="A672" s="64"/>
      <c r="B672" s="64"/>
      <c r="C672" s="64"/>
      <c r="D672" s="90"/>
      <c r="E672" s="91"/>
      <c r="F672" s="91"/>
      <c r="G672" s="90"/>
      <c r="H672" s="90"/>
      <c r="I672" s="93"/>
      <c r="J672" s="90"/>
      <c r="K672" s="90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spans="1:26" ht="15.75" customHeight="1" x14ac:dyDescent="0.3">
      <c r="A673" s="64"/>
      <c r="B673" s="64"/>
      <c r="C673" s="64"/>
      <c r="D673" s="90"/>
      <c r="E673" s="91"/>
      <c r="F673" s="91"/>
      <c r="G673" s="90"/>
      <c r="H673" s="90"/>
      <c r="I673" s="93"/>
      <c r="J673" s="90"/>
      <c r="K673" s="90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spans="1:26" ht="15.75" customHeight="1" x14ac:dyDescent="0.3">
      <c r="A674" s="64"/>
      <c r="B674" s="64"/>
      <c r="C674" s="64"/>
      <c r="D674" s="90"/>
      <c r="E674" s="91"/>
      <c r="F674" s="91"/>
      <c r="G674" s="90"/>
      <c r="H674" s="90"/>
      <c r="I674" s="93"/>
      <c r="J674" s="90"/>
      <c r="K674" s="90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spans="1:26" ht="15.75" customHeight="1" x14ac:dyDescent="0.3">
      <c r="A675" s="64"/>
      <c r="B675" s="64"/>
      <c r="C675" s="64"/>
      <c r="D675" s="90"/>
      <c r="E675" s="91"/>
      <c r="F675" s="91"/>
      <c r="G675" s="90"/>
      <c r="H675" s="90"/>
      <c r="I675" s="93"/>
      <c r="J675" s="90"/>
      <c r="K675" s="90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spans="1:26" ht="15.75" customHeight="1" x14ac:dyDescent="0.3">
      <c r="A676" s="64"/>
      <c r="B676" s="64"/>
      <c r="C676" s="64"/>
      <c r="D676" s="90"/>
      <c r="E676" s="91"/>
      <c r="F676" s="91"/>
      <c r="G676" s="90"/>
      <c r="H676" s="90"/>
      <c r="I676" s="93"/>
      <c r="J676" s="90"/>
      <c r="K676" s="90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spans="1:26" ht="15.75" customHeight="1" x14ac:dyDescent="0.3">
      <c r="A677" s="64"/>
      <c r="B677" s="64"/>
      <c r="C677" s="64"/>
      <c r="D677" s="90"/>
      <c r="E677" s="91"/>
      <c r="F677" s="91"/>
      <c r="G677" s="90"/>
      <c r="H677" s="90"/>
      <c r="I677" s="93"/>
      <c r="J677" s="90"/>
      <c r="K677" s="90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spans="1:26" ht="15.75" customHeight="1" x14ac:dyDescent="0.3">
      <c r="A678" s="64"/>
      <c r="B678" s="64"/>
      <c r="C678" s="64"/>
      <c r="D678" s="90"/>
      <c r="E678" s="91"/>
      <c r="F678" s="91"/>
      <c r="G678" s="90"/>
      <c r="H678" s="90"/>
      <c r="I678" s="93"/>
      <c r="J678" s="90"/>
      <c r="K678" s="90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spans="1:26" ht="15.75" customHeight="1" x14ac:dyDescent="0.3">
      <c r="A679" s="64"/>
      <c r="B679" s="64"/>
      <c r="C679" s="64"/>
      <c r="D679" s="90"/>
      <c r="E679" s="91"/>
      <c r="F679" s="91"/>
      <c r="G679" s="90"/>
      <c r="H679" s="90"/>
      <c r="I679" s="93"/>
      <c r="J679" s="90"/>
      <c r="K679" s="90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spans="1:26" ht="15.75" customHeight="1" x14ac:dyDescent="0.3">
      <c r="A680" s="64"/>
      <c r="B680" s="64"/>
      <c r="C680" s="64"/>
      <c r="D680" s="90"/>
      <c r="E680" s="91"/>
      <c r="F680" s="91"/>
      <c r="G680" s="90"/>
      <c r="H680" s="90"/>
      <c r="I680" s="93"/>
      <c r="J680" s="90"/>
      <c r="K680" s="90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spans="1:26" ht="15.75" customHeight="1" x14ac:dyDescent="0.3">
      <c r="A681" s="64"/>
      <c r="B681" s="64"/>
      <c r="C681" s="64"/>
      <c r="D681" s="90"/>
      <c r="E681" s="91"/>
      <c r="F681" s="91"/>
      <c r="G681" s="90"/>
      <c r="H681" s="90"/>
      <c r="I681" s="93"/>
      <c r="J681" s="90"/>
      <c r="K681" s="90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spans="1:26" ht="15.75" customHeight="1" x14ac:dyDescent="0.3">
      <c r="A682" s="64"/>
      <c r="B682" s="64"/>
      <c r="C682" s="64"/>
      <c r="D682" s="90"/>
      <c r="E682" s="91"/>
      <c r="F682" s="91"/>
      <c r="G682" s="90"/>
      <c r="H682" s="90"/>
      <c r="I682" s="93"/>
      <c r="J682" s="90"/>
      <c r="K682" s="90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spans="1:26" ht="15.75" customHeight="1" x14ac:dyDescent="0.3">
      <c r="A683" s="64"/>
      <c r="B683" s="64"/>
      <c r="C683" s="64"/>
      <c r="D683" s="90"/>
      <c r="E683" s="91"/>
      <c r="F683" s="91"/>
      <c r="G683" s="90"/>
      <c r="H683" s="90"/>
      <c r="I683" s="93"/>
      <c r="J683" s="90"/>
      <c r="K683" s="90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spans="1:26" ht="15.75" customHeight="1" x14ac:dyDescent="0.3">
      <c r="A684" s="64"/>
      <c r="B684" s="64"/>
      <c r="C684" s="64"/>
      <c r="D684" s="90"/>
      <c r="E684" s="91"/>
      <c r="F684" s="91"/>
      <c r="G684" s="90"/>
      <c r="H684" s="90"/>
      <c r="I684" s="93"/>
      <c r="J684" s="90"/>
      <c r="K684" s="90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spans="1:26" ht="15.75" customHeight="1" x14ac:dyDescent="0.3">
      <c r="A685" s="64"/>
      <c r="B685" s="64"/>
      <c r="C685" s="64"/>
      <c r="D685" s="90"/>
      <c r="E685" s="91"/>
      <c r="F685" s="91"/>
      <c r="G685" s="90"/>
      <c r="H685" s="90"/>
      <c r="I685" s="93"/>
      <c r="J685" s="90"/>
      <c r="K685" s="90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spans="1:26" ht="15.75" customHeight="1" x14ac:dyDescent="0.3">
      <c r="A686" s="64"/>
      <c r="B686" s="64"/>
      <c r="C686" s="64"/>
      <c r="D686" s="90"/>
      <c r="E686" s="91"/>
      <c r="F686" s="91"/>
      <c r="G686" s="90"/>
      <c r="H686" s="90"/>
      <c r="I686" s="93"/>
      <c r="J686" s="90"/>
      <c r="K686" s="90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spans="1:26" ht="15.75" customHeight="1" x14ac:dyDescent="0.3">
      <c r="A687" s="64"/>
      <c r="B687" s="64"/>
      <c r="C687" s="64"/>
      <c r="D687" s="90"/>
      <c r="E687" s="91"/>
      <c r="F687" s="91"/>
      <c r="G687" s="90"/>
      <c r="H687" s="90"/>
      <c r="I687" s="93"/>
      <c r="J687" s="90"/>
      <c r="K687" s="90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spans="1:26" ht="15.75" customHeight="1" x14ac:dyDescent="0.3">
      <c r="A688" s="64"/>
      <c r="B688" s="64"/>
      <c r="C688" s="64"/>
      <c r="D688" s="90"/>
      <c r="E688" s="91"/>
      <c r="F688" s="91"/>
      <c r="G688" s="90"/>
      <c r="H688" s="90"/>
      <c r="I688" s="93"/>
      <c r="J688" s="90"/>
      <c r="K688" s="90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spans="1:26" ht="15.75" customHeight="1" x14ac:dyDescent="0.3">
      <c r="A689" s="64"/>
      <c r="B689" s="64"/>
      <c r="C689" s="64"/>
      <c r="D689" s="90"/>
      <c r="E689" s="91"/>
      <c r="F689" s="91"/>
      <c r="G689" s="90"/>
      <c r="H689" s="90"/>
      <c r="I689" s="93"/>
      <c r="J689" s="90"/>
      <c r="K689" s="90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spans="1:26" ht="15.75" customHeight="1" x14ac:dyDescent="0.3">
      <c r="A690" s="64"/>
      <c r="B690" s="64"/>
      <c r="C690" s="64"/>
      <c r="D690" s="90"/>
      <c r="E690" s="91"/>
      <c r="F690" s="91"/>
      <c r="G690" s="90"/>
      <c r="H690" s="90"/>
      <c r="I690" s="93"/>
      <c r="J690" s="90"/>
      <c r="K690" s="90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spans="1:26" ht="15.75" customHeight="1" x14ac:dyDescent="0.3">
      <c r="A691" s="64"/>
      <c r="B691" s="64"/>
      <c r="C691" s="64"/>
      <c r="D691" s="90"/>
      <c r="E691" s="91"/>
      <c r="F691" s="91"/>
      <c r="G691" s="90"/>
      <c r="H691" s="90"/>
      <c r="I691" s="93"/>
      <c r="J691" s="90"/>
      <c r="K691" s="90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spans="1:26" ht="15.75" customHeight="1" x14ac:dyDescent="0.3">
      <c r="A692" s="64"/>
      <c r="B692" s="64"/>
      <c r="C692" s="64"/>
      <c r="D692" s="90"/>
      <c r="E692" s="91"/>
      <c r="F692" s="91"/>
      <c r="G692" s="90"/>
      <c r="H692" s="90"/>
      <c r="I692" s="93"/>
      <c r="J692" s="90"/>
      <c r="K692" s="90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spans="1:26" ht="15.75" customHeight="1" x14ac:dyDescent="0.3">
      <c r="A693" s="64"/>
      <c r="B693" s="64"/>
      <c r="C693" s="64"/>
      <c r="D693" s="90"/>
      <c r="E693" s="91"/>
      <c r="F693" s="91"/>
      <c r="G693" s="90"/>
      <c r="H693" s="90"/>
      <c r="I693" s="93"/>
      <c r="J693" s="90"/>
      <c r="K693" s="90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spans="1:26" ht="15.75" customHeight="1" x14ac:dyDescent="0.3">
      <c r="A694" s="64"/>
      <c r="B694" s="64"/>
      <c r="C694" s="64"/>
      <c r="D694" s="90"/>
      <c r="E694" s="91"/>
      <c r="F694" s="91"/>
      <c r="G694" s="90"/>
      <c r="H694" s="90"/>
      <c r="I694" s="93"/>
      <c r="J694" s="90"/>
      <c r="K694" s="90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spans="1:26" ht="15.75" customHeight="1" x14ac:dyDescent="0.3">
      <c r="A695" s="64"/>
      <c r="B695" s="64"/>
      <c r="C695" s="64"/>
      <c r="D695" s="90"/>
      <c r="E695" s="91"/>
      <c r="F695" s="91"/>
      <c r="G695" s="90"/>
      <c r="H695" s="90"/>
      <c r="I695" s="93"/>
      <c r="J695" s="90"/>
      <c r="K695" s="90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spans="1:26" ht="15.75" customHeight="1" x14ac:dyDescent="0.3">
      <c r="A696" s="64"/>
      <c r="B696" s="64"/>
      <c r="C696" s="64"/>
      <c r="D696" s="90"/>
      <c r="E696" s="91"/>
      <c r="F696" s="91"/>
      <c r="G696" s="90"/>
      <c r="H696" s="90"/>
      <c r="I696" s="93"/>
      <c r="J696" s="90"/>
      <c r="K696" s="90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spans="1:26" ht="15.75" customHeight="1" x14ac:dyDescent="0.3">
      <c r="A697" s="64"/>
      <c r="B697" s="64"/>
      <c r="C697" s="64"/>
      <c r="D697" s="90"/>
      <c r="E697" s="91"/>
      <c r="F697" s="91"/>
      <c r="G697" s="90"/>
      <c r="H697" s="90"/>
      <c r="I697" s="93"/>
      <c r="J697" s="90"/>
      <c r="K697" s="90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spans="1:26" ht="15.75" customHeight="1" x14ac:dyDescent="0.3">
      <c r="A698" s="64"/>
      <c r="B698" s="64"/>
      <c r="C698" s="64"/>
      <c r="D698" s="90"/>
      <c r="E698" s="91"/>
      <c r="F698" s="91"/>
      <c r="G698" s="90"/>
      <c r="H698" s="90"/>
      <c r="I698" s="93"/>
      <c r="J698" s="90"/>
      <c r="K698" s="90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spans="1:26" ht="15.75" customHeight="1" x14ac:dyDescent="0.3">
      <c r="A699" s="64"/>
      <c r="B699" s="64"/>
      <c r="C699" s="64"/>
      <c r="D699" s="90"/>
      <c r="E699" s="91"/>
      <c r="F699" s="91"/>
      <c r="G699" s="90"/>
      <c r="H699" s="90"/>
      <c r="I699" s="93"/>
      <c r="J699" s="90"/>
      <c r="K699" s="90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spans="1:26" ht="15.75" customHeight="1" x14ac:dyDescent="0.3">
      <c r="A700" s="64"/>
      <c r="B700" s="64"/>
      <c r="C700" s="64"/>
      <c r="D700" s="90"/>
      <c r="E700" s="91"/>
      <c r="F700" s="91"/>
      <c r="G700" s="90"/>
      <c r="H700" s="90"/>
      <c r="I700" s="93"/>
      <c r="J700" s="90"/>
      <c r="K700" s="90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spans="1:26" ht="15.75" customHeight="1" x14ac:dyDescent="0.3">
      <c r="A701" s="64"/>
      <c r="B701" s="64"/>
      <c r="C701" s="64"/>
      <c r="D701" s="90"/>
      <c r="E701" s="91"/>
      <c r="F701" s="91"/>
      <c r="G701" s="90"/>
      <c r="H701" s="90"/>
      <c r="I701" s="93"/>
      <c r="J701" s="90"/>
      <c r="K701" s="90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spans="1:26" ht="15.75" customHeight="1" x14ac:dyDescent="0.3">
      <c r="A702" s="64"/>
      <c r="B702" s="64"/>
      <c r="C702" s="64"/>
      <c r="D702" s="90"/>
      <c r="E702" s="91"/>
      <c r="F702" s="91"/>
      <c r="G702" s="90"/>
      <c r="H702" s="90"/>
      <c r="I702" s="93"/>
      <c r="J702" s="90"/>
      <c r="K702" s="90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spans="1:26" ht="15.75" customHeight="1" x14ac:dyDescent="0.3">
      <c r="A703" s="64"/>
      <c r="B703" s="64"/>
      <c r="C703" s="64"/>
      <c r="D703" s="90"/>
      <c r="E703" s="91"/>
      <c r="F703" s="91"/>
      <c r="G703" s="90"/>
      <c r="H703" s="90"/>
      <c r="I703" s="93"/>
      <c r="J703" s="90"/>
      <c r="K703" s="90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spans="1:26" ht="15.75" customHeight="1" x14ac:dyDescent="0.3">
      <c r="A704" s="64"/>
      <c r="B704" s="64"/>
      <c r="C704" s="64"/>
      <c r="D704" s="90"/>
      <c r="E704" s="91"/>
      <c r="F704" s="91"/>
      <c r="G704" s="90"/>
      <c r="H704" s="90"/>
      <c r="I704" s="93"/>
      <c r="J704" s="90"/>
      <c r="K704" s="90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spans="1:26" ht="15.75" customHeight="1" x14ac:dyDescent="0.3">
      <c r="A705" s="64"/>
      <c r="B705" s="64"/>
      <c r="C705" s="64"/>
      <c r="D705" s="90"/>
      <c r="E705" s="91"/>
      <c r="F705" s="91"/>
      <c r="G705" s="90"/>
      <c r="H705" s="90"/>
      <c r="I705" s="93"/>
      <c r="J705" s="90"/>
      <c r="K705" s="90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spans="1:26" ht="15.75" customHeight="1" x14ac:dyDescent="0.3">
      <c r="A706" s="64"/>
      <c r="B706" s="64"/>
      <c r="C706" s="64"/>
      <c r="D706" s="90"/>
      <c r="E706" s="91"/>
      <c r="F706" s="91"/>
      <c r="G706" s="90"/>
      <c r="H706" s="90"/>
      <c r="I706" s="93"/>
      <c r="J706" s="90"/>
      <c r="K706" s="90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spans="1:26" ht="15.75" customHeight="1" x14ac:dyDescent="0.3">
      <c r="A707" s="64"/>
      <c r="B707" s="64"/>
      <c r="C707" s="64"/>
      <c r="D707" s="90"/>
      <c r="E707" s="91"/>
      <c r="F707" s="91"/>
      <c r="G707" s="90"/>
      <c r="H707" s="90"/>
      <c r="I707" s="93"/>
      <c r="J707" s="90"/>
      <c r="K707" s="90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spans="1:26" ht="15.75" customHeight="1" x14ac:dyDescent="0.3">
      <c r="A708" s="64"/>
      <c r="B708" s="64"/>
      <c r="C708" s="64"/>
      <c r="D708" s="90"/>
      <c r="E708" s="91"/>
      <c r="F708" s="91"/>
      <c r="G708" s="90"/>
      <c r="H708" s="90"/>
      <c r="I708" s="93"/>
      <c r="J708" s="90"/>
      <c r="K708" s="90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spans="1:26" ht="15.75" customHeight="1" x14ac:dyDescent="0.3">
      <c r="A709" s="64"/>
      <c r="B709" s="64"/>
      <c r="C709" s="64"/>
      <c r="D709" s="90"/>
      <c r="E709" s="91"/>
      <c r="F709" s="91"/>
      <c r="G709" s="90"/>
      <c r="H709" s="90"/>
      <c r="I709" s="93"/>
      <c r="J709" s="90"/>
      <c r="K709" s="90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spans="1:26" ht="15.75" customHeight="1" x14ac:dyDescent="0.3">
      <c r="A710" s="64"/>
      <c r="B710" s="64"/>
      <c r="C710" s="64"/>
      <c r="D710" s="90"/>
      <c r="E710" s="91"/>
      <c r="F710" s="91"/>
      <c r="G710" s="90"/>
      <c r="H710" s="90"/>
      <c r="I710" s="93"/>
      <c r="J710" s="90"/>
      <c r="K710" s="90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spans="1:26" ht="15.75" customHeight="1" x14ac:dyDescent="0.3">
      <c r="A711" s="64"/>
      <c r="B711" s="64"/>
      <c r="C711" s="64"/>
      <c r="D711" s="90"/>
      <c r="E711" s="91"/>
      <c r="F711" s="91"/>
      <c r="G711" s="90"/>
      <c r="H711" s="90"/>
      <c r="I711" s="93"/>
      <c r="J711" s="90"/>
      <c r="K711" s="90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spans="1:26" ht="15.75" customHeight="1" x14ac:dyDescent="0.3">
      <c r="A712" s="64"/>
      <c r="B712" s="64"/>
      <c r="C712" s="64"/>
      <c r="D712" s="90"/>
      <c r="E712" s="91"/>
      <c r="F712" s="91"/>
      <c r="G712" s="90"/>
      <c r="H712" s="90"/>
      <c r="I712" s="93"/>
      <c r="J712" s="90"/>
      <c r="K712" s="90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spans="1:26" ht="15.75" customHeight="1" x14ac:dyDescent="0.3">
      <c r="A713" s="64"/>
      <c r="B713" s="64"/>
      <c r="C713" s="64"/>
      <c r="D713" s="90"/>
      <c r="E713" s="91"/>
      <c r="F713" s="91"/>
      <c r="G713" s="90"/>
      <c r="H713" s="90"/>
      <c r="I713" s="93"/>
      <c r="J713" s="90"/>
      <c r="K713" s="90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spans="1:26" ht="15.75" customHeight="1" x14ac:dyDescent="0.3">
      <c r="A714" s="64"/>
      <c r="B714" s="64"/>
      <c r="C714" s="64"/>
      <c r="D714" s="90"/>
      <c r="E714" s="91"/>
      <c r="F714" s="91"/>
      <c r="G714" s="90"/>
      <c r="H714" s="90"/>
      <c r="I714" s="93"/>
      <c r="J714" s="90"/>
      <c r="K714" s="90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spans="1:26" ht="15.75" customHeight="1" x14ac:dyDescent="0.3">
      <c r="A715" s="64"/>
      <c r="B715" s="64"/>
      <c r="C715" s="64"/>
      <c r="D715" s="90"/>
      <c r="E715" s="91"/>
      <c r="F715" s="91"/>
      <c r="G715" s="90"/>
      <c r="H715" s="90"/>
      <c r="I715" s="93"/>
      <c r="J715" s="90"/>
      <c r="K715" s="90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spans="1:26" ht="15.75" customHeight="1" x14ac:dyDescent="0.3">
      <c r="A716" s="64"/>
      <c r="B716" s="64"/>
      <c r="C716" s="64"/>
      <c r="D716" s="90"/>
      <c r="E716" s="91"/>
      <c r="F716" s="91"/>
      <c r="G716" s="90"/>
      <c r="H716" s="90"/>
      <c r="I716" s="93"/>
      <c r="J716" s="90"/>
      <c r="K716" s="90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spans="1:26" ht="15.75" customHeight="1" x14ac:dyDescent="0.3">
      <c r="A717" s="64"/>
      <c r="B717" s="64"/>
      <c r="C717" s="64"/>
      <c r="D717" s="90"/>
      <c r="E717" s="91"/>
      <c r="F717" s="91"/>
      <c r="G717" s="90"/>
      <c r="H717" s="90"/>
      <c r="I717" s="93"/>
      <c r="J717" s="90"/>
      <c r="K717" s="90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spans="1:26" ht="15.75" customHeight="1" x14ac:dyDescent="0.3">
      <c r="A718" s="64"/>
      <c r="B718" s="64"/>
      <c r="C718" s="64"/>
      <c r="D718" s="90"/>
      <c r="E718" s="91"/>
      <c r="F718" s="91"/>
      <c r="G718" s="90"/>
      <c r="H718" s="90"/>
      <c r="I718" s="93"/>
      <c r="J718" s="90"/>
      <c r="K718" s="90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spans="1:26" ht="15.75" customHeight="1" x14ac:dyDescent="0.3">
      <c r="A719" s="64"/>
      <c r="B719" s="64"/>
      <c r="C719" s="64"/>
      <c r="D719" s="90"/>
      <c r="E719" s="91"/>
      <c r="F719" s="91"/>
      <c r="G719" s="90"/>
      <c r="H719" s="90"/>
      <c r="I719" s="93"/>
      <c r="J719" s="90"/>
      <c r="K719" s="90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spans="1:26" ht="15.75" customHeight="1" x14ac:dyDescent="0.3">
      <c r="A720" s="64"/>
      <c r="B720" s="64"/>
      <c r="C720" s="64"/>
      <c r="D720" s="90"/>
      <c r="E720" s="91"/>
      <c r="F720" s="91"/>
      <c r="G720" s="90"/>
      <c r="H720" s="90"/>
      <c r="I720" s="93"/>
      <c r="J720" s="90"/>
      <c r="K720" s="90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spans="1:26" ht="15.75" customHeight="1" x14ac:dyDescent="0.3">
      <c r="A721" s="64"/>
      <c r="B721" s="64"/>
      <c r="C721" s="64"/>
      <c r="D721" s="90"/>
      <c r="E721" s="91"/>
      <c r="F721" s="91"/>
      <c r="G721" s="90"/>
      <c r="H721" s="90"/>
      <c r="I721" s="93"/>
      <c r="J721" s="90"/>
      <c r="K721" s="90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spans="1:26" ht="15.75" customHeight="1" x14ac:dyDescent="0.3">
      <c r="A722" s="64"/>
      <c r="B722" s="64"/>
      <c r="C722" s="64"/>
      <c r="D722" s="90"/>
      <c r="E722" s="91"/>
      <c r="F722" s="91"/>
      <c r="G722" s="90"/>
      <c r="H722" s="90"/>
      <c r="I722" s="93"/>
      <c r="J722" s="90"/>
      <c r="K722" s="90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spans="1:26" ht="15.75" customHeight="1" x14ac:dyDescent="0.3">
      <c r="A723" s="64"/>
      <c r="B723" s="64"/>
      <c r="C723" s="64"/>
      <c r="D723" s="90"/>
      <c r="E723" s="91"/>
      <c r="F723" s="91"/>
      <c r="G723" s="90"/>
      <c r="H723" s="90"/>
      <c r="I723" s="93"/>
      <c r="J723" s="90"/>
      <c r="K723" s="90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spans="1:26" ht="15.75" customHeight="1" x14ac:dyDescent="0.3">
      <c r="A724" s="64"/>
      <c r="B724" s="64"/>
      <c r="C724" s="64"/>
      <c r="D724" s="90"/>
      <c r="E724" s="91"/>
      <c r="F724" s="91"/>
      <c r="G724" s="90"/>
      <c r="H724" s="90"/>
      <c r="I724" s="93"/>
      <c r="J724" s="90"/>
      <c r="K724" s="90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spans="1:26" ht="15.75" customHeight="1" x14ac:dyDescent="0.3">
      <c r="A725" s="64"/>
      <c r="B725" s="64"/>
      <c r="C725" s="64"/>
      <c r="D725" s="90"/>
      <c r="E725" s="91"/>
      <c r="F725" s="91"/>
      <c r="G725" s="90"/>
      <c r="H725" s="90"/>
      <c r="I725" s="93"/>
      <c r="J725" s="90"/>
      <c r="K725" s="90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spans="1:26" ht="15.75" customHeight="1" x14ac:dyDescent="0.3">
      <c r="A726" s="64"/>
      <c r="B726" s="64"/>
      <c r="C726" s="64"/>
      <c r="D726" s="90"/>
      <c r="E726" s="91"/>
      <c r="F726" s="91"/>
      <c r="G726" s="90"/>
      <c r="H726" s="90"/>
      <c r="I726" s="93"/>
      <c r="J726" s="90"/>
      <c r="K726" s="90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spans="1:26" ht="15.75" customHeight="1" x14ac:dyDescent="0.3">
      <c r="A727" s="64"/>
      <c r="B727" s="64"/>
      <c r="C727" s="64"/>
      <c r="D727" s="90"/>
      <c r="E727" s="91"/>
      <c r="F727" s="91"/>
      <c r="G727" s="90"/>
      <c r="H727" s="90"/>
      <c r="I727" s="93"/>
      <c r="J727" s="90"/>
      <c r="K727" s="90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spans="1:26" ht="15.75" customHeight="1" x14ac:dyDescent="0.3">
      <c r="A728" s="64"/>
      <c r="B728" s="64"/>
      <c r="C728" s="64"/>
      <c r="D728" s="90"/>
      <c r="E728" s="91"/>
      <c r="F728" s="91"/>
      <c r="G728" s="90"/>
      <c r="H728" s="90"/>
      <c r="I728" s="93"/>
      <c r="J728" s="90"/>
      <c r="K728" s="90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spans="1:26" ht="15.75" customHeight="1" x14ac:dyDescent="0.3">
      <c r="A729" s="64"/>
      <c r="B729" s="64"/>
      <c r="C729" s="64"/>
      <c r="D729" s="90"/>
      <c r="E729" s="91"/>
      <c r="F729" s="91"/>
      <c r="G729" s="90"/>
      <c r="H729" s="90"/>
      <c r="I729" s="93"/>
      <c r="J729" s="90"/>
      <c r="K729" s="90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spans="1:26" ht="15.75" customHeight="1" x14ac:dyDescent="0.3">
      <c r="A730" s="64"/>
      <c r="B730" s="64"/>
      <c r="C730" s="64"/>
      <c r="D730" s="90"/>
      <c r="E730" s="91"/>
      <c r="F730" s="91"/>
      <c r="G730" s="90"/>
      <c r="H730" s="90"/>
      <c r="I730" s="93"/>
      <c r="J730" s="90"/>
      <c r="K730" s="90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spans="1:26" ht="15.75" customHeight="1" x14ac:dyDescent="0.3">
      <c r="A731" s="64"/>
      <c r="B731" s="64"/>
      <c r="C731" s="64"/>
      <c r="D731" s="90"/>
      <c r="E731" s="91"/>
      <c r="F731" s="91"/>
      <c r="G731" s="90"/>
      <c r="H731" s="90"/>
      <c r="I731" s="93"/>
      <c r="J731" s="90"/>
      <c r="K731" s="90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spans="1:26" ht="15.75" customHeight="1" x14ac:dyDescent="0.3">
      <c r="A732" s="64"/>
      <c r="B732" s="64"/>
      <c r="C732" s="64"/>
      <c r="D732" s="90"/>
      <c r="E732" s="91"/>
      <c r="F732" s="91"/>
      <c r="G732" s="90"/>
      <c r="H732" s="90"/>
      <c r="I732" s="93"/>
      <c r="J732" s="90"/>
      <c r="K732" s="90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spans="1:26" ht="15.75" customHeight="1" x14ac:dyDescent="0.3">
      <c r="A733" s="64"/>
      <c r="B733" s="64"/>
      <c r="C733" s="64"/>
      <c r="D733" s="90"/>
      <c r="E733" s="91"/>
      <c r="F733" s="91"/>
      <c r="G733" s="90"/>
      <c r="H733" s="90"/>
      <c r="I733" s="93"/>
      <c r="J733" s="90"/>
      <c r="K733" s="90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spans="1:26" ht="15.75" customHeight="1" x14ac:dyDescent="0.3">
      <c r="A734" s="64"/>
      <c r="B734" s="64"/>
      <c r="C734" s="64"/>
      <c r="D734" s="90"/>
      <c r="E734" s="91"/>
      <c r="F734" s="91"/>
      <c r="G734" s="90"/>
      <c r="H734" s="90"/>
      <c r="I734" s="93"/>
      <c r="J734" s="90"/>
      <c r="K734" s="90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spans="1:26" ht="15.75" customHeight="1" x14ac:dyDescent="0.3">
      <c r="A735" s="64"/>
      <c r="B735" s="64"/>
      <c r="C735" s="64"/>
      <c r="D735" s="90"/>
      <c r="E735" s="91"/>
      <c r="F735" s="91"/>
      <c r="G735" s="90"/>
      <c r="H735" s="90"/>
      <c r="I735" s="93"/>
      <c r="J735" s="90"/>
      <c r="K735" s="90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spans="1:26" ht="15.75" customHeight="1" x14ac:dyDescent="0.3">
      <c r="A736" s="64"/>
      <c r="B736" s="64"/>
      <c r="C736" s="64"/>
      <c r="D736" s="90"/>
      <c r="E736" s="91"/>
      <c r="F736" s="91"/>
      <c r="G736" s="90"/>
      <c r="H736" s="90"/>
      <c r="I736" s="93"/>
      <c r="J736" s="90"/>
      <c r="K736" s="90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spans="1:26" ht="15.75" customHeight="1" x14ac:dyDescent="0.3">
      <c r="A737" s="64"/>
      <c r="B737" s="64"/>
      <c r="C737" s="64"/>
      <c r="D737" s="90"/>
      <c r="E737" s="91"/>
      <c r="F737" s="91"/>
      <c r="G737" s="90"/>
      <c r="H737" s="90"/>
      <c r="I737" s="93"/>
      <c r="J737" s="90"/>
      <c r="K737" s="90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spans="1:26" ht="15.75" customHeight="1" x14ac:dyDescent="0.3">
      <c r="A738" s="64"/>
      <c r="B738" s="64"/>
      <c r="C738" s="64"/>
      <c r="D738" s="90"/>
      <c r="E738" s="91"/>
      <c r="F738" s="91"/>
      <c r="G738" s="90"/>
      <c r="H738" s="90"/>
      <c r="I738" s="93"/>
      <c r="J738" s="90"/>
      <c r="K738" s="90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spans="1:26" ht="15.75" customHeight="1" x14ac:dyDescent="0.3">
      <c r="A739" s="64"/>
      <c r="B739" s="64"/>
      <c r="C739" s="64"/>
      <c r="D739" s="90"/>
      <c r="E739" s="91"/>
      <c r="F739" s="91"/>
      <c r="G739" s="90"/>
      <c r="H739" s="90"/>
      <c r="I739" s="93"/>
      <c r="J739" s="90"/>
      <c r="K739" s="90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spans="1:26" ht="15.75" customHeight="1" x14ac:dyDescent="0.3">
      <c r="A740" s="64"/>
      <c r="B740" s="64"/>
      <c r="C740" s="64"/>
      <c r="D740" s="90"/>
      <c r="E740" s="91"/>
      <c r="F740" s="91"/>
      <c r="G740" s="90"/>
      <c r="H740" s="90"/>
      <c r="I740" s="93"/>
      <c r="J740" s="90"/>
      <c r="K740" s="90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spans="1:26" ht="15.75" customHeight="1" x14ac:dyDescent="0.3">
      <c r="A741" s="64"/>
      <c r="B741" s="64"/>
      <c r="C741" s="64"/>
      <c r="D741" s="90"/>
      <c r="E741" s="91"/>
      <c r="F741" s="91"/>
      <c r="G741" s="90"/>
      <c r="H741" s="90"/>
      <c r="I741" s="93"/>
      <c r="J741" s="90"/>
      <c r="K741" s="90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spans="1:26" ht="15.75" customHeight="1" x14ac:dyDescent="0.3">
      <c r="A742" s="64"/>
      <c r="B742" s="64"/>
      <c r="C742" s="64"/>
      <c r="D742" s="90"/>
      <c r="E742" s="91"/>
      <c r="F742" s="91"/>
      <c r="G742" s="90"/>
      <c r="H742" s="90"/>
      <c r="I742" s="93"/>
      <c r="J742" s="90"/>
      <c r="K742" s="90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spans="1:26" ht="15.75" customHeight="1" x14ac:dyDescent="0.3">
      <c r="A743" s="64"/>
      <c r="B743" s="64"/>
      <c r="C743" s="64"/>
      <c r="D743" s="90"/>
      <c r="E743" s="91"/>
      <c r="F743" s="91"/>
      <c r="G743" s="90"/>
      <c r="H743" s="90"/>
      <c r="I743" s="93"/>
      <c r="J743" s="90"/>
      <c r="K743" s="90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spans="1:26" ht="15.75" customHeight="1" x14ac:dyDescent="0.3">
      <c r="A744" s="64"/>
      <c r="B744" s="64"/>
      <c r="C744" s="64"/>
      <c r="D744" s="90"/>
      <c r="E744" s="91"/>
      <c r="F744" s="91"/>
      <c r="G744" s="90"/>
      <c r="H744" s="90"/>
      <c r="I744" s="93"/>
      <c r="J744" s="90"/>
      <c r="K744" s="90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spans="1:26" ht="15.75" customHeight="1" x14ac:dyDescent="0.3">
      <c r="A745" s="64"/>
      <c r="B745" s="64"/>
      <c r="C745" s="64"/>
      <c r="D745" s="90"/>
      <c r="E745" s="91"/>
      <c r="F745" s="91"/>
      <c r="G745" s="90"/>
      <c r="H745" s="90"/>
      <c r="I745" s="93"/>
      <c r="J745" s="90"/>
      <c r="K745" s="90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spans="1:26" ht="15.75" customHeight="1" x14ac:dyDescent="0.3">
      <c r="A746" s="64"/>
      <c r="B746" s="64"/>
      <c r="C746" s="64"/>
      <c r="D746" s="90"/>
      <c r="E746" s="91"/>
      <c r="F746" s="91"/>
      <c r="G746" s="90"/>
      <c r="H746" s="90"/>
      <c r="I746" s="93"/>
      <c r="J746" s="90"/>
      <c r="K746" s="90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spans="1:26" ht="15.75" customHeight="1" x14ac:dyDescent="0.3">
      <c r="A747" s="64"/>
      <c r="B747" s="64"/>
      <c r="C747" s="64"/>
      <c r="D747" s="90"/>
      <c r="E747" s="91"/>
      <c r="F747" s="91"/>
      <c r="G747" s="90"/>
      <c r="H747" s="90"/>
      <c r="I747" s="93"/>
      <c r="J747" s="90"/>
      <c r="K747" s="90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spans="1:26" ht="15.75" customHeight="1" x14ac:dyDescent="0.3">
      <c r="A748" s="64"/>
      <c r="B748" s="64"/>
      <c r="C748" s="64"/>
      <c r="D748" s="90"/>
      <c r="E748" s="91"/>
      <c r="F748" s="91"/>
      <c r="G748" s="90"/>
      <c r="H748" s="90"/>
      <c r="I748" s="93"/>
      <c r="J748" s="90"/>
      <c r="K748" s="90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spans="1:26" ht="15.75" customHeight="1" x14ac:dyDescent="0.3">
      <c r="A749" s="64"/>
      <c r="B749" s="64"/>
      <c r="C749" s="64"/>
      <c r="D749" s="90"/>
      <c r="E749" s="91"/>
      <c r="F749" s="91"/>
      <c r="G749" s="90"/>
      <c r="H749" s="90"/>
      <c r="I749" s="93"/>
      <c r="J749" s="90"/>
      <c r="K749" s="90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spans="1:26" ht="15.75" customHeight="1" x14ac:dyDescent="0.3">
      <c r="A750" s="64"/>
      <c r="B750" s="64"/>
      <c r="C750" s="64"/>
      <c r="D750" s="90"/>
      <c r="E750" s="91"/>
      <c r="F750" s="91"/>
      <c r="G750" s="90"/>
      <c r="H750" s="90"/>
      <c r="I750" s="93"/>
      <c r="J750" s="90"/>
      <c r="K750" s="90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spans="1:26" ht="15.75" customHeight="1" x14ac:dyDescent="0.3">
      <c r="A751" s="64"/>
      <c r="B751" s="64"/>
      <c r="C751" s="64"/>
      <c r="D751" s="90"/>
      <c r="E751" s="91"/>
      <c r="F751" s="91"/>
      <c r="G751" s="90"/>
      <c r="H751" s="90"/>
      <c r="I751" s="93"/>
      <c r="J751" s="90"/>
      <c r="K751" s="90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spans="1:26" ht="15.75" customHeight="1" x14ac:dyDescent="0.3">
      <c r="A752" s="64"/>
      <c r="B752" s="64"/>
      <c r="C752" s="64"/>
      <c r="D752" s="90"/>
      <c r="E752" s="91"/>
      <c r="F752" s="91"/>
      <c r="G752" s="90"/>
      <c r="H752" s="90"/>
      <c r="I752" s="93"/>
      <c r="J752" s="90"/>
      <c r="K752" s="90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spans="1:26" ht="15.75" customHeight="1" x14ac:dyDescent="0.3">
      <c r="A753" s="64"/>
      <c r="B753" s="64"/>
      <c r="C753" s="64"/>
      <c r="D753" s="90"/>
      <c r="E753" s="91"/>
      <c r="F753" s="91"/>
      <c r="G753" s="90"/>
      <c r="H753" s="90"/>
      <c r="I753" s="93"/>
      <c r="J753" s="90"/>
      <c r="K753" s="90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spans="1:26" ht="15.75" customHeight="1" x14ac:dyDescent="0.3">
      <c r="A754" s="64"/>
      <c r="B754" s="64"/>
      <c r="C754" s="64"/>
      <c r="D754" s="90"/>
      <c r="E754" s="91"/>
      <c r="F754" s="91"/>
      <c r="G754" s="90"/>
      <c r="H754" s="90"/>
      <c r="I754" s="93"/>
      <c r="J754" s="90"/>
      <c r="K754" s="90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spans="1:26" ht="15.75" customHeight="1" x14ac:dyDescent="0.3">
      <c r="A755" s="64"/>
      <c r="B755" s="64"/>
      <c r="C755" s="64"/>
      <c r="D755" s="90"/>
      <c r="E755" s="91"/>
      <c r="F755" s="91"/>
      <c r="G755" s="90"/>
      <c r="H755" s="90"/>
      <c r="I755" s="93"/>
      <c r="J755" s="90"/>
      <c r="K755" s="90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spans="1:26" ht="15.75" customHeight="1" x14ac:dyDescent="0.3">
      <c r="A756" s="64"/>
      <c r="B756" s="64"/>
      <c r="C756" s="64"/>
      <c r="D756" s="90"/>
      <c r="E756" s="91"/>
      <c r="F756" s="91"/>
      <c r="G756" s="90"/>
      <c r="H756" s="90"/>
      <c r="I756" s="93"/>
      <c r="J756" s="90"/>
      <c r="K756" s="90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spans="1:26" ht="15.75" customHeight="1" x14ac:dyDescent="0.3">
      <c r="A757" s="64"/>
      <c r="B757" s="64"/>
      <c r="C757" s="64"/>
      <c r="D757" s="90"/>
      <c r="E757" s="91"/>
      <c r="F757" s="91"/>
      <c r="G757" s="90"/>
      <c r="H757" s="90"/>
      <c r="I757" s="93"/>
      <c r="J757" s="90"/>
      <c r="K757" s="90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spans="1:26" ht="15.75" customHeight="1" x14ac:dyDescent="0.3">
      <c r="A758" s="64"/>
      <c r="B758" s="64"/>
      <c r="C758" s="64"/>
      <c r="D758" s="90"/>
      <c r="E758" s="91"/>
      <c r="F758" s="91"/>
      <c r="G758" s="90"/>
      <c r="H758" s="90"/>
      <c r="I758" s="93"/>
      <c r="J758" s="90"/>
      <c r="K758" s="90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spans="1:26" ht="15.75" customHeight="1" x14ac:dyDescent="0.3">
      <c r="A759" s="64"/>
      <c r="B759" s="64"/>
      <c r="C759" s="64"/>
      <c r="D759" s="90"/>
      <c r="E759" s="91"/>
      <c r="F759" s="91"/>
      <c r="G759" s="90"/>
      <c r="H759" s="90"/>
      <c r="I759" s="93"/>
      <c r="J759" s="90"/>
      <c r="K759" s="90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spans="1:26" ht="15.75" customHeight="1" x14ac:dyDescent="0.3">
      <c r="A760" s="64"/>
      <c r="B760" s="64"/>
      <c r="C760" s="64"/>
      <c r="D760" s="90"/>
      <c r="E760" s="91"/>
      <c r="F760" s="91"/>
      <c r="G760" s="90"/>
      <c r="H760" s="90"/>
      <c r="I760" s="93"/>
      <c r="J760" s="90"/>
      <c r="K760" s="90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spans="1:26" ht="15.75" customHeight="1" x14ac:dyDescent="0.3">
      <c r="A761" s="64"/>
      <c r="B761" s="64"/>
      <c r="C761" s="64"/>
      <c r="D761" s="90"/>
      <c r="E761" s="91"/>
      <c r="F761" s="91"/>
      <c r="G761" s="90"/>
      <c r="H761" s="90"/>
      <c r="I761" s="93"/>
      <c r="J761" s="90"/>
      <c r="K761" s="90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spans="1:26" ht="15.75" customHeight="1" x14ac:dyDescent="0.3">
      <c r="A762" s="64"/>
      <c r="B762" s="64"/>
      <c r="C762" s="64"/>
      <c r="D762" s="90"/>
      <c r="E762" s="91"/>
      <c r="F762" s="91"/>
      <c r="G762" s="90"/>
      <c r="H762" s="90"/>
      <c r="I762" s="93"/>
      <c r="J762" s="90"/>
      <c r="K762" s="90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spans="1:26" ht="15.75" customHeight="1" x14ac:dyDescent="0.3">
      <c r="A763" s="64"/>
      <c r="B763" s="64"/>
      <c r="C763" s="64"/>
      <c r="D763" s="90"/>
      <c r="E763" s="91"/>
      <c r="F763" s="91"/>
      <c r="G763" s="90"/>
      <c r="H763" s="90"/>
      <c r="I763" s="93"/>
      <c r="J763" s="90"/>
      <c r="K763" s="90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spans="1:26" ht="15.75" customHeight="1" x14ac:dyDescent="0.3">
      <c r="A764" s="64"/>
      <c r="B764" s="64"/>
      <c r="C764" s="64"/>
      <c r="D764" s="90"/>
      <c r="E764" s="91"/>
      <c r="F764" s="91"/>
      <c r="G764" s="90"/>
      <c r="H764" s="90"/>
      <c r="I764" s="93"/>
      <c r="J764" s="90"/>
      <c r="K764" s="90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spans="1:26" ht="15.75" customHeight="1" x14ac:dyDescent="0.3">
      <c r="A765" s="64"/>
      <c r="B765" s="64"/>
      <c r="C765" s="64"/>
      <c r="D765" s="90"/>
      <c r="E765" s="91"/>
      <c r="F765" s="91"/>
      <c r="G765" s="90"/>
      <c r="H765" s="90"/>
      <c r="I765" s="93"/>
      <c r="J765" s="90"/>
      <c r="K765" s="90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spans="1:26" ht="15.75" customHeight="1" x14ac:dyDescent="0.3">
      <c r="A766" s="64"/>
      <c r="B766" s="64"/>
      <c r="C766" s="64"/>
      <c r="D766" s="90"/>
      <c r="E766" s="91"/>
      <c r="F766" s="91"/>
      <c r="G766" s="90"/>
      <c r="H766" s="90"/>
      <c r="I766" s="93"/>
      <c r="J766" s="90"/>
      <c r="K766" s="90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spans="1:26" ht="15.75" customHeight="1" x14ac:dyDescent="0.3">
      <c r="A767" s="64"/>
      <c r="B767" s="64"/>
      <c r="C767" s="64"/>
      <c r="D767" s="90"/>
      <c r="E767" s="91"/>
      <c r="F767" s="91"/>
      <c r="G767" s="90"/>
      <c r="H767" s="90"/>
      <c r="I767" s="93"/>
      <c r="J767" s="90"/>
      <c r="K767" s="90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spans="1:26" ht="15.75" customHeight="1" x14ac:dyDescent="0.3">
      <c r="A768" s="64"/>
      <c r="B768" s="64"/>
      <c r="C768" s="64"/>
      <c r="D768" s="90"/>
      <c r="E768" s="91"/>
      <c r="F768" s="91"/>
      <c r="G768" s="90"/>
      <c r="H768" s="90"/>
      <c r="I768" s="93"/>
      <c r="J768" s="90"/>
      <c r="K768" s="90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spans="1:26" ht="15.75" customHeight="1" x14ac:dyDescent="0.3">
      <c r="A769" s="64"/>
      <c r="B769" s="64"/>
      <c r="C769" s="64"/>
      <c r="D769" s="90"/>
      <c r="E769" s="91"/>
      <c r="F769" s="91"/>
      <c r="G769" s="90"/>
      <c r="H769" s="90"/>
      <c r="I769" s="93"/>
      <c r="J769" s="90"/>
      <c r="K769" s="90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spans="1:26" ht="15.75" customHeight="1" x14ac:dyDescent="0.3">
      <c r="A770" s="64"/>
      <c r="B770" s="64"/>
      <c r="C770" s="64"/>
      <c r="D770" s="90"/>
      <c r="E770" s="91"/>
      <c r="F770" s="91"/>
      <c r="G770" s="90"/>
      <c r="H770" s="90"/>
      <c r="I770" s="93"/>
      <c r="J770" s="90"/>
      <c r="K770" s="90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spans="1:26" ht="15.75" customHeight="1" x14ac:dyDescent="0.3">
      <c r="A771" s="64"/>
      <c r="B771" s="64"/>
      <c r="C771" s="64"/>
      <c r="D771" s="90"/>
      <c r="E771" s="91"/>
      <c r="F771" s="91"/>
      <c r="G771" s="90"/>
      <c r="H771" s="90"/>
      <c r="I771" s="93"/>
      <c r="J771" s="90"/>
      <c r="K771" s="90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spans="1:26" ht="15.75" customHeight="1" x14ac:dyDescent="0.3">
      <c r="A772" s="64"/>
      <c r="B772" s="64"/>
      <c r="C772" s="64"/>
      <c r="D772" s="90"/>
      <c r="E772" s="91"/>
      <c r="F772" s="91"/>
      <c r="G772" s="90"/>
      <c r="H772" s="90"/>
      <c r="I772" s="93"/>
      <c r="J772" s="90"/>
      <c r="K772" s="90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spans="1:26" ht="15.75" customHeight="1" x14ac:dyDescent="0.3">
      <c r="A773" s="64"/>
      <c r="B773" s="64"/>
      <c r="C773" s="64"/>
      <c r="D773" s="90"/>
      <c r="E773" s="91"/>
      <c r="F773" s="91"/>
      <c r="G773" s="90"/>
      <c r="H773" s="90"/>
      <c r="I773" s="93"/>
      <c r="J773" s="90"/>
      <c r="K773" s="90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spans="1:26" ht="15.75" customHeight="1" x14ac:dyDescent="0.3">
      <c r="A774" s="64"/>
      <c r="B774" s="64"/>
      <c r="C774" s="64"/>
      <c r="D774" s="90"/>
      <c r="E774" s="91"/>
      <c r="F774" s="91"/>
      <c r="G774" s="90"/>
      <c r="H774" s="90"/>
      <c r="I774" s="93"/>
      <c r="J774" s="90"/>
      <c r="K774" s="90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spans="1:26" ht="15.75" customHeight="1" x14ac:dyDescent="0.3">
      <c r="A775" s="64"/>
      <c r="B775" s="64"/>
      <c r="C775" s="64"/>
      <c r="D775" s="90"/>
      <c r="E775" s="91"/>
      <c r="F775" s="91"/>
      <c r="G775" s="90"/>
      <c r="H775" s="90"/>
      <c r="I775" s="93"/>
      <c r="J775" s="90"/>
      <c r="K775" s="90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spans="1:26" ht="15.75" customHeight="1" x14ac:dyDescent="0.3">
      <c r="A776" s="64"/>
      <c r="B776" s="64"/>
      <c r="C776" s="64"/>
      <c r="D776" s="90"/>
      <c r="E776" s="91"/>
      <c r="F776" s="91"/>
      <c r="G776" s="90"/>
      <c r="H776" s="90"/>
      <c r="I776" s="93"/>
      <c r="J776" s="90"/>
      <c r="K776" s="90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spans="1:26" ht="15.75" customHeight="1" x14ac:dyDescent="0.3">
      <c r="A777" s="64"/>
      <c r="B777" s="64"/>
      <c r="C777" s="64"/>
      <c r="D777" s="90"/>
      <c r="E777" s="91"/>
      <c r="F777" s="91"/>
      <c r="G777" s="90"/>
      <c r="H777" s="90"/>
      <c r="I777" s="93"/>
      <c r="J777" s="90"/>
      <c r="K777" s="90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spans="1:26" ht="15.75" customHeight="1" x14ac:dyDescent="0.3">
      <c r="A778" s="64"/>
      <c r="B778" s="64"/>
      <c r="C778" s="64"/>
      <c r="D778" s="90"/>
      <c r="E778" s="91"/>
      <c r="F778" s="91"/>
      <c r="G778" s="90"/>
      <c r="H778" s="90"/>
      <c r="I778" s="93"/>
      <c r="J778" s="90"/>
      <c r="K778" s="90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spans="1:26" ht="15.75" customHeight="1" x14ac:dyDescent="0.3">
      <c r="A779" s="64"/>
      <c r="B779" s="64"/>
      <c r="C779" s="64"/>
      <c r="D779" s="90"/>
      <c r="E779" s="91"/>
      <c r="F779" s="91"/>
      <c r="G779" s="90"/>
      <c r="H779" s="90"/>
      <c r="I779" s="93"/>
      <c r="J779" s="90"/>
      <c r="K779" s="90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spans="1:26" ht="15.75" customHeight="1" x14ac:dyDescent="0.3">
      <c r="A780" s="64"/>
      <c r="B780" s="64"/>
      <c r="C780" s="64"/>
      <c r="D780" s="90"/>
      <c r="E780" s="91"/>
      <c r="F780" s="91"/>
      <c r="G780" s="90"/>
      <c r="H780" s="90"/>
      <c r="I780" s="93"/>
      <c r="J780" s="90"/>
      <c r="K780" s="90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spans="1:26" ht="15.75" customHeight="1" x14ac:dyDescent="0.3">
      <c r="A781" s="64"/>
      <c r="B781" s="64"/>
      <c r="C781" s="64"/>
      <c r="D781" s="90"/>
      <c r="E781" s="91"/>
      <c r="F781" s="91"/>
      <c r="G781" s="90"/>
      <c r="H781" s="90"/>
      <c r="I781" s="93"/>
      <c r="J781" s="90"/>
      <c r="K781" s="90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spans="1:26" ht="15.75" customHeight="1" x14ac:dyDescent="0.3">
      <c r="A782" s="64"/>
      <c r="B782" s="64"/>
      <c r="C782" s="64"/>
      <c r="D782" s="90"/>
      <c r="E782" s="91"/>
      <c r="F782" s="91"/>
      <c r="G782" s="90"/>
      <c r="H782" s="90"/>
      <c r="I782" s="93"/>
      <c r="J782" s="90"/>
      <c r="K782" s="90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spans="1:26" ht="15.75" customHeight="1" x14ac:dyDescent="0.3">
      <c r="A783" s="64"/>
      <c r="B783" s="64"/>
      <c r="C783" s="64"/>
      <c r="D783" s="90"/>
      <c r="E783" s="91"/>
      <c r="F783" s="91"/>
      <c r="G783" s="90"/>
      <c r="H783" s="90"/>
      <c r="I783" s="93"/>
      <c r="J783" s="90"/>
      <c r="K783" s="90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spans="1:26" ht="15.75" customHeight="1" x14ac:dyDescent="0.3">
      <c r="A784" s="64"/>
      <c r="B784" s="64"/>
      <c r="C784" s="64"/>
      <c r="D784" s="90"/>
      <c r="E784" s="91"/>
      <c r="F784" s="91"/>
      <c r="G784" s="90"/>
      <c r="H784" s="90"/>
      <c r="I784" s="93"/>
      <c r="J784" s="90"/>
      <c r="K784" s="90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spans="1:26" ht="15.75" customHeight="1" x14ac:dyDescent="0.3">
      <c r="A785" s="64"/>
      <c r="B785" s="64"/>
      <c r="C785" s="64"/>
      <c r="D785" s="90"/>
      <c r="E785" s="91"/>
      <c r="F785" s="91"/>
      <c r="G785" s="90"/>
      <c r="H785" s="90"/>
      <c r="I785" s="93"/>
      <c r="J785" s="90"/>
      <c r="K785" s="90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spans="1:26" ht="15.75" customHeight="1" x14ac:dyDescent="0.3">
      <c r="A786" s="64"/>
      <c r="B786" s="64"/>
      <c r="C786" s="64"/>
      <c r="D786" s="90"/>
      <c r="E786" s="91"/>
      <c r="F786" s="91"/>
      <c r="G786" s="90"/>
      <c r="H786" s="90"/>
      <c r="I786" s="93"/>
      <c r="J786" s="90"/>
      <c r="K786" s="90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spans="1:26" ht="15.75" customHeight="1" x14ac:dyDescent="0.3">
      <c r="A787" s="64"/>
      <c r="B787" s="64"/>
      <c r="C787" s="64"/>
      <c r="D787" s="90"/>
      <c r="E787" s="91"/>
      <c r="F787" s="91"/>
      <c r="G787" s="90"/>
      <c r="H787" s="90"/>
      <c r="I787" s="93"/>
      <c r="J787" s="90"/>
      <c r="K787" s="90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spans="1:26" ht="15.75" customHeight="1" x14ac:dyDescent="0.3">
      <c r="A788" s="64"/>
      <c r="B788" s="64"/>
      <c r="C788" s="64"/>
      <c r="D788" s="90"/>
      <c r="E788" s="91"/>
      <c r="F788" s="91"/>
      <c r="G788" s="90"/>
      <c r="H788" s="90"/>
      <c r="I788" s="93"/>
      <c r="J788" s="90"/>
      <c r="K788" s="90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spans="1:26" ht="15.75" customHeight="1" x14ac:dyDescent="0.3">
      <c r="A789" s="64"/>
      <c r="B789" s="64"/>
      <c r="C789" s="64"/>
      <c r="D789" s="90"/>
      <c r="E789" s="91"/>
      <c r="F789" s="91"/>
      <c r="G789" s="90"/>
      <c r="H789" s="90"/>
      <c r="I789" s="93"/>
      <c r="J789" s="90"/>
      <c r="K789" s="90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spans="1:26" ht="15.75" customHeight="1" x14ac:dyDescent="0.3">
      <c r="A790" s="64"/>
      <c r="B790" s="64"/>
      <c r="C790" s="64"/>
      <c r="D790" s="90"/>
      <c r="E790" s="91"/>
      <c r="F790" s="91"/>
      <c r="G790" s="90"/>
      <c r="H790" s="90"/>
      <c r="I790" s="93"/>
      <c r="J790" s="90"/>
      <c r="K790" s="90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spans="1:26" ht="15.75" customHeight="1" x14ac:dyDescent="0.3">
      <c r="A791" s="64"/>
      <c r="B791" s="64"/>
      <c r="C791" s="64"/>
      <c r="D791" s="90"/>
      <c r="E791" s="91"/>
      <c r="F791" s="91"/>
      <c r="G791" s="90"/>
      <c r="H791" s="90"/>
      <c r="I791" s="93"/>
      <c r="J791" s="90"/>
      <c r="K791" s="90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spans="1:26" ht="15.75" customHeight="1" x14ac:dyDescent="0.3">
      <c r="A792" s="64"/>
      <c r="B792" s="64"/>
      <c r="C792" s="64"/>
      <c r="D792" s="90"/>
      <c r="E792" s="91"/>
      <c r="F792" s="91"/>
      <c r="G792" s="90"/>
      <c r="H792" s="90"/>
      <c r="I792" s="93"/>
      <c r="J792" s="90"/>
      <c r="K792" s="90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spans="1:26" ht="15.75" customHeight="1" x14ac:dyDescent="0.3">
      <c r="A793" s="64"/>
      <c r="B793" s="64"/>
      <c r="C793" s="64"/>
      <c r="D793" s="90"/>
      <c r="E793" s="91"/>
      <c r="F793" s="91"/>
      <c r="G793" s="90"/>
      <c r="H793" s="90"/>
      <c r="I793" s="93"/>
      <c r="J793" s="90"/>
      <c r="K793" s="90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spans="1:26" ht="15.75" customHeight="1" x14ac:dyDescent="0.3">
      <c r="A794" s="64"/>
      <c r="B794" s="64"/>
      <c r="C794" s="64"/>
      <c r="D794" s="90"/>
      <c r="E794" s="91"/>
      <c r="F794" s="91"/>
      <c r="G794" s="90"/>
      <c r="H794" s="90"/>
      <c r="I794" s="93"/>
      <c r="J794" s="90"/>
      <c r="K794" s="90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spans="1:26" ht="15.75" customHeight="1" x14ac:dyDescent="0.3">
      <c r="A795" s="64"/>
      <c r="B795" s="64"/>
      <c r="C795" s="64"/>
      <c r="D795" s="90"/>
      <c r="E795" s="91"/>
      <c r="F795" s="91"/>
      <c r="G795" s="90"/>
      <c r="H795" s="90"/>
      <c r="I795" s="93"/>
      <c r="J795" s="90"/>
      <c r="K795" s="90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spans="1:26" ht="15.75" customHeight="1" x14ac:dyDescent="0.3">
      <c r="A796" s="64"/>
      <c r="B796" s="64"/>
      <c r="C796" s="64"/>
      <c r="D796" s="90"/>
      <c r="E796" s="91"/>
      <c r="F796" s="91"/>
      <c r="G796" s="90"/>
      <c r="H796" s="90"/>
      <c r="I796" s="93"/>
      <c r="J796" s="90"/>
      <c r="K796" s="90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spans="1:26" ht="15.75" customHeight="1" x14ac:dyDescent="0.3">
      <c r="A797" s="64"/>
      <c r="B797" s="64"/>
      <c r="C797" s="64"/>
      <c r="D797" s="90"/>
      <c r="E797" s="91"/>
      <c r="F797" s="91"/>
      <c r="G797" s="90"/>
      <c r="H797" s="90"/>
      <c r="I797" s="93"/>
      <c r="J797" s="90"/>
      <c r="K797" s="90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spans="1:26" ht="15.75" customHeight="1" x14ac:dyDescent="0.3">
      <c r="A798" s="64"/>
      <c r="B798" s="64"/>
      <c r="C798" s="64"/>
      <c r="D798" s="90"/>
      <c r="E798" s="91"/>
      <c r="F798" s="91"/>
      <c r="G798" s="90"/>
      <c r="H798" s="90"/>
      <c r="I798" s="93"/>
      <c r="J798" s="90"/>
      <c r="K798" s="90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spans="1:26" ht="15.75" customHeight="1" x14ac:dyDescent="0.3">
      <c r="A799" s="64"/>
      <c r="B799" s="64"/>
      <c r="C799" s="64"/>
      <c r="D799" s="90"/>
      <c r="E799" s="91"/>
      <c r="F799" s="91"/>
      <c r="G799" s="90"/>
      <c r="H799" s="90"/>
      <c r="I799" s="93"/>
      <c r="J799" s="90"/>
      <c r="K799" s="90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spans="1:26" ht="15.75" customHeight="1" x14ac:dyDescent="0.3">
      <c r="A800" s="64"/>
      <c r="B800" s="64"/>
      <c r="C800" s="64"/>
      <c r="D800" s="90"/>
      <c r="E800" s="91"/>
      <c r="F800" s="91"/>
      <c r="G800" s="90"/>
      <c r="H800" s="90"/>
      <c r="I800" s="93"/>
      <c r="J800" s="90"/>
      <c r="K800" s="90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spans="1:26" ht="15.75" customHeight="1" x14ac:dyDescent="0.3">
      <c r="A801" s="64"/>
      <c r="B801" s="64"/>
      <c r="C801" s="64"/>
      <c r="D801" s="90"/>
      <c r="E801" s="91"/>
      <c r="F801" s="91"/>
      <c r="G801" s="90"/>
      <c r="H801" s="90"/>
      <c r="I801" s="93"/>
      <c r="J801" s="90"/>
      <c r="K801" s="90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spans="1:26" ht="15.75" customHeight="1" x14ac:dyDescent="0.3">
      <c r="A802" s="64"/>
      <c r="B802" s="64"/>
      <c r="C802" s="64"/>
      <c r="D802" s="90"/>
      <c r="E802" s="91"/>
      <c r="F802" s="91"/>
      <c r="G802" s="90"/>
      <c r="H802" s="90"/>
      <c r="I802" s="93"/>
      <c r="J802" s="90"/>
      <c r="K802" s="90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spans="1:26" ht="15.75" customHeight="1" x14ac:dyDescent="0.3">
      <c r="A803" s="64"/>
      <c r="B803" s="64"/>
      <c r="C803" s="64"/>
      <c r="D803" s="90"/>
      <c r="E803" s="91"/>
      <c r="F803" s="91"/>
      <c r="G803" s="90"/>
      <c r="H803" s="90"/>
      <c r="I803" s="93"/>
      <c r="J803" s="90"/>
      <c r="K803" s="90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spans="1:26" ht="15.75" customHeight="1" x14ac:dyDescent="0.3">
      <c r="A804" s="64"/>
      <c r="B804" s="64"/>
      <c r="C804" s="64"/>
      <c r="D804" s="90"/>
      <c r="E804" s="91"/>
      <c r="F804" s="91"/>
      <c r="G804" s="90"/>
      <c r="H804" s="90"/>
      <c r="I804" s="93"/>
      <c r="J804" s="90"/>
      <c r="K804" s="90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spans="1:26" ht="15.75" customHeight="1" x14ac:dyDescent="0.3">
      <c r="A805" s="64"/>
      <c r="B805" s="64"/>
      <c r="C805" s="64"/>
      <c r="D805" s="90"/>
      <c r="E805" s="91"/>
      <c r="F805" s="91"/>
      <c r="G805" s="90"/>
      <c r="H805" s="90"/>
      <c r="I805" s="93"/>
      <c r="J805" s="90"/>
      <c r="K805" s="90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spans="1:26" ht="15.75" customHeight="1" x14ac:dyDescent="0.3">
      <c r="A806" s="64"/>
      <c r="B806" s="64"/>
      <c r="C806" s="64"/>
      <c r="D806" s="90"/>
      <c r="E806" s="91"/>
      <c r="F806" s="91"/>
      <c r="G806" s="90"/>
      <c r="H806" s="90"/>
      <c r="I806" s="93"/>
      <c r="J806" s="90"/>
      <c r="K806" s="90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spans="1:26" ht="15.75" customHeight="1" x14ac:dyDescent="0.3">
      <c r="A807" s="64"/>
      <c r="B807" s="64"/>
      <c r="C807" s="64"/>
      <c r="D807" s="90"/>
      <c r="E807" s="91"/>
      <c r="F807" s="91"/>
      <c r="G807" s="90"/>
      <c r="H807" s="90"/>
      <c r="I807" s="93"/>
      <c r="J807" s="90"/>
      <c r="K807" s="90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spans="1:26" ht="15.75" customHeight="1" x14ac:dyDescent="0.3">
      <c r="A808" s="64"/>
      <c r="B808" s="64"/>
      <c r="C808" s="64"/>
      <c r="D808" s="90"/>
      <c r="E808" s="91"/>
      <c r="F808" s="91"/>
      <c r="G808" s="90"/>
      <c r="H808" s="90"/>
      <c r="I808" s="93"/>
      <c r="J808" s="90"/>
      <c r="K808" s="90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spans="1:26" ht="15.75" customHeight="1" x14ac:dyDescent="0.3">
      <c r="A809" s="64"/>
      <c r="B809" s="64"/>
      <c r="C809" s="64"/>
      <c r="D809" s="90"/>
      <c r="E809" s="91"/>
      <c r="F809" s="91"/>
      <c r="G809" s="90"/>
      <c r="H809" s="90"/>
      <c r="I809" s="93"/>
      <c r="J809" s="90"/>
      <c r="K809" s="90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spans="1:26" ht="15.75" customHeight="1" x14ac:dyDescent="0.3">
      <c r="A810" s="64"/>
      <c r="B810" s="64"/>
      <c r="C810" s="64"/>
      <c r="D810" s="90"/>
      <c r="E810" s="91"/>
      <c r="F810" s="91"/>
      <c r="G810" s="90"/>
      <c r="H810" s="90"/>
      <c r="I810" s="93"/>
      <c r="J810" s="90"/>
      <c r="K810" s="90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spans="1:26" ht="15.75" customHeight="1" x14ac:dyDescent="0.3">
      <c r="A811" s="64"/>
      <c r="B811" s="64"/>
      <c r="C811" s="64"/>
      <c r="D811" s="90"/>
      <c r="E811" s="91"/>
      <c r="F811" s="91"/>
      <c r="G811" s="90"/>
      <c r="H811" s="90"/>
      <c r="I811" s="93"/>
      <c r="J811" s="90"/>
      <c r="K811" s="90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spans="1:26" ht="15.75" customHeight="1" x14ac:dyDescent="0.3">
      <c r="A812" s="64"/>
      <c r="B812" s="64"/>
      <c r="C812" s="64"/>
      <c r="D812" s="90"/>
      <c r="E812" s="91"/>
      <c r="F812" s="91"/>
      <c r="G812" s="90"/>
      <c r="H812" s="90"/>
      <c r="I812" s="93"/>
      <c r="J812" s="90"/>
      <c r="K812" s="90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spans="1:26" ht="15.75" customHeight="1" x14ac:dyDescent="0.3">
      <c r="A813" s="64"/>
      <c r="B813" s="64"/>
      <c r="C813" s="64"/>
      <c r="D813" s="90"/>
      <c r="E813" s="91"/>
      <c r="F813" s="91"/>
      <c r="G813" s="90"/>
      <c r="H813" s="90"/>
      <c r="I813" s="93"/>
      <c r="J813" s="90"/>
      <c r="K813" s="90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spans="1:26" ht="15.75" customHeight="1" x14ac:dyDescent="0.3">
      <c r="A814" s="64"/>
      <c r="B814" s="64"/>
      <c r="C814" s="64"/>
      <c r="D814" s="90"/>
      <c r="E814" s="91"/>
      <c r="F814" s="91"/>
      <c r="G814" s="90"/>
      <c r="H814" s="90"/>
      <c r="I814" s="93"/>
      <c r="J814" s="90"/>
      <c r="K814" s="90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spans="1:26" ht="15.75" customHeight="1" x14ac:dyDescent="0.3">
      <c r="A815" s="64"/>
      <c r="B815" s="64"/>
      <c r="C815" s="64"/>
      <c r="D815" s="90"/>
      <c r="E815" s="91"/>
      <c r="F815" s="91"/>
      <c r="G815" s="90"/>
      <c r="H815" s="90"/>
      <c r="I815" s="93"/>
      <c r="J815" s="90"/>
      <c r="K815" s="90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spans="1:26" ht="15.75" customHeight="1" x14ac:dyDescent="0.3">
      <c r="A816" s="64"/>
      <c r="B816" s="64"/>
      <c r="C816" s="64"/>
      <c r="D816" s="90"/>
      <c r="E816" s="91"/>
      <c r="F816" s="91"/>
      <c r="G816" s="90"/>
      <c r="H816" s="90"/>
      <c r="I816" s="93"/>
      <c r="J816" s="90"/>
      <c r="K816" s="90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spans="1:26" ht="15.75" customHeight="1" x14ac:dyDescent="0.3">
      <c r="A817" s="64"/>
      <c r="B817" s="64"/>
      <c r="C817" s="64"/>
      <c r="D817" s="90"/>
      <c r="E817" s="91"/>
      <c r="F817" s="91"/>
      <c r="G817" s="90"/>
      <c r="H817" s="90"/>
      <c r="I817" s="93"/>
      <c r="J817" s="90"/>
      <c r="K817" s="90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spans="1:26" ht="15.75" customHeight="1" x14ac:dyDescent="0.3">
      <c r="A818" s="64"/>
      <c r="B818" s="64"/>
      <c r="C818" s="64"/>
      <c r="D818" s="90"/>
      <c r="E818" s="91"/>
      <c r="F818" s="91"/>
      <c r="G818" s="90"/>
      <c r="H818" s="90"/>
      <c r="I818" s="93"/>
      <c r="J818" s="90"/>
      <c r="K818" s="90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spans="1:26" ht="15.75" customHeight="1" x14ac:dyDescent="0.3">
      <c r="A819" s="64"/>
      <c r="B819" s="64"/>
      <c r="C819" s="64"/>
      <c r="D819" s="90"/>
      <c r="E819" s="91"/>
      <c r="F819" s="91"/>
      <c r="G819" s="90"/>
      <c r="H819" s="90"/>
      <c r="I819" s="93"/>
      <c r="J819" s="90"/>
      <c r="K819" s="90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spans="1:26" ht="15.75" customHeight="1" x14ac:dyDescent="0.3">
      <c r="A820" s="64"/>
      <c r="B820" s="64"/>
      <c r="C820" s="64"/>
      <c r="D820" s="90"/>
      <c r="E820" s="91"/>
      <c r="F820" s="91"/>
      <c r="G820" s="90"/>
      <c r="H820" s="90"/>
      <c r="I820" s="93"/>
      <c r="J820" s="90"/>
      <c r="K820" s="90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spans="1:26" ht="15.75" customHeight="1" x14ac:dyDescent="0.3">
      <c r="A821" s="64"/>
      <c r="B821" s="64"/>
      <c r="C821" s="64"/>
      <c r="D821" s="90"/>
      <c r="E821" s="91"/>
      <c r="F821" s="91"/>
      <c r="G821" s="90"/>
      <c r="H821" s="90"/>
      <c r="I821" s="93"/>
      <c r="J821" s="90"/>
      <c r="K821" s="90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spans="1:26" ht="15.75" customHeight="1" x14ac:dyDescent="0.3">
      <c r="A822" s="64"/>
      <c r="B822" s="64"/>
      <c r="C822" s="64"/>
      <c r="D822" s="90"/>
      <c r="E822" s="91"/>
      <c r="F822" s="91"/>
      <c r="G822" s="90"/>
      <c r="H822" s="90"/>
      <c r="I822" s="93"/>
      <c r="J822" s="90"/>
      <c r="K822" s="90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spans="1:26" ht="15.75" customHeight="1" x14ac:dyDescent="0.3">
      <c r="A823" s="64"/>
      <c r="B823" s="64"/>
      <c r="C823" s="64"/>
      <c r="D823" s="90"/>
      <c r="E823" s="91"/>
      <c r="F823" s="91"/>
      <c r="G823" s="90"/>
      <c r="H823" s="90"/>
      <c r="I823" s="93"/>
      <c r="J823" s="90"/>
      <c r="K823" s="90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spans="1:26" ht="15.75" customHeight="1" x14ac:dyDescent="0.3">
      <c r="A824" s="64"/>
      <c r="B824" s="64"/>
      <c r="C824" s="64"/>
      <c r="D824" s="90"/>
      <c r="E824" s="91"/>
      <c r="F824" s="91"/>
      <c r="G824" s="90"/>
      <c r="H824" s="90"/>
      <c r="I824" s="93"/>
      <c r="J824" s="90"/>
      <c r="K824" s="90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spans="1:26" ht="15.75" customHeight="1" x14ac:dyDescent="0.3">
      <c r="A825" s="64"/>
      <c r="B825" s="64"/>
      <c r="C825" s="64"/>
      <c r="D825" s="90"/>
      <c r="E825" s="91"/>
      <c r="F825" s="91"/>
      <c r="G825" s="90"/>
      <c r="H825" s="90"/>
      <c r="I825" s="93"/>
      <c r="J825" s="90"/>
      <c r="K825" s="90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spans="1:26" ht="15.75" customHeight="1" x14ac:dyDescent="0.3">
      <c r="A826" s="64"/>
      <c r="B826" s="64"/>
      <c r="C826" s="64"/>
      <c r="D826" s="90"/>
      <c r="E826" s="91"/>
      <c r="F826" s="91"/>
      <c r="G826" s="90"/>
      <c r="H826" s="90"/>
      <c r="I826" s="93"/>
      <c r="J826" s="90"/>
      <c r="K826" s="90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spans="1:26" ht="15.75" customHeight="1" x14ac:dyDescent="0.3">
      <c r="A827" s="64"/>
      <c r="B827" s="64"/>
      <c r="C827" s="64"/>
      <c r="D827" s="90"/>
      <c r="E827" s="91"/>
      <c r="F827" s="91"/>
      <c r="G827" s="90"/>
      <c r="H827" s="90"/>
      <c r="I827" s="93"/>
      <c r="J827" s="90"/>
      <c r="K827" s="90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spans="1:26" ht="15.75" customHeight="1" x14ac:dyDescent="0.3">
      <c r="A828" s="64"/>
      <c r="B828" s="64"/>
      <c r="C828" s="64"/>
      <c r="D828" s="90"/>
      <c r="E828" s="91"/>
      <c r="F828" s="91"/>
      <c r="G828" s="90"/>
      <c r="H828" s="90"/>
      <c r="I828" s="93"/>
      <c r="J828" s="90"/>
      <c r="K828" s="90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spans="1:26" ht="15.75" customHeight="1" x14ac:dyDescent="0.3">
      <c r="A829" s="64"/>
      <c r="B829" s="64"/>
      <c r="C829" s="64"/>
      <c r="D829" s="90"/>
      <c r="E829" s="91"/>
      <c r="F829" s="91"/>
      <c r="G829" s="90"/>
      <c r="H829" s="90"/>
      <c r="I829" s="93"/>
      <c r="J829" s="90"/>
      <c r="K829" s="90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spans="1:26" ht="15.75" customHeight="1" x14ac:dyDescent="0.3">
      <c r="A830" s="64"/>
      <c r="B830" s="64"/>
      <c r="C830" s="64"/>
      <c r="D830" s="90"/>
      <c r="E830" s="91"/>
      <c r="F830" s="91"/>
      <c r="G830" s="90"/>
      <c r="H830" s="90"/>
      <c r="I830" s="93"/>
      <c r="J830" s="90"/>
      <c r="K830" s="90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spans="1:26" ht="15.75" customHeight="1" x14ac:dyDescent="0.3">
      <c r="A831" s="64"/>
      <c r="B831" s="64"/>
      <c r="C831" s="64"/>
      <c r="D831" s="90"/>
      <c r="E831" s="91"/>
      <c r="F831" s="91"/>
      <c r="G831" s="90"/>
      <c r="H831" s="90"/>
      <c r="I831" s="93"/>
      <c r="J831" s="90"/>
      <c r="K831" s="90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spans="1:26" ht="15.75" customHeight="1" x14ac:dyDescent="0.3">
      <c r="A832" s="64"/>
      <c r="B832" s="64"/>
      <c r="C832" s="64"/>
      <c r="D832" s="90"/>
      <c r="E832" s="91"/>
      <c r="F832" s="91"/>
      <c r="G832" s="90"/>
      <c r="H832" s="90"/>
      <c r="I832" s="93"/>
      <c r="J832" s="90"/>
      <c r="K832" s="90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spans="1:26" ht="15.75" customHeight="1" x14ac:dyDescent="0.3">
      <c r="A833" s="64"/>
      <c r="B833" s="64"/>
      <c r="C833" s="64"/>
      <c r="D833" s="90"/>
      <c r="E833" s="91"/>
      <c r="F833" s="91"/>
      <c r="G833" s="90"/>
      <c r="H833" s="90"/>
      <c r="I833" s="93"/>
      <c r="J833" s="90"/>
      <c r="K833" s="90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spans="1:26" ht="15.75" customHeight="1" x14ac:dyDescent="0.3">
      <c r="A834" s="64"/>
      <c r="B834" s="64"/>
      <c r="C834" s="64"/>
      <c r="D834" s="90"/>
      <c r="E834" s="91"/>
      <c r="F834" s="91"/>
      <c r="G834" s="90"/>
      <c r="H834" s="90"/>
      <c r="I834" s="93"/>
      <c r="J834" s="90"/>
      <c r="K834" s="90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spans="1:26" ht="15.75" customHeight="1" x14ac:dyDescent="0.3">
      <c r="A835" s="64"/>
      <c r="B835" s="64"/>
      <c r="C835" s="64"/>
      <c r="D835" s="90"/>
      <c r="E835" s="91"/>
      <c r="F835" s="91"/>
      <c r="G835" s="90"/>
      <c r="H835" s="90"/>
      <c r="I835" s="93"/>
      <c r="J835" s="90"/>
      <c r="K835" s="90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spans="1:26" ht="15.75" customHeight="1" x14ac:dyDescent="0.3">
      <c r="A836" s="64"/>
      <c r="B836" s="64"/>
      <c r="C836" s="64"/>
      <c r="D836" s="90"/>
      <c r="E836" s="91"/>
      <c r="F836" s="91"/>
      <c r="G836" s="90"/>
      <c r="H836" s="90"/>
      <c r="I836" s="93"/>
      <c r="J836" s="90"/>
      <c r="K836" s="90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spans="1:26" ht="15.75" customHeight="1" x14ac:dyDescent="0.3">
      <c r="A837" s="64"/>
      <c r="B837" s="64"/>
      <c r="C837" s="64"/>
      <c r="D837" s="90"/>
      <c r="E837" s="91"/>
      <c r="F837" s="91"/>
      <c r="G837" s="90"/>
      <c r="H837" s="90"/>
      <c r="I837" s="93"/>
      <c r="J837" s="90"/>
      <c r="K837" s="90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spans="1:26" ht="15.75" customHeight="1" x14ac:dyDescent="0.3">
      <c r="A838" s="64"/>
      <c r="B838" s="64"/>
      <c r="C838" s="64"/>
      <c r="D838" s="90"/>
      <c r="E838" s="91"/>
      <c r="F838" s="91"/>
      <c r="G838" s="90"/>
      <c r="H838" s="90"/>
      <c r="I838" s="93"/>
      <c r="J838" s="90"/>
      <c r="K838" s="90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spans="1:26" ht="15.75" customHeight="1" x14ac:dyDescent="0.3">
      <c r="A839" s="64"/>
      <c r="B839" s="64"/>
      <c r="C839" s="64"/>
      <c r="D839" s="90"/>
      <c r="E839" s="91"/>
      <c r="F839" s="91"/>
      <c r="G839" s="90"/>
      <c r="H839" s="90"/>
      <c r="I839" s="93"/>
      <c r="J839" s="90"/>
      <c r="K839" s="90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spans="1:26" ht="15.75" customHeight="1" x14ac:dyDescent="0.3">
      <c r="A840" s="64"/>
      <c r="B840" s="64"/>
      <c r="C840" s="64"/>
      <c r="D840" s="90"/>
      <c r="E840" s="91"/>
      <c r="F840" s="91"/>
      <c r="G840" s="90"/>
      <c r="H840" s="90"/>
      <c r="I840" s="93"/>
      <c r="J840" s="90"/>
      <c r="K840" s="90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spans="1:26" ht="15.75" customHeight="1" x14ac:dyDescent="0.3">
      <c r="A841" s="64"/>
      <c r="B841" s="64"/>
      <c r="C841" s="64"/>
      <c r="D841" s="90"/>
      <c r="E841" s="91"/>
      <c r="F841" s="91"/>
      <c r="G841" s="90"/>
      <c r="H841" s="90"/>
      <c r="I841" s="93"/>
      <c r="J841" s="90"/>
      <c r="K841" s="90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spans="1:26" ht="15.75" customHeight="1" x14ac:dyDescent="0.3">
      <c r="A842" s="64"/>
      <c r="B842" s="64"/>
      <c r="C842" s="64"/>
      <c r="D842" s="90"/>
      <c r="E842" s="91"/>
      <c r="F842" s="91"/>
      <c r="G842" s="90"/>
      <c r="H842" s="90"/>
      <c r="I842" s="93"/>
      <c r="J842" s="90"/>
      <c r="K842" s="90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spans="1:26" ht="15.75" customHeight="1" x14ac:dyDescent="0.3">
      <c r="A843" s="64"/>
      <c r="B843" s="64"/>
      <c r="C843" s="64"/>
      <c r="D843" s="90"/>
      <c r="E843" s="91"/>
      <c r="F843" s="91"/>
      <c r="G843" s="90"/>
      <c r="H843" s="90"/>
      <c r="I843" s="93"/>
      <c r="J843" s="90"/>
      <c r="K843" s="90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spans="1:26" ht="15.75" customHeight="1" x14ac:dyDescent="0.3">
      <c r="A844" s="64"/>
      <c r="B844" s="64"/>
      <c r="C844" s="64"/>
      <c r="D844" s="90"/>
      <c r="E844" s="91"/>
      <c r="F844" s="91"/>
      <c r="G844" s="90"/>
      <c r="H844" s="90"/>
      <c r="I844" s="93"/>
      <c r="J844" s="90"/>
      <c r="K844" s="90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spans="1:26" ht="15.75" customHeight="1" x14ac:dyDescent="0.3">
      <c r="A845" s="64"/>
      <c r="B845" s="64"/>
      <c r="C845" s="64"/>
      <c r="D845" s="90"/>
      <c r="E845" s="91"/>
      <c r="F845" s="91"/>
      <c r="G845" s="90"/>
      <c r="H845" s="90"/>
      <c r="I845" s="93"/>
      <c r="J845" s="90"/>
      <c r="K845" s="90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spans="1:26" ht="15.75" customHeight="1" x14ac:dyDescent="0.3">
      <c r="A846" s="64"/>
      <c r="B846" s="64"/>
      <c r="C846" s="64"/>
      <c r="D846" s="90"/>
      <c r="E846" s="91"/>
      <c r="F846" s="91"/>
      <c r="G846" s="90"/>
      <c r="H846" s="90"/>
      <c r="I846" s="93"/>
      <c r="J846" s="90"/>
      <c r="K846" s="90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spans="1:26" ht="15.75" customHeight="1" x14ac:dyDescent="0.3">
      <c r="A847" s="64"/>
      <c r="B847" s="64"/>
      <c r="C847" s="64"/>
      <c r="D847" s="90"/>
      <c r="E847" s="91"/>
      <c r="F847" s="91"/>
      <c r="G847" s="90"/>
      <c r="H847" s="90"/>
      <c r="I847" s="93"/>
      <c r="J847" s="90"/>
      <c r="K847" s="90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spans="1:26" ht="15.75" customHeight="1" x14ac:dyDescent="0.3">
      <c r="A848" s="64"/>
      <c r="B848" s="64"/>
      <c r="C848" s="64"/>
      <c r="D848" s="90"/>
      <c r="E848" s="91"/>
      <c r="F848" s="91"/>
      <c r="G848" s="90"/>
      <c r="H848" s="90"/>
      <c r="I848" s="93"/>
      <c r="J848" s="90"/>
      <c r="K848" s="90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spans="1:26" ht="15.75" customHeight="1" x14ac:dyDescent="0.3">
      <c r="A849" s="64"/>
      <c r="B849" s="64"/>
      <c r="C849" s="64"/>
      <c r="D849" s="90"/>
      <c r="E849" s="91"/>
      <c r="F849" s="91"/>
      <c r="G849" s="90"/>
      <c r="H849" s="90"/>
      <c r="I849" s="93"/>
      <c r="J849" s="90"/>
      <c r="K849" s="90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spans="1:26" ht="15.75" customHeight="1" x14ac:dyDescent="0.3">
      <c r="A850" s="64"/>
      <c r="B850" s="64"/>
      <c r="C850" s="64"/>
      <c r="D850" s="90"/>
      <c r="E850" s="91"/>
      <c r="F850" s="91"/>
      <c r="G850" s="90"/>
      <c r="H850" s="90"/>
      <c r="I850" s="93"/>
      <c r="J850" s="90"/>
      <c r="K850" s="90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spans="1:26" ht="15.75" customHeight="1" x14ac:dyDescent="0.3">
      <c r="A851" s="64"/>
      <c r="B851" s="64"/>
      <c r="C851" s="64"/>
      <c r="D851" s="90"/>
      <c r="E851" s="91"/>
      <c r="F851" s="91"/>
      <c r="G851" s="90"/>
      <c r="H851" s="90"/>
      <c r="I851" s="93"/>
      <c r="J851" s="90"/>
      <c r="K851" s="90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spans="1:26" ht="15.75" customHeight="1" x14ac:dyDescent="0.3">
      <c r="A852" s="64"/>
      <c r="B852" s="64"/>
      <c r="C852" s="64"/>
      <c r="D852" s="90"/>
      <c r="E852" s="91"/>
      <c r="F852" s="91"/>
      <c r="G852" s="90"/>
      <c r="H852" s="90"/>
      <c r="I852" s="93"/>
      <c r="J852" s="90"/>
      <c r="K852" s="90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spans="1:26" ht="15.75" customHeight="1" x14ac:dyDescent="0.3">
      <c r="A853" s="64"/>
      <c r="B853" s="64"/>
      <c r="C853" s="64"/>
      <c r="D853" s="90"/>
      <c r="E853" s="91"/>
      <c r="F853" s="91"/>
      <c r="G853" s="90"/>
      <c r="H853" s="90"/>
      <c r="I853" s="93"/>
      <c r="J853" s="90"/>
      <c r="K853" s="90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spans="1:26" ht="15.75" customHeight="1" x14ac:dyDescent="0.3">
      <c r="A854" s="64"/>
      <c r="B854" s="64"/>
      <c r="C854" s="64"/>
      <c r="D854" s="90"/>
      <c r="E854" s="91"/>
      <c r="F854" s="91"/>
      <c r="G854" s="90"/>
      <c r="H854" s="90"/>
      <c r="I854" s="93"/>
      <c r="J854" s="90"/>
      <c r="K854" s="90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spans="1:26" ht="15.75" customHeight="1" x14ac:dyDescent="0.3">
      <c r="A855" s="64"/>
      <c r="B855" s="64"/>
      <c r="C855" s="64"/>
      <c r="D855" s="90"/>
      <c r="E855" s="91"/>
      <c r="F855" s="91"/>
      <c r="G855" s="90"/>
      <c r="H855" s="90"/>
      <c r="I855" s="93"/>
      <c r="J855" s="90"/>
      <c r="K855" s="90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spans="1:26" ht="15.75" customHeight="1" x14ac:dyDescent="0.3">
      <c r="A856" s="64"/>
      <c r="B856" s="64"/>
      <c r="C856" s="64"/>
      <c r="D856" s="90"/>
      <c r="E856" s="91"/>
      <c r="F856" s="91"/>
      <c r="G856" s="90"/>
      <c r="H856" s="90"/>
      <c r="I856" s="93"/>
      <c r="J856" s="90"/>
      <c r="K856" s="90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spans="1:26" ht="15.75" customHeight="1" x14ac:dyDescent="0.3">
      <c r="A857" s="64"/>
      <c r="B857" s="64"/>
      <c r="C857" s="64"/>
      <c r="D857" s="90"/>
      <c r="E857" s="91"/>
      <c r="F857" s="91"/>
      <c r="G857" s="90"/>
      <c r="H857" s="90"/>
      <c r="I857" s="93"/>
      <c r="J857" s="90"/>
      <c r="K857" s="90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spans="1:26" ht="15.75" customHeight="1" x14ac:dyDescent="0.3">
      <c r="A858" s="64"/>
      <c r="B858" s="64"/>
      <c r="C858" s="64"/>
      <c r="D858" s="90"/>
      <c r="E858" s="91"/>
      <c r="F858" s="91"/>
      <c r="G858" s="90"/>
      <c r="H858" s="90"/>
      <c r="I858" s="93"/>
      <c r="J858" s="90"/>
      <c r="K858" s="90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spans="1:26" ht="15.75" customHeight="1" x14ac:dyDescent="0.3">
      <c r="A859" s="64"/>
      <c r="B859" s="64"/>
      <c r="C859" s="64"/>
      <c r="D859" s="90"/>
      <c r="E859" s="91"/>
      <c r="F859" s="91"/>
      <c r="G859" s="90"/>
      <c r="H859" s="90"/>
      <c r="I859" s="93"/>
      <c r="J859" s="90"/>
      <c r="K859" s="90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spans="1:26" ht="15.75" customHeight="1" x14ac:dyDescent="0.3">
      <c r="A860" s="64"/>
      <c r="B860" s="64"/>
      <c r="C860" s="64"/>
      <c r="D860" s="90"/>
      <c r="E860" s="91"/>
      <c r="F860" s="91"/>
      <c r="G860" s="90"/>
      <c r="H860" s="90"/>
      <c r="I860" s="93"/>
      <c r="J860" s="90"/>
      <c r="K860" s="90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spans="1:26" ht="15.75" customHeight="1" x14ac:dyDescent="0.3">
      <c r="A861" s="64"/>
      <c r="B861" s="64"/>
      <c r="C861" s="64"/>
      <c r="D861" s="90"/>
      <c r="E861" s="91"/>
      <c r="F861" s="91"/>
      <c r="G861" s="90"/>
      <c r="H861" s="90"/>
      <c r="I861" s="93"/>
      <c r="J861" s="90"/>
      <c r="K861" s="90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spans="1:26" ht="15.75" customHeight="1" x14ac:dyDescent="0.3">
      <c r="A862" s="64"/>
      <c r="B862" s="64"/>
      <c r="C862" s="64"/>
      <c r="D862" s="90"/>
      <c r="E862" s="91"/>
      <c r="F862" s="91"/>
      <c r="G862" s="90"/>
      <c r="H862" s="90"/>
      <c r="I862" s="93"/>
      <c r="J862" s="90"/>
      <c r="K862" s="90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spans="1:26" ht="15.75" customHeight="1" x14ac:dyDescent="0.3">
      <c r="A863" s="64"/>
      <c r="B863" s="64"/>
      <c r="C863" s="64"/>
      <c r="D863" s="90"/>
      <c r="E863" s="91"/>
      <c r="F863" s="91"/>
      <c r="G863" s="90"/>
      <c r="H863" s="90"/>
      <c r="I863" s="93"/>
      <c r="J863" s="90"/>
      <c r="K863" s="90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spans="1:26" ht="15.75" customHeight="1" x14ac:dyDescent="0.3">
      <c r="A864" s="64"/>
      <c r="B864" s="64"/>
      <c r="C864" s="64"/>
      <c r="D864" s="90"/>
      <c r="E864" s="91"/>
      <c r="F864" s="91"/>
      <c r="G864" s="90"/>
      <c r="H864" s="90"/>
      <c r="I864" s="93"/>
      <c r="J864" s="90"/>
      <c r="K864" s="90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spans="1:26" ht="15.75" customHeight="1" x14ac:dyDescent="0.3">
      <c r="A865" s="64"/>
      <c r="B865" s="64"/>
      <c r="C865" s="64"/>
      <c r="D865" s="90"/>
      <c r="E865" s="91"/>
      <c r="F865" s="91"/>
      <c r="G865" s="90"/>
      <c r="H865" s="90"/>
      <c r="I865" s="93"/>
      <c r="J865" s="90"/>
      <c r="K865" s="90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spans="1:26" ht="15.75" customHeight="1" x14ac:dyDescent="0.3">
      <c r="A866" s="64"/>
      <c r="B866" s="64"/>
      <c r="C866" s="64"/>
      <c r="D866" s="90"/>
      <c r="E866" s="91"/>
      <c r="F866" s="91"/>
      <c r="G866" s="90"/>
      <c r="H866" s="90"/>
      <c r="I866" s="93"/>
      <c r="J866" s="90"/>
      <c r="K866" s="90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spans="1:26" ht="15.75" customHeight="1" x14ac:dyDescent="0.3">
      <c r="A867" s="64"/>
      <c r="B867" s="64"/>
      <c r="C867" s="64"/>
      <c r="D867" s="90"/>
      <c r="E867" s="91"/>
      <c r="F867" s="91"/>
      <c r="G867" s="90"/>
      <c r="H867" s="90"/>
      <c r="I867" s="93"/>
      <c r="J867" s="90"/>
      <c r="K867" s="90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spans="1:26" ht="15.75" customHeight="1" x14ac:dyDescent="0.3">
      <c r="A868" s="64"/>
      <c r="B868" s="64"/>
      <c r="C868" s="64"/>
      <c r="D868" s="90"/>
      <c r="E868" s="91"/>
      <c r="F868" s="91"/>
      <c r="G868" s="90"/>
      <c r="H868" s="90"/>
      <c r="I868" s="93"/>
      <c r="J868" s="90"/>
      <c r="K868" s="90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spans="1:26" ht="15.75" customHeight="1" x14ac:dyDescent="0.3">
      <c r="A869" s="64"/>
      <c r="B869" s="64"/>
      <c r="C869" s="64"/>
      <c r="D869" s="90"/>
      <c r="E869" s="91"/>
      <c r="F869" s="91"/>
      <c r="G869" s="90"/>
      <c r="H869" s="90"/>
      <c r="I869" s="93"/>
      <c r="J869" s="90"/>
      <c r="K869" s="90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spans="1:26" ht="15.75" customHeight="1" x14ac:dyDescent="0.3">
      <c r="A870" s="64"/>
      <c r="B870" s="64"/>
      <c r="C870" s="64"/>
      <c r="D870" s="90"/>
      <c r="E870" s="91"/>
      <c r="F870" s="91"/>
      <c r="G870" s="90"/>
      <c r="H870" s="90"/>
      <c r="I870" s="93"/>
      <c r="J870" s="90"/>
      <c r="K870" s="90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spans="1:26" ht="15.75" customHeight="1" x14ac:dyDescent="0.3">
      <c r="A871" s="64"/>
      <c r="B871" s="64"/>
      <c r="C871" s="64"/>
      <c r="D871" s="90"/>
      <c r="E871" s="91"/>
      <c r="F871" s="91"/>
      <c r="G871" s="90"/>
      <c r="H871" s="90"/>
      <c r="I871" s="93"/>
      <c r="J871" s="90"/>
      <c r="K871" s="90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spans="1:26" ht="15.75" customHeight="1" x14ac:dyDescent="0.3">
      <c r="A872" s="64"/>
      <c r="B872" s="64"/>
      <c r="C872" s="64"/>
      <c r="D872" s="90"/>
      <c r="E872" s="91"/>
      <c r="F872" s="91"/>
      <c r="G872" s="90"/>
      <c r="H872" s="90"/>
      <c r="I872" s="93"/>
      <c r="J872" s="90"/>
      <c r="K872" s="90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spans="1:26" ht="15.75" customHeight="1" x14ac:dyDescent="0.3">
      <c r="A873" s="64"/>
      <c r="B873" s="64"/>
      <c r="C873" s="64"/>
      <c r="D873" s="90"/>
      <c r="E873" s="91"/>
      <c r="F873" s="91"/>
      <c r="G873" s="90"/>
      <c r="H873" s="90"/>
      <c r="I873" s="93"/>
      <c r="J873" s="90"/>
      <c r="K873" s="90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spans="1:26" ht="15.75" customHeight="1" x14ac:dyDescent="0.3">
      <c r="A874" s="64"/>
      <c r="B874" s="64"/>
      <c r="C874" s="64"/>
      <c r="D874" s="90"/>
      <c r="E874" s="91"/>
      <c r="F874" s="91"/>
      <c r="G874" s="90"/>
      <c r="H874" s="90"/>
      <c r="I874" s="93"/>
      <c r="J874" s="90"/>
      <c r="K874" s="90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spans="1:26" ht="15.75" customHeight="1" x14ac:dyDescent="0.3">
      <c r="A875" s="64"/>
      <c r="B875" s="64"/>
      <c r="C875" s="64"/>
      <c r="D875" s="90"/>
      <c r="E875" s="91"/>
      <c r="F875" s="91"/>
      <c r="G875" s="90"/>
      <c r="H875" s="90"/>
      <c r="I875" s="93"/>
      <c r="J875" s="90"/>
      <c r="K875" s="90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spans="1:26" ht="15.75" customHeight="1" x14ac:dyDescent="0.3">
      <c r="A876" s="64"/>
      <c r="B876" s="64"/>
      <c r="C876" s="64"/>
      <c r="D876" s="90"/>
      <c r="E876" s="91"/>
      <c r="F876" s="91"/>
      <c r="G876" s="90"/>
      <c r="H876" s="90"/>
      <c r="I876" s="93"/>
      <c r="J876" s="90"/>
      <c r="K876" s="90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spans="1:26" ht="15.75" customHeight="1" x14ac:dyDescent="0.3">
      <c r="A877" s="64"/>
      <c r="B877" s="64"/>
      <c r="C877" s="64"/>
      <c r="D877" s="90"/>
      <c r="E877" s="91"/>
      <c r="F877" s="91"/>
      <c r="G877" s="90"/>
      <c r="H877" s="90"/>
      <c r="I877" s="93"/>
      <c r="J877" s="90"/>
      <c r="K877" s="90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spans="1:26" ht="15.75" customHeight="1" x14ac:dyDescent="0.3">
      <c r="A878" s="64"/>
      <c r="B878" s="64"/>
      <c r="C878" s="64"/>
      <c r="D878" s="90"/>
      <c r="E878" s="91"/>
      <c r="F878" s="91"/>
      <c r="G878" s="90"/>
      <c r="H878" s="90"/>
      <c r="I878" s="93"/>
      <c r="J878" s="90"/>
      <c r="K878" s="90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spans="1:26" ht="15.75" customHeight="1" x14ac:dyDescent="0.3">
      <c r="A879" s="64"/>
      <c r="B879" s="64"/>
      <c r="C879" s="64"/>
      <c r="D879" s="90"/>
      <c r="E879" s="91"/>
      <c r="F879" s="91"/>
      <c r="G879" s="90"/>
      <c r="H879" s="90"/>
      <c r="I879" s="93"/>
      <c r="J879" s="90"/>
      <c r="K879" s="90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spans="1:26" ht="15.75" customHeight="1" x14ac:dyDescent="0.3">
      <c r="A880" s="64"/>
      <c r="B880" s="64"/>
      <c r="C880" s="64"/>
      <c r="D880" s="90"/>
      <c r="E880" s="91"/>
      <c r="F880" s="91"/>
      <c r="G880" s="90"/>
      <c r="H880" s="90"/>
      <c r="I880" s="93"/>
      <c r="J880" s="90"/>
      <c r="K880" s="90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spans="1:26" ht="15.75" customHeight="1" x14ac:dyDescent="0.3">
      <c r="A881" s="64"/>
      <c r="B881" s="64"/>
      <c r="C881" s="64"/>
      <c r="D881" s="90"/>
      <c r="E881" s="91"/>
      <c r="F881" s="91"/>
      <c r="G881" s="90"/>
      <c r="H881" s="90"/>
      <c r="I881" s="93"/>
      <c r="J881" s="90"/>
      <c r="K881" s="90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spans="1:26" ht="15.75" customHeight="1" x14ac:dyDescent="0.3">
      <c r="A882" s="64"/>
      <c r="B882" s="64"/>
      <c r="C882" s="64"/>
      <c r="D882" s="90"/>
      <c r="E882" s="91"/>
      <c r="F882" s="91"/>
      <c r="G882" s="90"/>
      <c r="H882" s="90"/>
      <c r="I882" s="93"/>
      <c r="J882" s="90"/>
      <c r="K882" s="90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spans="1:26" ht="15.75" customHeight="1" x14ac:dyDescent="0.3">
      <c r="A883" s="64"/>
      <c r="B883" s="64"/>
      <c r="C883" s="64"/>
      <c r="D883" s="90"/>
      <c r="E883" s="91"/>
      <c r="F883" s="91"/>
      <c r="G883" s="90"/>
      <c r="H883" s="90"/>
      <c r="I883" s="93"/>
      <c r="J883" s="90"/>
      <c r="K883" s="90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spans="1:26" ht="15.75" customHeight="1" x14ac:dyDescent="0.3">
      <c r="A884" s="64"/>
      <c r="B884" s="64"/>
      <c r="C884" s="64"/>
      <c r="D884" s="90"/>
      <c r="E884" s="91"/>
      <c r="F884" s="91"/>
      <c r="G884" s="90"/>
      <c r="H884" s="90"/>
      <c r="I884" s="93"/>
      <c r="J884" s="90"/>
      <c r="K884" s="90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spans="1:26" ht="15.75" customHeight="1" x14ac:dyDescent="0.3">
      <c r="A885" s="64"/>
      <c r="B885" s="64"/>
      <c r="C885" s="64"/>
      <c r="D885" s="90"/>
      <c r="E885" s="91"/>
      <c r="F885" s="91"/>
      <c r="G885" s="90"/>
      <c r="H885" s="90"/>
      <c r="I885" s="93"/>
      <c r="J885" s="90"/>
      <c r="K885" s="90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spans="1:26" ht="15.75" customHeight="1" x14ac:dyDescent="0.3">
      <c r="A886" s="64"/>
      <c r="B886" s="64"/>
      <c r="C886" s="64"/>
      <c r="D886" s="90"/>
      <c r="E886" s="91"/>
      <c r="F886" s="91"/>
      <c r="G886" s="90"/>
      <c r="H886" s="90"/>
      <c r="I886" s="93"/>
      <c r="J886" s="90"/>
      <c r="K886" s="90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spans="1:26" ht="15.75" customHeight="1" x14ac:dyDescent="0.3">
      <c r="A887" s="64"/>
      <c r="B887" s="64"/>
      <c r="C887" s="64"/>
      <c r="D887" s="90"/>
      <c r="E887" s="91"/>
      <c r="F887" s="91"/>
      <c r="G887" s="90"/>
      <c r="H887" s="90"/>
      <c r="I887" s="93"/>
      <c r="J887" s="90"/>
      <c r="K887" s="90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spans="1:26" ht="15.75" customHeight="1" x14ac:dyDescent="0.3">
      <c r="A888" s="64"/>
      <c r="B888" s="64"/>
      <c r="C888" s="64"/>
      <c r="D888" s="90"/>
      <c r="E888" s="91"/>
      <c r="F888" s="91"/>
      <c r="G888" s="90"/>
      <c r="H888" s="90"/>
      <c r="I888" s="93"/>
      <c r="J888" s="90"/>
      <c r="K888" s="90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spans="1:26" ht="15.75" customHeight="1" x14ac:dyDescent="0.3">
      <c r="A889" s="64"/>
      <c r="B889" s="64"/>
      <c r="C889" s="64"/>
      <c r="D889" s="90"/>
      <c r="E889" s="91"/>
      <c r="F889" s="91"/>
      <c r="G889" s="90"/>
      <c r="H889" s="90"/>
      <c r="I889" s="93"/>
      <c r="J889" s="90"/>
      <c r="K889" s="90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spans="1:26" ht="15.75" customHeight="1" x14ac:dyDescent="0.3">
      <c r="A890" s="64"/>
      <c r="B890" s="64"/>
      <c r="C890" s="64"/>
      <c r="D890" s="90"/>
      <c r="E890" s="91"/>
      <c r="F890" s="91"/>
      <c r="G890" s="90"/>
      <c r="H890" s="90"/>
      <c r="I890" s="93"/>
      <c r="J890" s="90"/>
      <c r="K890" s="90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spans="1:26" ht="15.75" customHeight="1" x14ac:dyDescent="0.3">
      <c r="A891" s="64"/>
      <c r="B891" s="64"/>
      <c r="C891" s="64"/>
      <c r="D891" s="90"/>
      <c r="E891" s="91"/>
      <c r="F891" s="91"/>
      <c r="G891" s="90"/>
      <c r="H891" s="90"/>
      <c r="I891" s="93"/>
      <c r="J891" s="90"/>
      <c r="K891" s="90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spans="1:26" ht="15.75" customHeight="1" x14ac:dyDescent="0.3">
      <c r="A892" s="64"/>
      <c r="B892" s="64"/>
      <c r="C892" s="64"/>
      <c r="D892" s="90"/>
      <c r="E892" s="91"/>
      <c r="F892" s="91"/>
      <c r="G892" s="90"/>
      <c r="H892" s="90"/>
      <c r="I892" s="93"/>
      <c r="J892" s="90"/>
      <c r="K892" s="90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spans="1:26" ht="15.75" customHeight="1" x14ac:dyDescent="0.3">
      <c r="A893" s="64"/>
      <c r="B893" s="64"/>
      <c r="C893" s="64"/>
      <c r="D893" s="90"/>
      <c r="E893" s="91"/>
      <c r="F893" s="91"/>
      <c r="G893" s="90"/>
      <c r="H893" s="90"/>
      <c r="I893" s="93"/>
      <c r="J893" s="90"/>
      <c r="K893" s="90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spans="1:26" ht="15.75" customHeight="1" x14ac:dyDescent="0.3">
      <c r="A894" s="64"/>
      <c r="B894" s="64"/>
      <c r="C894" s="64"/>
      <c r="D894" s="90"/>
      <c r="E894" s="91"/>
      <c r="F894" s="91"/>
      <c r="G894" s="90"/>
      <c r="H894" s="90"/>
      <c r="I894" s="93"/>
      <c r="J894" s="90"/>
      <c r="K894" s="90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spans="1:26" ht="15.75" customHeight="1" x14ac:dyDescent="0.3">
      <c r="A895" s="64"/>
      <c r="B895" s="64"/>
      <c r="C895" s="64"/>
      <c r="D895" s="90"/>
      <c r="E895" s="91"/>
      <c r="F895" s="91"/>
      <c r="G895" s="90"/>
      <c r="H895" s="90"/>
      <c r="I895" s="93"/>
      <c r="J895" s="90"/>
      <c r="K895" s="90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spans="1:26" ht="15.75" customHeight="1" x14ac:dyDescent="0.3">
      <c r="A896" s="64"/>
      <c r="B896" s="64"/>
      <c r="C896" s="64"/>
      <c r="D896" s="90"/>
      <c r="E896" s="91"/>
      <c r="F896" s="91"/>
      <c r="G896" s="90"/>
      <c r="H896" s="90"/>
      <c r="I896" s="93"/>
      <c r="J896" s="90"/>
      <c r="K896" s="90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spans="1:26" ht="15.75" customHeight="1" x14ac:dyDescent="0.3">
      <c r="A897" s="64"/>
      <c r="B897" s="64"/>
      <c r="C897" s="64"/>
      <c r="D897" s="90"/>
      <c r="E897" s="91"/>
      <c r="F897" s="91"/>
      <c r="G897" s="90"/>
      <c r="H897" s="90"/>
      <c r="I897" s="93"/>
      <c r="J897" s="90"/>
      <c r="K897" s="90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spans="1:26" ht="15.75" customHeight="1" x14ac:dyDescent="0.3">
      <c r="A898" s="64"/>
      <c r="B898" s="64"/>
      <c r="C898" s="64"/>
      <c r="D898" s="90"/>
      <c r="E898" s="91"/>
      <c r="F898" s="91"/>
      <c r="G898" s="90"/>
      <c r="H898" s="90"/>
      <c r="I898" s="93"/>
      <c r="J898" s="90"/>
      <c r="K898" s="90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spans="1:26" ht="15.75" customHeight="1" x14ac:dyDescent="0.3">
      <c r="A899" s="64"/>
      <c r="B899" s="64"/>
      <c r="C899" s="64"/>
      <c r="D899" s="90"/>
      <c r="E899" s="91"/>
      <c r="F899" s="91"/>
      <c r="G899" s="90"/>
      <c r="H899" s="90"/>
      <c r="I899" s="93"/>
      <c r="J899" s="90"/>
      <c r="K899" s="90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spans="1:26" ht="15.75" customHeight="1" x14ac:dyDescent="0.3">
      <c r="A900" s="64"/>
      <c r="B900" s="64"/>
      <c r="C900" s="64"/>
      <c r="D900" s="90"/>
      <c r="E900" s="91"/>
      <c r="F900" s="91"/>
      <c r="G900" s="90"/>
      <c r="H900" s="90"/>
      <c r="I900" s="93"/>
      <c r="J900" s="90"/>
      <c r="K900" s="90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spans="1:26" ht="15.75" customHeight="1" x14ac:dyDescent="0.3">
      <c r="A901" s="64"/>
      <c r="B901" s="64"/>
      <c r="C901" s="64"/>
      <c r="D901" s="90"/>
      <c r="E901" s="91"/>
      <c r="F901" s="91"/>
      <c r="G901" s="90"/>
      <c r="H901" s="90"/>
      <c r="I901" s="93"/>
      <c r="J901" s="90"/>
      <c r="K901" s="90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spans="1:26" ht="15.75" customHeight="1" x14ac:dyDescent="0.3">
      <c r="A902" s="64"/>
      <c r="B902" s="64"/>
      <c r="C902" s="64"/>
      <c r="D902" s="90"/>
      <c r="E902" s="91"/>
      <c r="F902" s="91"/>
      <c r="G902" s="90"/>
      <c r="H902" s="90"/>
      <c r="I902" s="93"/>
      <c r="J902" s="90"/>
      <c r="K902" s="90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spans="1:26" ht="15.75" customHeight="1" x14ac:dyDescent="0.3">
      <c r="A903" s="64"/>
      <c r="B903" s="64"/>
      <c r="C903" s="64"/>
      <c r="D903" s="90"/>
      <c r="E903" s="91"/>
      <c r="F903" s="91"/>
      <c r="G903" s="90"/>
      <c r="H903" s="90"/>
      <c r="I903" s="93"/>
      <c r="J903" s="90"/>
      <c r="K903" s="90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spans="1:26" ht="15.75" customHeight="1" x14ac:dyDescent="0.3">
      <c r="A904" s="64"/>
      <c r="B904" s="64"/>
      <c r="C904" s="64"/>
      <c r="D904" s="90"/>
      <c r="E904" s="91"/>
      <c r="F904" s="91"/>
      <c r="G904" s="90"/>
      <c r="H904" s="90"/>
      <c r="I904" s="93"/>
      <c r="J904" s="90"/>
      <c r="K904" s="90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spans="1:26" ht="15.75" customHeight="1" x14ac:dyDescent="0.3">
      <c r="A905" s="64"/>
      <c r="B905" s="64"/>
      <c r="C905" s="64"/>
      <c r="D905" s="90"/>
      <c r="E905" s="91"/>
      <c r="F905" s="91"/>
      <c r="G905" s="90"/>
      <c r="H905" s="90"/>
      <c r="I905" s="93"/>
      <c r="J905" s="90"/>
      <c r="K905" s="90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spans="1:26" ht="15.75" customHeight="1" x14ac:dyDescent="0.3">
      <c r="A906" s="64"/>
      <c r="B906" s="64"/>
      <c r="C906" s="64"/>
      <c r="D906" s="90"/>
      <c r="E906" s="91"/>
      <c r="F906" s="91"/>
      <c r="G906" s="90"/>
      <c r="H906" s="90"/>
      <c r="I906" s="93"/>
      <c r="J906" s="90"/>
      <c r="K906" s="90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spans="1:26" ht="15.75" customHeight="1" x14ac:dyDescent="0.3">
      <c r="A907" s="64"/>
      <c r="B907" s="64"/>
      <c r="C907" s="64"/>
      <c r="D907" s="90"/>
      <c r="E907" s="91"/>
      <c r="F907" s="91"/>
      <c r="G907" s="90"/>
      <c r="H907" s="90"/>
      <c r="I907" s="93"/>
      <c r="J907" s="90"/>
      <c r="K907" s="90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spans="1:26" ht="15.75" customHeight="1" x14ac:dyDescent="0.3">
      <c r="A908" s="64"/>
      <c r="B908" s="64"/>
      <c r="C908" s="64"/>
      <c r="D908" s="90"/>
      <c r="E908" s="91"/>
      <c r="F908" s="91"/>
      <c r="G908" s="90"/>
      <c r="H908" s="90"/>
      <c r="I908" s="93"/>
      <c r="J908" s="90"/>
      <c r="K908" s="90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spans="1:26" ht="15.75" customHeight="1" x14ac:dyDescent="0.3">
      <c r="A909" s="64"/>
      <c r="B909" s="64"/>
      <c r="C909" s="64"/>
      <c r="D909" s="90"/>
      <c r="E909" s="91"/>
      <c r="F909" s="91"/>
      <c r="G909" s="90"/>
      <c r="H909" s="90"/>
      <c r="I909" s="93"/>
      <c r="J909" s="90"/>
      <c r="K909" s="90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spans="1:26" ht="15.75" customHeight="1" x14ac:dyDescent="0.3">
      <c r="A910" s="64"/>
      <c r="B910" s="64"/>
      <c r="C910" s="64"/>
      <c r="D910" s="90"/>
      <c r="E910" s="91"/>
      <c r="F910" s="91"/>
      <c r="G910" s="90"/>
      <c r="H910" s="90"/>
      <c r="I910" s="93"/>
      <c r="J910" s="90"/>
      <c r="K910" s="90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spans="1:26" ht="15.75" customHeight="1" x14ac:dyDescent="0.3">
      <c r="A911" s="64"/>
      <c r="B911" s="64"/>
      <c r="C911" s="64"/>
      <c r="D911" s="90"/>
      <c r="E911" s="91"/>
      <c r="F911" s="91"/>
      <c r="G911" s="90"/>
      <c r="H911" s="90"/>
      <c r="I911" s="93"/>
      <c r="J911" s="90"/>
      <c r="K911" s="90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spans="1:26" ht="15.75" customHeight="1" x14ac:dyDescent="0.3">
      <c r="A912" s="64"/>
      <c r="B912" s="64"/>
      <c r="C912" s="64"/>
      <c r="D912" s="90"/>
      <c r="E912" s="91"/>
      <c r="F912" s="91"/>
      <c r="G912" s="90"/>
      <c r="H912" s="90"/>
      <c r="I912" s="93"/>
      <c r="J912" s="90"/>
      <c r="K912" s="90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spans="1:26" ht="15.75" customHeight="1" x14ac:dyDescent="0.3">
      <c r="A913" s="64"/>
      <c r="B913" s="64"/>
      <c r="C913" s="64"/>
      <c r="D913" s="90"/>
      <c r="E913" s="91"/>
      <c r="F913" s="91"/>
      <c r="G913" s="90"/>
      <c r="H913" s="90"/>
      <c r="I913" s="93"/>
      <c r="J913" s="90"/>
      <c r="K913" s="90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spans="1:26" ht="15.75" customHeight="1" x14ac:dyDescent="0.3">
      <c r="A914" s="64"/>
      <c r="B914" s="64"/>
      <c r="C914" s="64"/>
      <c r="D914" s="90"/>
      <c r="E914" s="91"/>
      <c r="F914" s="91"/>
      <c r="G914" s="90"/>
      <c r="H914" s="90"/>
      <c r="I914" s="93"/>
      <c r="J914" s="90"/>
      <c r="K914" s="90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spans="1:26" ht="15.75" customHeight="1" x14ac:dyDescent="0.3">
      <c r="A915" s="64"/>
      <c r="B915" s="64"/>
      <c r="C915" s="64"/>
      <c r="D915" s="90"/>
      <c r="E915" s="91"/>
      <c r="F915" s="91"/>
      <c r="G915" s="90"/>
      <c r="H915" s="90"/>
      <c r="I915" s="93"/>
      <c r="J915" s="90"/>
      <c r="K915" s="90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spans="1:26" ht="15.75" customHeight="1" x14ac:dyDescent="0.3">
      <c r="A916" s="64"/>
      <c r="B916" s="64"/>
      <c r="C916" s="64"/>
      <c r="D916" s="90"/>
      <c r="E916" s="91"/>
      <c r="F916" s="91"/>
      <c r="G916" s="90"/>
      <c r="H916" s="90"/>
      <c r="I916" s="93"/>
      <c r="J916" s="90"/>
      <c r="K916" s="90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spans="1:26" ht="15.75" customHeight="1" x14ac:dyDescent="0.3">
      <c r="A917" s="64"/>
      <c r="B917" s="64"/>
      <c r="C917" s="64"/>
      <c r="D917" s="90"/>
      <c r="E917" s="91"/>
      <c r="F917" s="91"/>
      <c r="G917" s="90"/>
      <c r="H917" s="90"/>
      <c r="I917" s="93"/>
      <c r="J917" s="90"/>
      <c r="K917" s="90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spans="1:26" ht="15.75" customHeight="1" x14ac:dyDescent="0.3">
      <c r="A918" s="64"/>
      <c r="B918" s="64"/>
      <c r="C918" s="64"/>
      <c r="D918" s="90"/>
      <c r="E918" s="91"/>
      <c r="F918" s="91"/>
      <c r="G918" s="90"/>
      <c r="H918" s="90"/>
      <c r="I918" s="93"/>
      <c r="J918" s="90"/>
      <c r="K918" s="90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spans="1:26" ht="15.75" customHeight="1" x14ac:dyDescent="0.3">
      <c r="A919" s="64"/>
      <c r="B919" s="64"/>
      <c r="C919" s="64"/>
      <c r="D919" s="90"/>
      <c r="E919" s="91"/>
      <c r="F919" s="91"/>
      <c r="G919" s="90"/>
      <c r="H919" s="90"/>
      <c r="I919" s="93"/>
      <c r="J919" s="90"/>
      <c r="K919" s="90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spans="1:26" ht="15.75" customHeight="1" x14ac:dyDescent="0.3">
      <c r="A920" s="64"/>
      <c r="B920" s="64"/>
      <c r="C920" s="64"/>
      <c r="D920" s="90"/>
      <c r="E920" s="91"/>
      <c r="F920" s="91"/>
      <c r="G920" s="90"/>
      <c r="H920" s="90"/>
      <c r="I920" s="93"/>
      <c r="J920" s="90"/>
      <c r="K920" s="90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spans="1:26" ht="15.75" customHeight="1" x14ac:dyDescent="0.3">
      <c r="A921" s="64"/>
      <c r="B921" s="64"/>
      <c r="C921" s="64"/>
      <c r="D921" s="90"/>
      <c r="E921" s="91"/>
      <c r="F921" s="91"/>
      <c r="G921" s="90"/>
      <c r="H921" s="90"/>
      <c r="I921" s="93"/>
      <c r="J921" s="90"/>
      <c r="K921" s="90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spans="1:26" ht="15.75" customHeight="1" x14ac:dyDescent="0.3">
      <c r="A922" s="64"/>
      <c r="B922" s="64"/>
      <c r="C922" s="64"/>
      <c r="D922" s="90"/>
      <c r="E922" s="91"/>
      <c r="F922" s="91"/>
      <c r="G922" s="90"/>
      <c r="H922" s="90"/>
      <c r="I922" s="93"/>
      <c r="J922" s="90"/>
      <c r="K922" s="90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spans="1:26" ht="15.75" customHeight="1" x14ac:dyDescent="0.3">
      <c r="A923" s="64"/>
      <c r="B923" s="64"/>
      <c r="C923" s="64"/>
      <c r="D923" s="90"/>
      <c r="E923" s="91"/>
      <c r="F923" s="91"/>
      <c r="G923" s="90"/>
      <c r="H923" s="90"/>
      <c r="I923" s="93"/>
      <c r="J923" s="90"/>
      <c r="K923" s="90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spans="1:26" ht="15.75" customHeight="1" x14ac:dyDescent="0.3">
      <c r="A924" s="64"/>
      <c r="B924" s="64"/>
      <c r="C924" s="64"/>
      <c r="D924" s="90"/>
      <c r="E924" s="91"/>
      <c r="F924" s="91"/>
      <c r="G924" s="90"/>
      <c r="H924" s="90"/>
      <c r="I924" s="93"/>
      <c r="J924" s="90"/>
      <c r="K924" s="90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spans="1:26" ht="15.75" customHeight="1" x14ac:dyDescent="0.3">
      <c r="A925" s="64"/>
      <c r="B925" s="64"/>
      <c r="C925" s="64"/>
      <c r="D925" s="90"/>
      <c r="E925" s="91"/>
      <c r="F925" s="91"/>
      <c r="G925" s="90"/>
      <c r="H925" s="90"/>
      <c r="I925" s="93"/>
      <c r="J925" s="90"/>
      <c r="K925" s="90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spans="1:26" ht="15.75" customHeight="1" x14ac:dyDescent="0.3">
      <c r="A926" s="64"/>
      <c r="B926" s="64"/>
      <c r="C926" s="64"/>
      <c r="D926" s="90"/>
      <c r="E926" s="91"/>
      <c r="F926" s="91"/>
      <c r="G926" s="90"/>
      <c r="H926" s="90"/>
      <c r="I926" s="93"/>
      <c r="J926" s="90"/>
      <c r="K926" s="90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spans="1:26" ht="15.75" customHeight="1" x14ac:dyDescent="0.3">
      <c r="A927" s="64"/>
      <c r="B927" s="64"/>
      <c r="C927" s="64"/>
      <c r="D927" s="90"/>
      <c r="E927" s="91"/>
      <c r="F927" s="91"/>
      <c r="G927" s="90"/>
      <c r="H927" s="90"/>
      <c r="I927" s="93"/>
      <c r="J927" s="90"/>
      <c r="K927" s="90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spans="1:26" ht="15.75" customHeight="1" x14ac:dyDescent="0.3">
      <c r="A928" s="64"/>
      <c r="B928" s="64"/>
      <c r="C928" s="64"/>
      <c r="D928" s="90"/>
      <c r="E928" s="91"/>
      <c r="F928" s="91"/>
      <c r="G928" s="90"/>
      <c r="H928" s="90"/>
      <c r="I928" s="93"/>
      <c r="J928" s="90"/>
      <c r="K928" s="90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spans="1:26" ht="15.75" customHeight="1" x14ac:dyDescent="0.3">
      <c r="A929" s="64"/>
      <c r="B929" s="64"/>
      <c r="C929" s="64"/>
      <c r="D929" s="90"/>
      <c r="E929" s="91"/>
      <c r="F929" s="91"/>
      <c r="G929" s="90"/>
      <c r="H929" s="90"/>
      <c r="I929" s="93"/>
      <c r="J929" s="90"/>
      <c r="K929" s="90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spans="1:26" ht="15.75" customHeight="1" x14ac:dyDescent="0.3">
      <c r="A930" s="64"/>
      <c r="B930" s="64"/>
      <c r="C930" s="64"/>
      <c r="D930" s="90"/>
      <c r="E930" s="91"/>
      <c r="F930" s="91"/>
      <c r="G930" s="90"/>
      <c r="H930" s="90"/>
      <c r="I930" s="93"/>
      <c r="J930" s="90"/>
      <c r="K930" s="90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spans="1:26" ht="15.75" customHeight="1" x14ac:dyDescent="0.3">
      <c r="A931" s="64"/>
      <c r="B931" s="64"/>
      <c r="C931" s="64"/>
      <c r="D931" s="90"/>
      <c r="E931" s="91"/>
      <c r="F931" s="91"/>
      <c r="G931" s="90"/>
      <c r="H931" s="90"/>
      <c r="I931" s="93"/>
      <c r="J931" s="90"/>
      <c r="K931" s="90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spans="1:26" ht="15.75" customHeight="1" x14ac:dyDescent="0.3">
      <c r="A932" s="64"/>
      <c r="B932" s="64"/>
      <c r="C932" s="64"/>
      <c r="D932" s="90"/>
      <c r="E932" s="91"/>
      <c r="F932" s="91"/>
      <c r="G932" s="90"/>
      <c r="H932" s="90"/>
      <c r="I932" s="93"/>
      <c r="J932" s="90"/>
      <c r="K932" s="90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spans="1:26" ht="15.75" customHeight="1" x14ac:dyDescent="0.3">
      <c r="A933" s="64"/>
      <c r="B933" s="64"/>
      <c r="C933" s="64"/>
      <c r="D933" s="90"/>
      <c r="E933" s="91"/>
      <c r="F933" s="91"/>
      <c r="G933" s="90"/>
      <c r="H933" s="90"/>
      <c r="I933" s="93"/>
      <c r="J933" s="90"/>
      <c r="K933" s="90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spans="1:26" ht="15.75" customHeight="1" x14ac:dyDescent="0.3">
      <c r="A934" s="64"/>
      <c r="B934" s="64"/>
      <c r="C934" s="64"/>
      <c r="D934" s="90"/>
      <c r="E934" s="91"/>
      <c r="F934" s="91"/>
      <c r="G934" s="90"/>
      <c r="H934" s="90"/>
      <c r="I934" s="93"/>
      <c r="J934" s="90"/>
      <c r="K934" s="90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spans="1:26" ht="15.75" customHeight="1" x14ac:dyDescent="0.3">
      <c r="A935" s="64"/>
      <c r="B935" s="64"/>
      <c r="C935" s="64"/>
      <c r="D935" s="90"/>
      <c r="E935" s="91"/>
      <c r="F935" s="91"/>
      <c r="G935" s="90"/>
      <c r="H935" s="90"/>
      <c r="I935" s="93"/>
      <c r="J935" s="90"/>
      <c r="K935" s="90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spans="1:26" ht="15.75" customHeight="1" x14ac:dyDescent="0.3">
      <c r="A936" s="64"/>
      <c r="B936" s="64"/>
      <c r="C936" s="64"/>
      <c r="D936" s="90"/>
      <c r="E936" s="91"/>
      <c r="F936" s="91"/>
      <c r="G936" s="90"/>
      <c r="H936" s="90"/>
      <c r="I936" s="93"/>
      <c r="J936" s="90"/>
      <c r="K936" s="90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spans="1:26" ht="15.75" customHeight="1" x14ac:dyDescent="0.3">
      <c r="A937" s="64"/>
      <c r="B937" s="64"/>
      <c r="C937" s="64"/>
      <c r="D937" s="90"/>
      <c r="E937" s="91"/>
      <c r="F937" s="91"/>
      <c r="G937" s="90"/>
      <c r="H937" s="90"/>
      <c r="I937" s="93"/>
      <c r="J937" s="90"/>
      <c r="K937" s="90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spans="1:26" ht="15.75" customHeight="1" x14ac:dyDescent="0.3">
      <c r="A938" s="64"/>
      <c r="B938" s="64"/>
      <c r="C938" s="64"/>
      <c r="D938" s="90"/>
      <c r="E938" s="91"/>
      <c r="F938" s="91"/>
      <c r="G938" s="90"/>
      <c r="H938" s="90"/>
      <c r="I938" s="93"/>
      <c r="J938" s="90"/>
      <c r="K938" s="90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spans="1:26" ht="15.75" customHeight="1" x14ac:dyDescent="0.3">
      <c r="A939" s="64"/>
      <c r="B939" s="64"/>
      <c r="C939" s="64"/>
      <c r="D939" s="90"/>
      <c r="E939" s="91"/>
      <c r="F939" s="91"/>
      <c r="G939" s="90"/>
      <c r="H939" s="90"/>
      <c r="I939" s="93"/>
      <c r="J939" s="90"/>
      <c r="K939" s="90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spans="1:26" ht="15.75" customHeight="1" x14ac:dyDescent="0.3">
      <c r="A940" s="64"/>
      <c r="B940" s="64"/>
      <c r="C940" s="64"/>
      <c r="D940" s="90"/>
      <c r="E940" s="91"/>
      <c r="F940" s="91"/>
      <c r="G940" s="90"/>
      <c r="H940" s="90"/>
      <c r="I940" s="93"/>
      <c r="J940" s="90"/>
      <c r="K940" s="90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spans="1:26" ht="15.75" customHeight="1" x14ac:dyDescent="0.3">
      <c r="A941" s="64"/>
      <c r="B941" s="64"/>
      <c r="C941" s="64"/>
      <c r="D941" s="90"/>
      <c r="E941" s="91"/>
      <c r="F941" s="91"/>
      <c r="G941" s="90"/>
      <c r="H941" s="90"/>
      <c r="I941" s="93"/>
      <c r="J941" s="90"/>
      <c r="K941" s="90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spans="1:26" ht="15.75" customHeight="1" x14ac:dyDescent="0.3">
      <c r="A942" s="64"/>
      <c r="B942" s="64"/>
      <c r="C942" s="64"/>
      <c r="D942" s="90"/>
      <c r="E942" s="91"/>
      <c r="F942" s="91"/>
      <c r="G942" s="90"/>
      <c r="H942" s="90"/>
      <c r="I942" s="93"/>
      <c r="J942" s="90"/>
      <c r="K942" s="90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spans="1:26" ht="15.75" customHeight="1" x14ac:dyDescent="0.3">
      <c r="A943" s="64"/>
      <c r="B943" s="64"/>
      <c r="C943" s="64"/>
      <c r="D943" s="90"/>
      <c r="E943" s="91"/>
      <c r="F943" s="91"/>
      <c r="G943" s="90"/>
      <c r="H943" s="90"/>
      <c r="I943" s="93"/>
      <c r="J943" s="90"/>
      <c r="K943" s="90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spans="1:26" ht="15.75" customHeight="1" x14ac:dyDescent="0.3">
      <c r="A944" s="64"/>
      <c r="B944" s="64"/>
      <c r="C944" s="64"/>
      <c r="D944" s="90"/>
      <c r="E944" s="91"/>
      <c r="F944" s="91"/>
      <c r="G944" s="90"/>
      <c r="H944" s="90"/>
      <c r="I944" s="93"/>
      <c r="J944" s="90"/>
      <c r="K944" s="90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spans="1:26" ht="15.75" customHeight="1" x14ac:dyDescent="0.3">
      <c r="A945" s="64"/>
      <c r="B945" s="64"/>
      <c r="C945" s="64"/>
      <c r="D945" s="90"/>
      <c r="E945" s="91"/>
      <c r="F945" s="91"/>
      <c r="G945" s="90"/>
      <c r="H945" s="90"/>
      <c r="I945" s="93"/>
      <c r="J945" s="90"/>
      <c r="K945" s="90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spans="1:26" ht="15.75" customHeight="1" x14ac:dyDescent="0.3">
      <c r="A946" s="64"/>
      <c r="B946" s="64"/>
      <c r="C946" s="64"/>
      <c r="D946" s="90"/>
      <c r="E946" s="91"/>
      <c r="F946" s="91"/>
      <c r="G946" s="90"/>
      <c r="H946" s="90"/>
      <c r="I946" s="93"/>
      <c r="J946" s="90"/>
      <c r="K946" s="90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spans="1:26" ht="15.75" customHeight="1" x14ac:dyDescent="0.3">
      <c r="A947" s="64"/>
      <c r="B947" s="64"/>
      <c r="C947" s="64"/>
      <c r="D947" s="90"/>
      <c r="E947" s="91"/>
      <c r="F947" s="91"/>
      <c r="G947" s="90"/>
      <c r="H947" s="90"/>
      <c r="I947" s="93"/>
      <c r="J947" s="90"/>
      <c r="K947" s="90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spans="1:26" ht="15.75" customHeight="1" x14ac:dyDescent="0.3">
      <c r="A948" s="64"/>
      <c r="B948" s="64"/>
      <c r="C948" s="64"/>
      <c r="D948" s="90"/>
      <c r="E948" s="91"/>
      <c r="F948" s="91"/>
      <c r="G948" s="90"/>
      <c r="H948" s="90"/>
      <c r="I948" s="93"/>
      <c r="J948" s="90"/>
      <c r="K948" s="90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spans="1:26" ht="15.75" customHeight="1" x14ac:dyDescent="0.3">
      <c r="A949" s="64"/>
      <c r="B949" s="64"/>
      <c r="C949" s="64"/>
      <c r="D949" s="90"/>
      <c r="E949" s="91"/>
      <c r="F949" s="91"/>
      <c r="G949" s="90"/>
      <c r="H949" s="90"/>
      <c r="I949" s="93"/>
      <c r="J949" s="90"/>
      <c r="K949" s="90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spans="1:26" ht="15.75" customHeight="1" x14ac:dyDescent="0.3">
      <c r="A950" s="64"/>
      <c r="B950" s="64"/>
      <c r="C950" s="64"/>
      <c r="D950" s="90"/>
      <c r="E950" s="91"/>
      <c r="F950" s="91"/>
      <c r="G950" s="90"/>
      <c r="H950" s="90"/>
      <c r="I950" s="93"/>
      <c r="J950" s="90"/>
      <c r="K950" s="90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spans="1:26" ht="15.75" customHeight="1" x14ac:dyDescent="0.3">
      <c r="A951" s="64"/>
      <c r="B951" s="64"/>
      <c r="C951" s="64"/>
      <c r="D951" s="90"/>
      <c r="E951" s="91"/>
      <c r="F951" s="91"/>
      <c r="G951" s="90"/>
      <c r="H951" s="90"/>
      <c r="I951" s="93"/>
      <c r="J951" s="90"/>
      <c r="K951" s="90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spans="1:26" ht="15.75" customHeight="1" x14ac:dyDescent="0.3">
      <c r="A952" s="64"/>
      <c r="B952" s="64"/>
      <c r="C952" s="64"/>
      <c r="D952" s="90"/>
      <c r="E952" s="91"/>
      <c r="F952" s="91"/>
      <c r="G952" s="90"/>
      <c r="H952" s="90"/>
      <c r="I952" s="93"/>
      <c r="J952" s="90"/>
      <c r="K952" s="90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spans="1:26" ht="15.75" customHeight="1" x14ac:dyDescent="0.3">
      <c r="A953" s="64"/>
      <c r="B953" s="64"/>
      <c r="C953" s="64"/>
      <c r="D953" s="90"/>
      <c r="E953" s="91"/>
      <c r="F953" s="91"/>
      <c r="G953" s="90"/>
      <c r="H953" s="90"/>
      <c r="I953" s="93"/>
      <c r="J953" s="90"/>
      <c r="K953" s="90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spans="1:26" ht="15.75" customHeight="1" x14ac:dyDescent="0.3">
      <c r="A954" s="64"/>
      <c r="B954" s="64"/>
      <c r="C954" s="64"/>
      <c r="D954" s="90"/>
      <c r="E954" s="91"/>
      <c r="F954" s="91"/>
      <c r="G954" s="90"/>
      <c r="H954" s="90"/>
      <c r="I954" s="93"/>
      <c r="J954" s="90"/>
      <c r="K954" s="90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spans="1:26" ht="15.75" customHeight="1" x14ac:dyDescent="0.3">
      <c r="A955" s="64"/>
      <c r="B955" s="64"/>
      <c r="C955" s="64"/>
      <c r="D955" s="90"/>
      <c r="E955" s="91"/>
      <c r="F955" s="91"/>
      <c r="G955" s="90"/>
      <c r="H955" s="90"/>
      <c r="I955" s="93"/>
      <c r="J955" s="90"/>
      <c r="K955" s="90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spans="1:26" ht="15.75" customHeight="1" x14ac:dyDescent="0.3">
      <c r="A956" s="64"/>
      <c r="B956" s="64"/>
      <c r="C956" s="64"/>
      <c r="D956" s="90"/>
      <c r="E956" s="91"/>
      <c r="F956" s="91"/>
      <c r="G956" s="90"/>
      <c r="H956" s="90"/>
      <c r="I956" s="93"/>
      <c r="J956" s="90"/>
      <c r="K956" s="90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spans="1:26" ht="15.75" customHeight="1" x14ac:dyDescent="0.3">
      <c r="A957" s="64"/>
      <c r="B957" s="64"/>
      <c r="C957" s="64"/>
      <c r="D957" s="90"/>
      <c r="E957" s="91"/>
      <c r="F957" s="91"/>
      <c r="G957" s="90"/>
      <c r="H957" s="90"/>
      <c r="I957" s="93"/>
      <c r="J957" s="90"/>
      <c r="K957" s="90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spans="1:26" ht="15.75" customHeight="1" x14ac:dyDescent="0.3">
      <c r="A958" s="64"/>
      <c r="B958" s="64"/>
      <c r="C958" s="64"/>
      <c r="D958" s="90"/>
      <c r="E958" s="91"/>
      <c r="F958" s="91"/>
      <c r="G958" s="90"/>
      <c r="H958" s="90"/>
      <c r="I958" s="93"/>
      <c r="J958" s="90"/>
      <c r="K958" s="90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spans="1:26" ht="15.75" customHeight="1" x14ac:dyDescent="0.3">
      <c r="A959" s="64"/>
      <c r="B959" s="64"/>
      <c r="C959" s="64"/>
      <c r="D959" s="90"/>
      <c r="E959" s="91"/>
      <c r="F959" s="91"/>
      <c r="G959" s="90"/>
      <c r="H959" s="90"/>
      <c r="I959" s="93"/>
      <c r="J959" s="90"/>
      <c r="K959" s="90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spans="1:26" ht="15.75" customHeight="1" x14ac:dyDescent="0.3">
      <c r="A960" s="64"/>
      <c r="B960" s="64"/>
      <c r="C960" s="64"/>
      <c r="D960" s="90"/>
      <c r="E960" s="91"/>
      <c r="F960" s="91"/>
      <c r="G960" s="90"/>
      <c r="H960" s="90"/>
      <c r="I960" s="93"/>
      <c r="J960" s="90"/>
      <c r="K960" s="90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spans="1:26" ht="15.75" customHeight="1" x14ac:dyDescent="0.3">
      <c r="A961" s="64"/>
      <c r="B961" s="64"/>
      <c r="C961" s="64"/>
      <c r="D961" s="90"/>
      <c r="E961" s="91"/>
      <c r="F961" s="91"/>
      <c r="G961" s="90"/>
      <c r="H961" s="90"/>
      <c r="I961" s="93"/>
      <c r="J961" s="90"/>
      <c r="K961" s="90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spans="1:26" ht="15.75" customHeight="1" x14ac:dyDescent="0.3">
      <c r="A962" s="64"/>
      <c r="B962" s="64"/>
      <c r="C962" s="64"/>
      <c r="D962" s="90"/>
      <c r="E962" s="91"/>
      <c r="F962" s="91"/>
      <c r="G962" s="90"/>
      <c r="H962" s="90"/>
      <c r="I962" s="93"/>
      <c r="J962" s="90"/>
      <c r="K962" s="90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spans="1:26" ht="15.75" customHeight="1" x14ac:dyDescent="0.3">
      <c r="A963" s="64"/>
      <c r="B963" s="64"/>
      <c r="C963" s="64"/>
      <c r="D963" s="90"/>
      <c r="E963" s="91"/>
      <c r="F963" s="91"/>
      <c r="G963" s="90"/>
      <c r="H963" s="90"/>
      <c r="I963" s="93"/>
      <c r="J963" s="90"/>
      <c r="K963" s="90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spans="1:26" ht="15.75" customHeight="1" x14ac:dyDescent="0.3">
      <c r="A964" s="64"/>
      <c r="B964" s="64"/>
      <c r="C964" s="64"/>
      <c r="D964" s="90"/>
      <c r="E964" s="91"/>
      <c r="F964" s="91"/>
      <c r="G964" s="90"/>
      <c r="H964" s="90"/>
      <c r="I964" s="93"/>
      <c r="J964" s="90"/>
      <c r="K964" s="90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spans="1:26" ht="15.75" customHeight="1" x14ac:dyDescent="0.3">
      <c r="A965" s="64"/>
      <c r="B965" s="64"/>
      <c r="C965" s="64"/>
      <c r="D965" s="90"/>
      <c r="E965" s="91"/>
      <c r="F965" s="91"/>
      <c r="G965" s="90"/>
      <c r="H965" s="90"/>
      <c r="I965" s="93"/>
      <c r="J965" s="90"/>
      <c r="K965" s="90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spans="1:26" ht="15.75" customHeight="1" x14ac:dyDescent="0.3">
      <c r="A966" s="64"/>
      <c r="B966" s="64"/>
      <c r="C966" s="64"/>
      <c r="D966" s="90"/>
      <c r="E966" s="91"/>
      <c r="F966" s="91"/>
      <c r="G966" s="90"/>
      <c r="H966" s="90"/>
      <c r="I966" s="93"/>
      <c r="J966" s="90"/>
      <c r="K966" s="90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spans="1:26" ht="15.75" customHeight="1" x14ac:dyDescent="0.3">
      <c r="A967" s="64"/>
      <c r="B967" s="64"/>
      <c r="C967" s="64"/>
      <c r="D967" s="90"/>
      <c r="E967" s="91"/>
      <c r="F967" s="91"/>
      <c r="G967" s="90"/>
      <c r="H967" s="90"/>
      <c r="I967" s="93"/>
      <c r="J967" s="90"/>
      <c r="K967" s="90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spans="1:26" ht="15.75" customHeight="1" x14ac:dyDescent="0.3">
      <c r="A968" s="64"/>
      <c r="B968" s="64"/>
      <c r="C968" s="64"/>
      <c r="D968" s="90"/>
      <c r="E968" s="91"/>
      <c r="F968" s="91"/>
      <c r="G968" s="90"/>
      <c r="H968" s="90"/>
      <c r="I968" s="93"/>
      <c r="J968" s="90"/>
      <c r="K968" s="90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spans="1:26" ht="15.75" customHeight="1" x14ac:dyDescent="0.3">
      <c r="A969" s="64"/>
      <c r="B969" s="64"/>
      <c r="C969" s="64"/>
      <c r="D969" s="90"/>
      <c r="E969" s="91"/>
      <c r="F969" s="91"/>
      <c r="G969" s="90"/>
      <c r="H969" s="90"/>
      <c r="I969" s="93"/>
      <c r="J969" s="90"/>
      <c r="K969" s="90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spans="1:26" ht="15.75" customHeight="1" x14ac:dyDescent="0.3">
      <c r="A970" s="64"/>
      <c r="B970" s="64"/>
      <c r="C970" s="64"/>
      <c r="D970" s="90"/>
      <c r="E970" s="91"/>
      <c r="F970" s="91"/>
      <c r="G970" s="90"/>
      <c r="H970" s="90"/>
      <c r="I970" s="93"/>
      <c r="J970" s="90"/>
      <c r="K970" s="90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spans="1:26" ht="15.75" customHeight="1" x14ac:dyDescent="0.3">
      <c r="A971" s="64"/>
      <c r="B971" s="64"/>
      <c r="C971" s="64"/>
      <c r="D971" s="90"/>
      <c r="E971" s="91"/>
      <c r="F971" s="91"/>
      <c r="G971" s="90"/>
      <c r="H971" s="90"/>
      <c r="I971" s="93"/>
      <c r="J971" s="90"/>
      <c r="K971" s="90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spans="1:26" ht="15.75" customHeight="1" x14ac:dyDescent="0.3">
      <c r="A972" s="64"/>
      <c r="B972" s="64"/>
      <c r="C972" s="64"/>
      <c r="D972" s="90"/>
      <c r="E972" s="91"/>
      <c r="F972" s="91"/>
      <c r="G972" s="90"/>
      <c r="H972" s="90"/>
      <c r="I972" s="93"/>
      <c r="J972" s="90"/>
      <c r="K972" s="90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spans="1:26" ht="15.75" customHeight="1" x14ac:dyDescent="0.3">
      <c r="A973" s="64"/>
      <c r="B973" s="64"/>
      <c r="C973" s="64"/>
      <c r="D973" s="90"/>
      <c r="E973" s="91"/>
      <c r="F973" s="91"/>
      <c r="G973" s="90"/>
      <c r="H973" s="90"/>
      <c r="I973" s="93"/>
      <c r="J973" s="90"/>
      <c r="K973" s="90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spans="1:26" ht="15.75" customHeight="1" x14ac:dyDescent="0.3">
      <c r="A974" s="64"/>
      <c r="B974" s="64"/>
      <c r="C974" s="64"/>
      <c r="D974" s="90"/>
      <c r="E974" s="91"/>
      <c r="F974" s="91"/>
      <c r="G974" s="90"/>
      <c r="H974" s="90"/>
      <c r="I974" s="93"/>
      <c r="J974" s="90"/>
      <c r="K974" s="90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spans="1:26" ht="15.75" customHeight="1" x14ac:dyDescent="0.3">
      <c r="A975" s="64"/>
      <c r="B975" s="64"/>
      <c r="C975" s="64"/>
      <c r="D975" s="90"/>
      <c r="E975" s="91"/>
      <c r="F975" s="91"/>
      <c r="G975" s="90"/>
      <c r="H975" s="90"/>
      <c r="I975" s="93"/>
      <c r="J975" s="90"/>
      <c r="K975" s="90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spans="1:26" ht="15.75" customHeight="1" x14ac:dyDescent="0.3">
      <c r="A976" s="64"/>
      <c r="B976" s="64"/>
      <c r="C976" s="64"/>
      <c r="D976" s="90"/>
      <c r="E976" s="91"/>
      <c r="F976" s="91"/>
      <c r="G976" s="90"/>
      <c r="H976" s="90"/>
      <c r="I976" s="93"/>
      <c r="J976" s="90"/>
      <c r="K976" s="90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spans="1:26" ht="15.75" customHeight="1" x14ac:dyDescent="0.3">
      <c r="A977" s="64"/>
      <c r="B977" s="64"/>
      <c r="C977" s="64"/>
      <c r="D977" s="90"/>
      <c r="E977" s="91"/>
      <c r="F977" s="91"/>
      <c r="G977" s="90"/>
      <c r="H977" s="90"/>
      <c r="I977" s="93"/>
      <c r="J977" s="90"/>
      <c r="K977" s="90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spans="1:26" ht="15.75" customHeight="1" x14ac:dyDescent="0.3">
      <c r="A978" s="64"/>
      <c r="B978" s="64"/>
      <c r="C978" s="64"/>
      <c r="D978" s="90"/>
      <c r="E978" s="91"/>
      <c r="F978" s="91"/>
      <c r="G978" s="90"/>
      <c r="H978" s="90"/>
      <c r="I978" s="93"/>
      <c r="J978" s="90"/>
      <c r="K978" s="90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spans="1:26" ht="15.75" customHeight="1" x14ac:dyDescent="0.3">
      <c r="A979" s="64"/>
      <c r="B979" s="64"/>
      <c r="C979" s="64"/>
      <c r="D979" s="90"/>
      <c r="E979" s="91"/>
      <c r="F979" s="91"/>
      <c r="G979" s="90"/>
      <c r="H979" s="90"/>
      <c r="I979" s="93"/>
      <c r="J979" s="90"/>
      <c r="K979" s="90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spans="1:26" ht="15.75" customHeight="1" x14ac:dyDescent="0.3">
      <c r="A980" s="64"/>
      <c r="B980" s="64"/>
      <c r="C980" s="64"/>
      <c r="D980" s="90"/>
      <c r="E980" s="91"/>
      <c r="F980" s="91"/>
      <c r="G980" s="90"/>
      <c r="H980" s="90"/>
      <c r="I980" s="93"/>
      <c r="J980" s="90"/>
      <c r="K980" s="90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spans="1:26" ht="15.75" customHeight="1" x14ac:dyDescent="0.3">
      <c r="A981" s="64"/>
      <c r="B981" s="64"/>
      <c r="C981" s="64"/>
      <c r="D981" s="90"/>
      <c r="E981" s="91"/>
      <c r="F981" s="91"/>
      <c r="G981" s="90"/>
      <c r="H981" s="90"/>
      <c r="I981" s="93"/>
      <c r="J981" s="90"/>
      <c r="K981" s="90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spans="1:26" ht="15.75" customHeight="1" x14ac:dyDescent="0.3">
      <c r="A982" s="64"/>
      <c r="B982" s="64"/>
      <c r="C982" s="64"/>
      <c r="D982" s="90"/>
      <c r="E982" s="91"/>
      <c r="F982" s="91"/>
      <c r="G982" s="90"/>
      <c r="H982" s="90"/>
      <c r="I982" s="93"/>
      <c r="J982" s="90"/>
      <c r="K982" s="90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spans="1:26" ht="15.75" customHeight="1" x14ac:dyDescent="0.3">
      <c r="A983" s="64"/>
      <c r="B983" s="64"/>
      <c r="C983" s="64"/>
      <c r="D983" s="90"/>
      <c r="E983" s="91"/>
      <c r="F983" s="91"/>
      <c r="G983" s="90"/>
      <c r="H983" s="90"/>
      <c r="I983" s="93"/>
      <c r="J983" s="90"/>
      <c r="K983" s="90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spans="1:26" ht="15.75" customHeight="1" x14ac:dyDescent="0.3">
      <c r="A984" s="64"/>
      <c r="B984" s="64"/>
      <c r="C984" s="64"/>
      <c r="D984" s="90"/>
      <c r="E984" s="91"/>
      <c r="F984" s="91"/>
      <c r="G984" s="90"/>
      <c r="H984" s="90"/>
      <c r="I984" s="93"/>
      <c r="J984" s="90"/>
      <c r="K984" s="90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spans="1:26" ht="15.75" customHeight="1" x14ac:dyDescent="0.3">
      <c r="A985" s="64"/>
      <c r="B985" s="64"/>
      <c r="C985" s="64"/>
      <c r="D985" s="90"/>
      <c r="E985" s="91"/>
      <c r="F985" s="91"/>
      <c r="G985" s="90"/>
      <c r="H985" s="90"/>
      <c r="I985" s="93"/>
      <c r="J985" s="90"/>
      <c r="K985" s="90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spans="1:26" ht="15.75" customHeight="1" x14ac:dyDescent="0.3">
      <c r="A986" s="64"/>
      <c r="B986" s="64"/>
      <c r="C986" s="64"/>
      <c r="D986" s="90"/>
      <c r="E986" s="91"/>
      <c r="F986" s="91"/>
      <c r="G986" s="90"/>
      <c r="H986" s="90"/>
      <c r="I986" s="93"/>
      <c r="J986" s="90"/>
      <c r="K986" s="90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spans="1:26" ht="15.75" customHeight="1" x14ac:dyDescent="0.3">
      <c r="A987" s="64"/>
      <c r="B987" s="64"/>
      <c r="C987" s="64"/>
      <c r="D987" s="90"/>
      <c r="E987" s="91"/>
      <c r="F987" s="91"/>
      <c r="G987" s="90"/>
      <c r="H987" s="90"/>
      <c r="I987" s="93"/>
      <c r="J987" s="90"/>
      <c r="K987" s="90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spans="1:26" ht="15.75" customHeight="1" x14ac:dyDescent="0.3">
      <c r="A988" s="64"/>
      <c r="B988" s="64"/>
      <c r="C988" s="64"/>
      <c r="D988" s="90"/>
      <c r="E988" s="91"/>
      <c r="F988" s="91"/>
      <c r="G988" s="90"/>
      <c r="H988" s="90"/>
      <c r="I988" s="93"/>
      <c r="J988" s="90"/>
      <c r="K988" s="90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spans="1:26" ht="15.75" customHeight="1" x14ac:dyDescent="0.3">
      <c r="A989" s="64"/>
      <c r="B989" s="64"/>
      <c r="C989" s="64"/>
      <c r="D989" s="90"/>
      <c r="E989" s="91"/>
      <c r="F989" s="91"/>
      <c r="G989" s="90"/>
      <c r="H989" s="90"/>
      <c r="I989" s="93"/>
      <c r="J989" s="90"/>
      <c r="K989" s="90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spans="1:26" ht="15.75" customHeight="1" x14ac:dyDescent="0.3">
      <c r="A990" s="64"/>
      <c r="B990" s="64"/>
      <c r="C990" s="64"/>
      <c r="D990" s="90"/>
      <c r="E990" s="91"/>
      <c r="F990" s="91"/>
      <c r="G990" s="90"/>
      <c r="H990" s="90"/>
      <c r="I990" s="93"/>
      <c r="J990" s="90"/>
      <c r="K990" s="90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spans="1:26" ht="15.75" customHeight="1" x14ac:dyDescent="0.3">
      <c r="A991" s="64"/>
      <c r="B991" s="64"/>
      <c r="C991" s="64"/>
      <c r="D991" s="90"/>
      <c r="E991" s="91"/>
      <c r="F991" s="91"/>
      <c r="G991" s="90"/>
      <c r="H991" s="90"/>
      <c r="I991" s="93"/>
      <c r="J991" s="90"/>
      <c r="K991" s="90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spans="1:26" ht="15.75" customHeight="1" x14ac:dyDescent="0.3">
      <c r="A992" s="64"/>
      <c r="B992" s="64"/>
      <c r="C992" s="64"/>
      <c r="D992" s="90"/>
      <c r="E992" s="91"/>
      <c r="F992" s="91"/>
      <c r="G992" s="90"/>
      <c r="H992" s="90"/>
      <c r="I992" s="93"/>
      <c r="J992" s="90"/>
      <c r="K992" s="90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spans="1:26" ht="15.75" customHeight="1" x14ac:dyDescent="0.3">
      <c r="A993" s="64"/>
      <c r="B993" s="64"/>
      <c r="C993" s="64"/>
      <c r="D993" s="90"/>
      <c r="E993" s="91"/>
      <c r="F993" s="91"/>
      <c r="G993" s="90"/>
      <c r="H993" s="90"/>
      <c r="I993" s="93"/>
      <c r="J993" s="90"/>
      <c r="K993" s="90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spans="1:26" ht="15.75" customHeight="1" x14ac:dyDescent="0.3">
      <c r="A994" s="64"/>
      <c r="B994" s="64"/>
      <c r="C994" s="64"/>
      <c r="D994" s="90"/>
      <c r="E994" s="91"/>
      <c r="F994" s="91"/>
      <c r="G994" s="90"/>
      <c r="H994" s="90"/>
      <c r="I994" s="93"/>
      <c r="J994" s="90"/>
      <c r="K994" s="90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spans="1:26" ht="15.75" customHeight="1" x14ac:dyDescent="0.3">
      <c r="A995" s="64"/>
      <c r="B995" s="64"/>
      <c r="C995" s="64"/>
      <c r="D995" s="90"/>
      <c r="E995" s="91"/>
      <c r="F995" s="91"/>
      <c r="G995" s="90"/>
      <c r="H995" s="90"/>
      <c r="I995" s="93"/>
      <c r="J995" s="90"/>
      <c r="K995" s="90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spans="1:26" ht="15.75" customHeight="1" x14ac:dyDescent="0.3">
      <c r="A996" s="64"/>
      <c r="B996" s="64"/>
      <c r="C996" s="64"/>
      <c r="D996" s="90"/>
      <c r="E996" s="91"/>
      <c r="F996" s="91"/>
      <c r="G996" s="90"/>
      <c r="H996" s="90"/>
      <c r="I996" s="93"/>
      <c r="J996" s="90"/>
      <c r="K996" s="90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spans="1:26" ht="15.75" customHeight="1" x14ac:dyDescent="0.3">
      <c r="A997" s="64"/>
      <c r="B997" s="64"/>
      <c r="C997" s="64"/>
      <c r="D997" s="90"/>
      <c r="E997" s="91"/>
      <c r="F997" s="91"/>
      <c r="G997" s="90"/>
      <c r="H997" s="90"/>
      <c r="I997" s="93"/>
      <c r="J997" s="90"/>
      <c r="K997" s="90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spans="1:26" ht="15.75" customHeight="1" x14ac:dyDescent="0.3">
      <c r="A998" s="64"/>
      <c r="B998" s="64"/>
      <c r="C998" s="64"/>
      <c r="D998" s="90"/>
      <c r="E998" s="91"/>
      <c r="F998" s="91"/>
      <c r="G998" s="90"/>
      <c r="H998" s="90"/>
      <c r="I998" s="93"/>
      <c r="J998" s="90"/>
      <c r="K998" s="90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9"/>
  <sheetViews>
    <sheetView workbookViewId="0">
      <pane ySplit="1" topLeftCell="A2" activePane="bottomLeft" state="frozen"/>
      <selection pane="bottomLeft" activeCell="I2" sqref="I2:I19"/>
    </sheetView>
  </sheetViews>
  <sheetFormatPr defaultColWidth="14.44140625" defaultRowHeight="15" customHeight="1" x14ac:dyDescent="0.3"/>
  <cols>
    <col min="1" max="1" width="13.109375" customWidth="1"/>
    <col min="2" max="2" width="15.88671875" customWidth="1"/>
    <col min="3" max="3" width="52.109375" customWidth="1"/>
    <col min="4" max="4" width="5.44140625" customWidth="1"/>
    <col min="5" max="5" width="8.33203125" customWidth="1"/>
    <col min="6" max="6" width="12" customWidth="1"/>
    <col min="7" max="7" width="7.44140625" customWidth="1"/>
    <col min="8" max="8" width="1.6640625" customWidth="1"/>
    <col min="9" max="9" width="8.5546875" customWidth="1"/>
    <col min="10" max="10" width="7.5546875" customWidth="1"/>
    <col min="11" max="11" width="7.44140625" customWidth="1"/>
    <col min="12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162</v>
      </c>
      <c r="G1" s="3" t="s">
        <v>7</v>
      </c>
      <c r="H1" s="3"/>
      <c r="I1" s="3" t="s">
        <v>8</v>
      </c>
      <c r="J1" s="2" t="s">
        <v>9</v>
      </c>
      <c r="K1" s="3" t="s">
        <v>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1990</v>
      </c>
      <c r="B2" s="4" t="s">
        <v>1991</v>
      </c>
      <c r="C2" s="4" t="s">
        <v>1992</v>
      </c>
      <c r="D2" s="5" t="s">
        <v>13</v>
      </c>
      <c r="E2" s="6">
        <v>68</v>
      </c>
      <c r="F2" s="6">
        <v>44.15</v>
      </c>
      <c r="G2" s="46">
        <f t="shared" ref="G2:G19" si="0">1-(F2/E2)</f>
        <v>0.35073529411764703</v>
      </c>
      <c r="H2" s="46"/>
      <c r="I2" s="46">
        <v>0.2</v>
      </c>
      <c r="J2" s="45">
        <f t="shared" ref="J2:J19" si="1">E2*(1-I2)</f>
        <v>54.400000000000006</v>
      </c>
      <c r="K2" s="46">
        <f t="shared" ref="K2:K19" si="2">1-(F2/J2)</f>
        <v>0.18841911764705899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1990</v>
      </c>
      <c r="B3" s="4" t="s">
        <v>1993</v>
      </c>
      <c r="C3" s="4" t="s">
        <v>1994</v>
      </c>
      <c r="D3" s="5" t="s">
        <v>13</v>
      </c>
      <c r="E3" s="6">
        <v>78</v>
      </c>
      <c r="F3" s="6">
        <v>53.1</v>
      </c>
      <c r="G3" s="46">
        <f t="shared" si="0"/>
        <v>0.31923076923076921</v>
      </c>
      <c r="H3" s="46"/>
      <c r="I3" s="46">
        <v>0.16</v>
      </c>
      <c r="J3" s="45">
        <f t="shared" si="1"/>
        <v>65.52</v>
      </c>
      <c r="K3" s="46">
        <f t="shared" si="2"/>
        <v>0.18956043956043944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1990</v>
      </c>
      <c r="B4" s="4" t="s">
        <v>1995</v>
      </c>
      <c r="C4" s="4" t="s">
        <v>1996</v>
      </c>
      <c r="D4" s="5" t="s">
        <v>13</v>
      </c>
      <c r="E4" s="6">
        <v>145</v>
      </c>
      <c r="F4" s="6">
        <v>90.61</v>
      </c>
      <c r="G4" s="46">
        <f t="shared" si="0"/>
        <v>0.37510344827586206</v>
      </c>
      <c r="H4" s="46"/>
      <c r="I4" s="46">
        <v>0.23</v>
      </c>
      <c r="J4" s="45">
        <f t="shared" si="1"/>
        <v>111.65</v>
      </c>
      <c r="K4" s="46">
        <f t="shared" si="2"/>
        <v>0.18844603672189886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1990</v>
      </c>
      <c r="B5" s="4" t="s">
        <v>1997</v>
      </c>
      <c r="C5" s="4" t="s">
        <v>1998</v>
      </c>
      <c r="D5" s="5" t="s">
        <v>13</v>
      </c>
      <c r="E5" s="6">
        <v>45</v>
      </c>
      <c r="F5" s="6">
        <v>30.39</v>
      </c>
      <c r="G5" s="46">
        <f t="shared" si="0"/>
        <v>0.32466666666666666</v>
      </c>
      <c r="H5" s="46"/>
      <c r="I5" s="46">
        <v>0.17</v>
      </c>
      <c r="J5" s="45">
        <f t="shared" si="1"/>
        <v>37.35</v>
      </c>
      <c r="K5" s="46">
        <f t="shared" si="2"/>
        <v>0.18634538152610447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1990</v>
      </c>
      <c r="B6" s="4" t="s">
        <v>1999</v>
      </c>
      <c r="C6" s="4" t="s">
        <v>2000</v>
      </c>
      <c r="D6" s="5" t="s">
        <v>13</v>
      </c>
      <c r="E6" s="6">
        <v>70</v>
      </c>
      <c r="F6" s="6">
        <v>42.96</v>
      </c>
      <c r="G6" s="46">
        <f t="shared" si="0"/>
        <v>0.38628571428571423</v>
      </c>
      <c r="H6" s="46"/>
      <c r="I6" s="46">
        <v>0.24</v>
      </c>
      <c r="J6" s="45">
        <f t="shared" si="1"/>
        <v>53.2</v>
      </c>
      <c r="K6" s="46">
        <f t="shared" si="2"/>
        <v>0.19248120300751881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19" t="s">
        <v>1990</v>
      </c>
      <c r="B7" s="19" t="s">
        <v>2001</v>
      </c>
      <c r="C7" s="19" t="s">
        <v>2002</v>
      </c>
      <c r="D7" s="20" t="s">
        <v>13</v>
      </c>
      <c r="E7" s="22">
        <v>75</v>
      </c>
      <c r="F7" s="22">
        <v>50.72</v>
      </c>
      <c r="G7" s="54">
        <f t="shared" si="0"/>
        <v>0.32373333333333332</v>
      </c>
      <c r="H7" s="54"/>
      <c r="I7" s="54">
        <v>0.16</v>
      </c>
      <c r="J7" s="53">
        <f t="shared" si="1"/>
        <v>63</v>
      </c>
      <c r="K7" s="54">
        <f t="shared" si="2"/>
        <v>0.19492063492063494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1990</v>
      </c>
      <c r="B8" s="4" t="s">
        <v>2003</v>
      </c>
      <c r="C8" s="4" t="s">
        <v>2004</v>
      </c>
      <c r="D8" s="5" t="s">
        <v>13</v>
      </c>
      <c r="E8" s="6">
        <v>75</v>
      </c>
      <c r="F8" s="6">
        <v>49.52</v>
      </c>
      <c r="G8" s="46">
        <f t="shared" si="0"/>
        <v>0.33973333333333333</v>
      </c>
      <c r="H8" s="46"/>
      <c r="I8" s="46">
        <v>0.18</v>
      </c>
      <c r="J8" s="45">
        <f t="shared" si="1"/>
        <v>61.500000000000007</v>
      </c>
      <c r="K8" s="46">
        <f t="shared" si="2"/>
        <v>0.1947967479674797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1990</v>
      </c>
      <c r="B9" s="4" t="s">
        <v>2005</v>
      </c>
      <c r="C9" s="4" t="s">
        <v>2006</v>
      </c>
      <c r="D9" s="5" t="s">
        <v>13</v>
      </c>
      <c r="E9" s="6">
        <v>80</v>
      </c>
      <c r="F9" s="6">
        <v>60.86</v>
      </c>
      <c r="G9" s="46">
        <f t="shared" si="0"/>
        <v>0.23924999999999996</v>
      </c>
      <c r="H9" s="46"/>
      <c r="I9" s="46">
        <v>0.06</v>
      </c>
      <c r="J9" s="45">
        <f t="shared" si="1"/>
        <v>75.199999999999989</v>
      </c>
      <c r="K9" s="46">
        <f t="shared" si="2"/>
        <v>0.19069148936170199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1990</v>
      </c>
      <c r="B10" s="4" t="s">
        <v>2007</v>
      </c>
      <c r="C10" s="4" t="s">
        <v>2008</v>
      </c>
      <c r="D10" s="5" t="s">
        <v>13</v>
      </c>
      <c r="E10" s="6">
        <v>75</v>
      </c>
      <c r="F10" s="6">
        <v>47.51</v>
      </c>
      <c r="G10" s="46">
        <f t="shared" si="0"/>
        <v>0.36653333333333338</v>
      </c>
      <c r="H10" s="46"/>
      <c r="I10" s="46">
        <v>0.22</v>
      </c>
      <c r="J10" s="45">
        <f t="shared" si="1"/>
        <v>58.5</v>
      </c>
      <c r="K10" s="46">
        <f t="shared" si="2"/>
        <v>0.18786324786324793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1990</v>
      </c>
      <c r="B11" s="4" t="s">
        <v>2009</v>
      </c>
      <c r="C11" s="4" t="s">
        <v>2010</v>
      </c>
      <c r="D11" s="5" t="s">
        <v>13</v>
      </c>
      <c r="E11" s="6">
        <v>250</v>
      </c>
      <c r="F11" s="6">
        <v>196.91</v>
      </c>
      <c r="G11" s="46">
        <f t="shared" si="0"/>
        <v>0.21235999999999999</v>
      </c>
      <c r="H11" s="46"/>
      <c r="I11" s="46">
        <v>0.03</v>
      </c>
      <c r="J11" s="45">
        <f t="shared" si="1"/>
        <v>242.5</v>
      </c>
      <c r="K11" s="46">
        <f t="shared" si="2"/>
        <v>0.18800000000000006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19" t="s">
        <v>1990</v>
      </c>
      <c r="B12" s="19" t="s">
        <v>2011</v>
      </c>
      <c r="C12" s="19" t="s">
        <v>2012</v>
      </c>
      <c r="D12" s="20" t="s">
        <v>13</v>
      </c>
      <c r="E12" s="22">
        <v>70</v>
      </c>
      <c r="F12" s="22">
        <v>45.3</v>
      </c>
      <c r="G12" s="54">
        <f t="shared" si="0"/>
        <v>0.35285714285714287</v>
      </c>
      <c r="H12" s="54"/>
      <c r="I12" s="54">
        <v>0.2</v>
      </c>
      <c r="J12" s="53">
        <f t="shared" si="1"/>
        <v>56</v>
      </c>
      <c r="K12" s="54">
        <f t="shared" si="2"/>
        <v>0.19107142857142867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1990</v>
      </c>
      <c r="B13" s="64" t="s">
        <v>2013</v>
      </c>
      <c r="C13" s="64" t="s">
        <v>2014</v>
      </c>
      <c r="D13" s="5" t="s">
        <v>13</v>
      </c>
      <c r="E13" s="101">
        <v>98</v>
      </c>
      <c r="F13" s="94">
        <v>64.09</v>
      </c>
      <c r="G13" s="46">
        <f t="shared" si="0"/>
        <v>0.34602040816326529</v>
      </c>
      <c r="H13" s="46"/>
      <c r="I13" s="46">
        <v>0.19</v>
      </c>
      <c r="J13" s="45">
        <f t="shared" si="1"/>
        <v>79.38000000000001</v>
      </c>
      <c r="K13" s="46">
        <f t="shared" si="2"/>
        <v>0.19261778785588313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1990</v>
      </c>
      <c r="B14" s="64" t="s">
        <v>2015</v>
      </c>
      <c r="C14" s="64" t="s">
        <v>2016</v>
      </c>
      <c r="D14" s="5" t="s">
        <v>13</v>
      </c>
      <c r="E14" s="101">
        <v>103</v>
      </c>
      <c r="F14" s="94">
        <v>68.510000000000005</v>
      </c>
      <c r="G14" s="46">
        <f t="shared" si="0"/>
        <v>0.33485436893203879</v>
      </c>
      <c r="H14" s="46"/>
      <c r="I14" s="46">
        <v>0.18</v>
      </c>
      <c r="J14" s="45">
        <f t="shared" si="1"/>
        <v>84.460000000000008</v>
      </c>
      <c r="K14" s="46">
        <f t="shared" si="2"/>
        <v>0.18884679138053517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1990</v>
      </c>
      <c r="B15" s="64" t="s">
        <v>2017</v>
      </c>
      <c r="C15" s="64" t="s">
        <v>2018</v>
      </c>
      <c r="D15" s="5" t="s">
        <v>13</v>
      </c>
      <c r="E15" s="101">
        <v>103</v>
      </c>
      <c r="F15" s="94">
        <v>68.510000000000005</v>
      </c>
      <c r="G15" s="46">
        <f t="shared" si="0"/>
        <v>0.33485436893203879</v>
      </c>
      <c r="H15" s="46"/>
      <c r="I15" s="46">
        <v>0.18</v>
      </c>
      <c r="J15" s="45">
        <f t="shared" si="1"/>
        <v>84.460000000000008</v>
      </c>
      <c r="K15" s="46">
        <f t="shared" si="2"/>
        <v>0.18884679138053517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1990</v>
      </c>
      <c r="B16" s="64" t="s">
        <v>2019</v>
      </c>
      <c r="C16" s="64" t="s">
        <v>2020</v>
      </c>
      <c r="D16" s="5" t="s">
        <v>13</v>
      </c>
      <c r="E16" s="101">
        <v>103</v>
      </c>
      <c r="F16" s="94">
        <v>68.510000000000005</v>
      </c>
      <c r="G16" s="46">
        <f t="shared" si="0"/>
        <v>0.33485436893203879</v>
      </c>
      <c r="H16" s="46"/>
      <c r="I16" s="46">
        <v>0.18</v>
      </c>
      <c r="J16" s="45">
        <f t="shared" si="1"/>
        <v>84.460000000000008</v>
      </c>
      <c r="K16" s="46">
        <f t="shared" si="2"/>
        <v>0.18884679138053517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1990</v>
      </c>
      <c r="B17" s="64" t="s">
        <v>2021</v>
      </c>
      <c r="C17" s="64" t="s">
        <v>2022</v>
      </c>
      <c r="D17" s="5" t="s">
        <v>13</v>
      </c>
      <c r="E17" s="101">
        <v>103</v>
      </c>
      <c r="F17" s="94">
        <v>68.510000000000005</v>
      </c>
      <c r="G17" s="46">
        <f t="shared" si="0"/>
        <v>0.33485436893203879</v>
      </c>
      <c r="H17" s="46"/>
      <c r="I17" s="46">
        <v>0.18</v>
      </c>
      <c r="J17" s="45">
        <f t="shared" si="1"/>
        <v>84.460000000000008</v>
      </c>
      <c r="K17" s="46">
        <f t="shared" si="2"/>
        <v>0.18884679138053517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1990</v>
      </c>
      <c r="B18" s="64" t="s">
        <v>2023</v>
      </c>
      <c r="C18" s="64" t="s">
        <v>2024</v>
      </c>
      <c r="D18" s="5" t="s">
        <v>13</v>
      </c>
      <c r="E18" s="101">
        <v>109</v>
      </c>
      <c r="F18" s="94">
        <v>71.819999999999993</v>
      </c>
      <c r="G18" s="46">
        <f t="shared" si="0"/>
        <v>0.34110091743119275</v>
      </c>
      <c r="H18" s="46"/>
      <c r="I18" s="46">
        <v>0.19</v>
      </c>
      <c r="J18" s="45">
        <f t="shared" si="1"/>
        <v>88.29</v>
      </c>
      <c r="K18" s="46">
        <f t="shared" si="2"/>
        <v>0.1865443425076454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19" t="s">
        <v>1990</v>
      </c>
      <c r="B19" s="64" t="s">
        <v>2025</v>
      </c>
      <c r="C19" s="64" t="s">
        <v>2018</v>
      </c>
      <c r="D19" s="90" t="s">
        <v>13</v>
      </c>
      <c r="E19" s="101">
        <v>103</v>
      </c>
      <c r="F19" s="94">
        <v>68.510000000000005</v>
      </c>
      <c r="G19" s="42">
        <f t="shared" si="0"/>
        <v>0.33485436893203879</v>
      </c>
      <c r="H19" s="46"/>
      <c r="I19" s="46">
        <v>0.18</v>
      </c>
      <c r="J19" s="45">
        <f t="shared" si="1"/>
        <v>84.460000000000008</v>
      </c>
      <c r="K19" s="46">
        <f t="shared" si="2"/>
        <v>0.18884679138053517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5"/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5"/>
      <c r="E21" s="6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5"/>
      <c r="E22" s="6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5"/>
      <c r="E23" s="6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5"/>
      <c r="E24" s="6"/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5"/>
      <c r="E25" s="6"/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5"/>
      <c r="E26" s="6"/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5"/>
      <c r="E27" s="6"/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5"/>
      <c r="E28" s="6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5"/>
      <c r="E29" s="6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5"/>
      <c r="E30" s="6"/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5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5"/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5"/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5"/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5"/>
      <c r="E35" s="6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5"/>
      <c r="E36" s="6"/>
      <c r="F36" s="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5"/>
      <c r="E37" s="6"/>
      <c r="F37" s="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5"/>
      <c r="E38" s="6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5"/>
      <c r="E39" s="6"/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5"/>
      <c r="E40" s="6"/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5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5"/>
      <c r="E42" s="6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5"/>
      <c r="E43" s="6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5"/>
      <c r="E44" s="6"/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5"/>
      <c r="E45" s="6"/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5"/>
      <c r="E46" s="6"/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5"/>
      <c r="E47" s="6"/>
      <c r="F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5"/>
      <c r="E48" s="6"/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5"/>
      <c r="E49" s="6"/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5"/>
      <c r="E50" s="6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5"/>
      <c r="E51" s="6"/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5"/>
      <c r="E52" s="6"/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5"/>
      <c r="E53" s="6"/>
      <c r="F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5"/>
      <c r="E54" s="6"/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5"/>
      <c r="E55" s="6"/>
      <c r="F55" s="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5"/>
      <c r="E56" s="6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5"/>
      <c r="E57" s="6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5"/>
      <c r="E58" s="6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5"/>
      <c r="E59" s="6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5"/>
      <c r="E60" s="6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5"/>
      <c r="E61" s="6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5"/>
      <c r="E62" s="6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5"/>
      <c r="E63" s="6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5"/>
      <c r="E64" s="6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5"/>
      <c r="E65" s="6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5"/>
      <c r="E66" s="6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5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5"/>
      <c r="E68" s="6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5"/>
      <c r="E69" s="6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5"/>
      <c r="E70" s="6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5"/>
      <c r="E71" s="6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5"/>
      <c r="E72" s="6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5"/>
      <c r="E73" s="6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5"/>
      <c r="E74" s="6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5"/>
      <c r="E75" s="6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5"/>
      <c r="E76" s="6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5"/>
      <c r="E77" s="6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5"/>
      <c r="E78" s="6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5"/>
      <c r="E79" s="6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5"/>
      <c r="E80" s="6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5"/>
      <c r="E81" s="6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5"/>
      <c r="E82" s="6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5"/>
      <c r="E83" s="6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5"/>
      <c r="E84" s="6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5"/>
      <c r="E85" s="6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5"/>
      <c r="E86" s="6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5"/>
      <c r="E87" s="6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5"/>
      <c r="E88" s="6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5"/>
      <c r="E89" s="6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5"/>
      <c r="E90" s="6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5"/>
      <c r="E91" s="6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5"/>
      <c r="E92" s="6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5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5"/>
      <c r="E94" s="6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5"/>
      <c r="E95" s="6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5"/>
      <c r="E96" s="6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5"/>
      <c r="E97" s="6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5"/>
      <c r="E98" s="6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5"/>
      <c r="E99" s="6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5"/>
      <c r="E100" s="6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5"/>
      <c r="E101" s="6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5"/>
      <c r="E102" s="6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5"/>
      <c r="E103" s="6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5"/>
      <c r="E104" s="6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5"/>
      <c r="E105" s="6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5"/>
      <c r="E106" s="6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5"/>
      <c r="E107" s="6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5"/>
      <c r="E108" s="6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5"/>
      <c r="E109" s="6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5"/>
      <c r="E110" s="6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5"/>
      <c r="E111" s="6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5"/>
      <c r="E112" s="6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5"/>
      <c r="E113" s="6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5"/>
      <c r="E114" s="6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5"/>
      <c r="E115" s="6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5"/>
      <c r="E116" s="6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5"/>
      <c r="E117" s="6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5"/>
      <c r="E118" s="6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5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5"/>
      <c r="E120" s="6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5"/>
      <c r="E121" s="6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5"/>
      <c r="E122" s="6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5"/>
      <c r="E123" s="6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5"/>
      <c r="E124" s="6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5"/>
      <c r="E125" s="6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5"/>
      <c r="E126" s="6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5"/>
      <c r="E127" s="6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5"/>
      <c r="E128" s="6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5"/>
      <c r="E129" s="6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5"/>
      <c r="E130" s="6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5"/>
      <c r="E131" s="6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5"/>
      <c r="E132" s="6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5"/>
      <c r="E133" s="6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5"/>
      <c r="E134" s="6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5"/>
      <c r="E135" s="6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5"/>
      <c r="E136" s="6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5"/>
      <c r="E137" s="6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5"/>
      <c r="E138" s="6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5"/>
      <c r="E139" s="6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5"/>
      <c r="E140" s="6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5"/>
      <c r="E141" s="6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5"/>
      <c r="E142" s="6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5"/>
      <c r="E143" s="6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5"/>
      <c r="E144" s="6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5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5"/>
      <c r="E146" s="6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5"/>
      <c r="E147" s="6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5"/>
      <c r="E148" s="6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5"/>
      <c r="E149" s="6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5"/>
      <c r="E150" s="6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5"/>
      <c r="E151" s="6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5"/>
      <c r="E152" s="6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5"/>
      <c r="E153" s="6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5"/>
      <c r="E154" s="6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5"/>
      <c r="E155" s="6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5"/>
      <c r="E156" s="6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5"/>
      <c r="E157" s="6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5"/>
      <c r="E158" s="6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5"/>
      <c r="E159" s="6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5"/>
      <c r="E160" s="6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5"/>
      <c r="E161" s="6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5"/>
      <c r="E162" s="6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5"/>
      <c r="E163" s="6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5"/>
      <c r="E164" s="6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5"/>
      <c r="E165" s="6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5"/>
      <c r="E166" s="6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5"/>
      <c r="E167" s="6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5"/>
      <c r="E168" s="6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5"/>
      <c r="E169" s="6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5"/>
      <c r="E170" s="6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5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5"/>
      <c r="E172" s="6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5"/>
      <c r="E173" s="6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5"/>
      <c r="E174" s="6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5"/>
      <c r="E175" s="6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5"/>
      <c r="E176" s="6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5"/>
      <c r="E177" s="6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5"/>
      <c r="E178" s="6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5"/>
      <c r="E179" s="6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5"/>
      <c r="E180" s="6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5"/>
      <c r="E181" s="6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5"/>
      <c r="E182" s="6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5"/>
      <c r="E183" s="6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5"/>
      <c r="E184" s="6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5"/>
      <c r="E185" s="6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5"/>
      <c r="E186" s="6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5"/>
      <c r="E187" s="6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5"/>
      <c r="E188" s="6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5"/>
      <c r="E189" s="6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5"/>
      <c r="E190" s="6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5"/>
      <c r="E191" s="6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5"/>
      <c r="E192" s="6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5"/>
      <c r="E193" s="6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5"/>
      <c r="E194" s="6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5"/>
      <c r="E195" s="6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5"/>
      <c r="E196" s="6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5"/>
      <c r="E197" s="6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5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5"/>
      <c r="E199" s="6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5"/>
      <c r="E200" s="6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5"/>
      <c r="E201" s="6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5"/>
      <c r="E202" s="6"/>
      <c r="F202" s="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5"/>
      <c r="E203" s="6"/>
      <c r="F203" s="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5"/>
      <c r="E204" s="6"/>
      <c r="F204" s="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5"/>
      <c r="E205" s="6"/>
      <c r="F205" s="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5"/>
      <c r="E206" s="6"/>
      <c r="F206" s="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5"/>
      <c r="E207" s="6"/>
      <c r="F207" s="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5"/>
      <c r="E208" s="6"/>
      <c r="F208" s="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5"/>
      <c r="E209" s="6"/>
      <c r="F209" s="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5"/>
      <c r="E210" s="6"/>
      <c r="F210" s="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5"/>
      <c r="E211" s="6"/>
      <c r="F211" s="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5"/>
      <c r="E212" s="6"/>
      <c r="F212" s="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5"/>
      <c r="E213" s="6"/>
      <c r="F213" s="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5"/>
      <c r="E214" s="6"/>
      <c r="F214" s="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5"/>
      <c r="E215" s="6"/>
      <c r="F215" s="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5"/>
      <c r="E216" s="6"/>
      <c r="F216" s="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5"/>
      <c r="E217" s="6"/>
      <c r="F217" s="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5"/>
      <c r="E218" s="6"/>
      <c r="F218" s="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5"/>
      <c r="E219" s="6"/>
      <c r="F219" s="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5"/>
      <c r="E220" s="6"/>
      <c r="F220" s="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5"/>
      <c r="E221" s="6"/>
      <c r="F221" s="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5"/>
      <c r="E222" s="6"/>
      <c r="F222" s="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5"/>
      <c r="E223" s="6"/>
      <c r="F223" s="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5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5"/>
      <c r="E225" s="6"/>
      <c r="F225" s="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5"/>
      <c r="E226" s="6"/>
      <c r="F226" s="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5"/>
      <c r="E227" s="6"/>
      <c r="F227" s="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5"/>
      <c r="E228" s="6"/>
      <c r="F228" s="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5"/>
      <c r="E229" s="6"/>
      <c r="F229" s="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5"/>
      <c r="E230" s="6"/>
      <c r="F230" s="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5"/>
      <c r="E231" s="6"/>
      <c r="F231" s="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5"/>
      <c r="E232" s="6"/>
      <c r="F232" s="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5"/>
      <c r="E233" s="6"/>
      <c r="F233" s="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5"/>
      <c r="E234" s="6"/>
      <c r="F234" s="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5"/>
      <c r="E235" s="6"/>
      <c r="F235" s="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5"/>
      <c r="E236" s="6"/>
      <c r="F236" s="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5"/>
      <c r="E237" s="6"/>
      <c r="F237" s="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5"/>
      <c r="E238" s="6"/>
      <c r="F238" s="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5"/>
      <c r="E239" s="6"/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5"/>
      <c r="E240" s="6"/>
      <c r="F240" s="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5"/>
      <c r="E241" s="6"/>
      <c r="F241" s="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5"/>
      <c r="E242" s="6"/>
      <c r="F242" s="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5"/>
      <c r="E243" s="6"/>
      <c r="F243" s="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5"/>
      <c r="E244" s="6"/>
      <c r="F244" s="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5"/>
      <c r="E245" s="6"/>
      <c r="F245" s="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5"/>
      <c r="E246" s="6"/>
      <c r="F246" s="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5"/>
      <c r="E247" s="6"/>
      <c r="F247" s="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5"/>
      <c r="E248" s="6"/>
      <c r="F248" s="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5"/>
      <c r="E249" s="6"/>
      <c r="F249" s="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5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5"/>
      <c r="E251" s="6"/>
      <c r="F251" s="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5"/>
      <c r="E252" s="6"/>
      <c r="F252" s="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5"/>
      <c r="E253" s="6"/>
      <c r="F253" s="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5"/>
      <c r="E254" s="6"/>
      <c r="F254" s="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5"/>
      <c r="E255" s="6"/>
      <c r="F255" s="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5"/>
      <c r="E256" s="6"/>
      <c r="F256" s="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5"/>
      <c r="E257" s="6"/>
      <c r="F257" s="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5"/>
      <c r="E258" s="6"/>
      <c r="F258" s="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5"/>
      <c r="E259" s="6"/>
      <c r="F259" s="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5"/>
      <c r="E260" s="6"/>
      <c r="F260" s="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5"/>
      <c r="E261" s="6"/>
      <c r="F261" s="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5"/>
      <c r="E262" s="6"/>
      <c r="F262" s="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5"/>
      <c r="E263" s="6"/>
      <c r="F263" s="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5"/>
      <c r="E264" s="6"/>
      <c r="F264" s="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5"/>
      <c r="E265" s="6"/>
      <c r="F265" s="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5"/>
      <c r="E266" s="6"/>
      <c r="F266" s="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5"/>
      <c r="E267" s="6"/>
      <c r="F267" s="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5"/>
      <c r="E268" s="6"/>
      <c r="F268" s="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5"/>
      <c r="E269" s="6"/>
      <c r="F269" s="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5"/>
      <c r="E270" s="6"/>
      <c r="F270" s="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5"/>
      <c r="E271" s="6"/>
      <c r="F271" s="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5"/>
      <c r="E272" s="6"/>
      <c r="F272" s="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5"/>
      <c r="E273" s="6"/>
      <c r="F273" s="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5"/>
      <c r="E274" s="6"/>
      <c r="F274" s="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5"/>
      <c r="E275" s="6"/>
      <c r="F275" s="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5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5"/>
      <c r="E277" s="6"/>
      <c r="F277" s="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5"/>
      <c r="E278" s="6"/>
      <c r="F278" s="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5"/>
      <c r="E279" s="6"/>
      <c r="F279" s="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5"/>
      <c r="E280" s="6"/>
      <c r="F280" s="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5"/>
      <c r="E281" s="6"/>
      <c r="F281" s="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5"/>
      <c r="E282" s="6"/>
      <c r="F282" s="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5"/>
      <c r="E283" s="6"/>
      <c r="F283" s="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5"/>
      <c r="E284" s="6"/>
      <c r="F284" s="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5"/>
      <c r="E285" s="6"/>
      <c r="F285" s="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5"/>
      <c r="E286" s="6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5"/>
      <c r="E287" s="6"/>
      <c r="F287" s="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5"/>
      <c r="E288" s="6"/>
      <c r="F288" s="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5"/>
      <c r="E289" s="6"/>
      <c r="F289" s="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5"/>
      <c r="E290" s="6"/>
      <c r="F290" s="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5"/>
      <c r="E291" s="6"/>
      <c r="F291" s="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5"/>
      <c r="E292" s="6"/>
      <c r="F292" s="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5"/>
      <c r="E293" s="6"/>
      <c r="F293" s="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5"/>
      <c r="E294" s="6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5"/>
      <c r="E295" s="6"/>
      <c r="F295" s="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5"/>
      <c r="E296" s="6"/>
      <c r="F296" s="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5"/>
      <c r="E297" s="6"/>
      <c r="F297" s="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5"/>
      <c r="E298" s="6"/>
      <c r="F298" s="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5"/>
      <c r="E299" s="6"/>
      <c r="F299" s="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5"/>
      <c r="E300" s="6"/>
      <c r="F300" s="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5"/>
      <c r="E301" s="6"/>
      <c r="F301" s="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5"/>
      <c r="E302" s="6"/>
      <c r="F302" s="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5"/>
      <c r="E303" s="6"/>
      <c r="F303" s="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5"/>
      <c r="E304" s="6"/>
      <c r="F304" s="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5"/>
      <c r="E305" s="6"/>
      <c r="F305" s="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5"/>
      <c r="E306" s="6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5"/>
      <c r="E307" s="6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5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5"/>
      <c r="E309" s="6"/>
      <c r="F309" s="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5"/>
      <c r="E310" s="6"/>
      <c r="F310" s="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5"/>
      <c r="E311" s="6"/>
      <c r="F311" s="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5"/>
      <c r="E312" s="6"/>
      <c r="F312" s="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5"/>
      <c r="E313" s="6"/>
      <c r="F313" s="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5"/>
      <c r="E314" s="6"/>
      <c r="F314" s="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5"/>
      <c r="E315" s="6"/>
      <c r="F315" s="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5"/>
      <c r="E316" s="6"/>
      <c r="F316" s="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5"/>
      <c r="E317" s="6"/>
      <c r="F317" s="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5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5"/>
      <c r="E319" s="6"/>
      <c r="F319" s="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5"/>
      <c r="E320" s="6"/>
      <c r="F320" s="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5"/>
      <c r="E321" s="6"/>
      <c r="F321" s="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5"/>
      <c r="E322" s="6"/>
      <c r="F322" s="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5"/>
      <c r="E323" s="6"/>
      <c r="F323" s="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5"/>
      <c r="E324" s="6"/>
      <c r="F324" s="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5"/>
      <c r="E325" s="6"/>
      <c r="F325" s="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5"/>
      <c r="E326" s="6"/>
      <c r="F326" s="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5"/>
      <c r="E327" s="6"/>
      <c r="F327" s="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5"/>
      <c r="E328" s="6"/>
      <c r="F328" s="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5"/>
      <c r="E329" s="6"/>
      <c r="F329" s="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5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5"/>
      <c r="E331" s="6"/>
      <c r="F331" s="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5"/>
      <c r="E332" s="6"/>
      <c r="F332" s="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5"/>
      <c r="E333" s="6"/>
      <c r="F333" s="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5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5"/>
      <c r="E335" s="6"/>
      <c r="F335" s="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5"/>
      <c r="E336" s="6"/>
      <c r="F336" s="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5"/>
      <c r="E337" s="6"/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5"/>
      <c r="E338" s="6"/>
      <c r="F338" s="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5"/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5"/>
      <c r="E340" s="6"/>
      <c r="F340" s="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5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5"/>
      <c r="E342" s="6"/>
      <c r="F342" s="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5"/>
      <c r="E343" s="6"/>
      <c r="F343" s="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5"/>
      <c r="E344" s="6"/>
      <c r="F344" s="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5"/>
      <c r="E345" s="6"/>
      <c r="F345" s="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5"/>
      <c r="E346" s="6"/>
      <c r="F346" s="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5"/>
      <c r="E347" s="6"/>
      <c r="F347" s="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5"/>
      <c r="E348" s="6"/>
      <c r="F348" s="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5"/>
      <c r="E349" s="6"/>
      <c r="F349" s="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5"/>
      <c r="E350" s="6"/>
      <c r="F350" s="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5"/>
      <c r="E351" s="6"/>
      <c r="F351" s="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5"/>
      <c r="E352" s="6"/>
      <c r="F352" s="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5"/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5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5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5"/>
      <c r="E356" s="6"/>
      <c r="F356" s="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5"/>
      <c r="E357" s="6"/>
      <c r="F357" s="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5"/>
      <c r="E358" s="6"/>
      <c r="F358" s="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5"/>
      <c r="E359" s="6"/>
      <c r="F359" s="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5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5"/>
      <c r="E361" s="6"/>
      <c r="F361" s="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5"/>
      <c r="E362" s="6"/>
      <c r="F362" s="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5"/>
      <c r="E363" s="6"/>
      <c r="F363" s="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5"/>
      <c r="E364" s="6"/>
      <c r="F364" s="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5"/>
      <c r="E365" s="6"/>
      <c r="F365" s="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5"/>
      <c r="E366" s="6"/>
      <c r="F366" s="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5"/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5"/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5"/>
      <c r="E369" s="6"/>
      <c r="F369" s="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5"/>
      <c r="E370" s="6"/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5"/>
      <c r="E371" s="6"/>
      <c r="F371" s="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5"/>
      <c r="E372" s="6"/>
      <c r="F372" s="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5"/>
      <c r="E373" s="6"/>
      <c r="F373" s="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5"/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5"/>
      <c r="E375" s="6"/>
      <c r="F375" s="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5"/>
      <c r="E376" s="6"/>
      <c r="F376" s="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5"/>
      <c r="E377" s="6"/>
      <c r="F377" s="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5"/>
      <c r="E378" s="6"/>
      <c r="F378" s="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5"/>
      <c r="E379" s="6"/>
      <c r="F379" s="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5"/>
      <c r="E380" s="6"/>
      <c r="F380" s="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5"/>
      <c r="E381" s="6"/>
      <c r="F381" s="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5"/>
      <c r="E382" s="6"/>
      <c r="F382" s="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5"/>
      <c r="E383" s="6"/>
      <c r="F383" s="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5"/>
      <c r="E384" s="6"/>
      <c r="F384" s="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5"/>
      <c r="E385" s="6"/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5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5"/>
      <c r="E387" s="6"/>
      <c r="F387" s="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5"/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5"/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5"/>
      <c r="E390" s="6"/>
      <c r="F390" s="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5"/>
      <c r="E391" s="6"/>
      <c r="F391" s="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5"/>
      <c r="E392" s="6"/>
      <c r="F392" s="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5"/>
      <c r="E393" s="6"/>
      <c r="F393" s="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5"/>
      <c r="E394" s="6"/>
      <c r="F394" s="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5"/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5"/>
      <c r="E396" s="6"/>
      <c r="F396" s="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5"/>
      <c r="E397" s="6"/>
      <c r="F397" s="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5"/>
      <c r="E398" s="6"/>
      <c r="F398" s="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5"/>
      <c r="E399" s="6"/>
      <c r="F399" s="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5"/>
      <c r="E400" s="6"/>
      <c r="F400" s="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5"/>
      <c r="E401" s="6"/>
      <c r="F401" s="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5"/>
      <c r="E402" s="6"/>
      <c r="F402" s="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5"/>
      <c r="E403" s="6"/>
      <c r="F403" s="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5"/>
      <c r="E404" s="6"/>
      <c r="F404" s="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5"/>
      <c r="E405" s="6"/>
      <c r="F405" s="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5"/>
      <c r="E406" s="6"/>
      <c r="F406" s="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5"/>
      <c r="E407" s="6"/>
      <c r="F407" s="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5"/>
      <c r="E408" s="6"/>
      <c r="F408" s="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5"/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5"/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5"/>
      <c r="E411" s="6"/>
      <c r="F411" s="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5"/>
      <c r="E412" s="6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5"/>
      <c r="E413" s="6"/>
      <c r="F413" s="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5"/>
      <c r="E414" s="6"/>
      <c r="F414" s="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5"/>
      <c r="E415" s="6"/>
      <c r="F415" s="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5"/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5"/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5"/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5"/>
      <c r="E419" s="6"/>
      <c r="F419" s="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5"/>
      <c r="E420" s="6"/>
      <c r="F420" s="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5"/>
      <c r="E421" s="6"/>
      <c r="F421" s="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5"/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5"/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5"/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5"/>
      <c r="E425" s="6"/>
      <c r="F425" s="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5"/>
      <c r="E426" s="6"/>
      <c r="F426" s="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5"/>
      <c r="E427" s="6"/>
      <c r="F427" s="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5"/>
      <c r="E428" s="6"/>
      <c r="F428" s="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5"/>
      <c r="E429" s="6"/>
      <c r="F429" s="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5"/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5"/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5"/>
      <c r="E432" s="6"/>
      <c r="F432" s="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5"/>
      <c r="E433" s="6"/>
      <c r="F433" s="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5"/>
      <c r="E434" s="6"/>
      <c r="F434" s="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5"/>
      <c r="E435" s="6"/>
      <c r="F435" s="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5"/>
      <c r="E436" s="6"/>
      <c r="F436" s="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5"/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5"/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5"/>
      <c r="E439" s="6"/>
      <c r="F439" s="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5"/>
      <c r="E440" s="6"/>
      <c r="F440" s="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5"/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5"/>
      <c r="E442" s="6"/>
      <c r="F442" s="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5"/>
      <c r="E443" s="6"/>
      <c r="F443" s="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5"/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5"/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5"/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5"/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5"/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5"/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5"/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5"/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5"/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5"/>
      <c r="E453" s="6"/>
      <c r="F453" s="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5"/>
      <c r="E454" s="6"/>
      <c r="F454" s="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5"/>
      <c r="E455" s="6"/>
      <c r="F455" s="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5"/>
      <c r="E456" s="6"/>
      <c r="F456" s="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5"/>
      <c r="E457" s="6"/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5"/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5"/>
      <c r="E459" s="6"/>
      <c r="F459" s="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5"/>
      <c r="E460" s="6"/>
      <c r="F460" s="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5"/>
      <c r="E461" s="6"/>
      <c r="F461" s="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5"/>
      <c r="E462" s="6"/>
      <c r="F462" s="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5"/>
      <c r="E463" s="6"/>
      <c r="F463" s="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5"/>
      <c r="E464" s="6"/>
      <c r="F464" s="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5"/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5"/>
      <c r="E466" s="6"/>
      <c r="F466" s="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5"/>
      <c r="E467" s="6"/>
      <c r="F467" s="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5"/>
      <c r="E468" s="6"/>
      <c r="F468" s="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5"/>
      <c r="E469" s="6"/>
      <c r="F469" s="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5"/>
      <c r="E470" s="6"/>
      <c r="F470" s="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5"/>
      <c r="E471" s="6"/>
      <c r="F471" s="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5"/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5"/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5"/>
      <c r="E474" s="6"/>
      <c r="F474" s="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5"/>
      <c r="E475" s="6"/>
      <c r="F475" s="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5"/>
      <c r="E476" s="6"/>
      <c r="F476" s="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5"/>
      <c r="E477" s="6"/>
      <c r="F477" s="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5"/>
      <c r="E478" s="6"/>
      <c r="F478" s="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5"/>
      <c r="E479" s="6"/>
      <c r="F479" s="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5"/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5"/>
      <c r="E481" s="6"/>
      <c r="F481" s="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5"/>
      <c r="E482" s="6"/>
      <c r="F482" s="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5"/>
      <c r="E483" s="6"/>
      <c r="F483" s="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5"/>
      <c r="E484" s="6"/>
      <c r="F484" s="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5"/>
      <c r="E485" s="6"/>
      <c r="F485" s="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5"/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5"/>
      <c r="E487" s="6"/>
      <c r="F487" s="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5"/>
      <c r="E488" s="6"/>
      <c r="F488" s="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5"/>
      <c r="E489" s="6"/>
      <c r="F489" s="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5"/>
      <c r="E490" s="6"/>
      <c r="F490" s="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5"/>
      <c r="E491" s="6"/>
      <c r="F491" s="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5"/>
      <c r="E492" s="6"/>
      <c r="F492" s="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5"/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5"/>
      <c r="E494" s="6"/>
      <c r="F494" s="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5"/>
      <c r="E495" s="6"/>
      <c r="F495" s="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5"/>
      <c r="E496" s="6"/>
      <c r="F496" s="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5"/>
      <c r="E497" s="6"/>
      <c r="F497" s="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5"/>
      <c r="E498" s="6"/>
      <c r="F498" s="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5"/>
      <c r="E499" s="6"/>
      <c r="F499" s="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5"/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5"/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5"/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5"/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5"/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5"/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5"/>
      <c r="E506" s="6"/>
      <c r="F506" s="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5"/>
      <c r="E507" s="6"/>
      <c r="F507" s="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5"/>
      <c r="E508" s="6"/>
      <c r="F508" s="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5"/>
      <c r="E509" s="6"/>
      <c r="F509" s="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5"/>
      <c r="E510" s="6"/>
      <c r="F510" s="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5"/>
      <c r="E511" s="6"/>
      <c r="F511" s="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5"/>
      <c r="E512" s="6"/>
      <c r="F512" s="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5"/>
      <c r="E513" s="6"/>
      <c r="F513" s="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5"/>
      <c r="E514" s="6"/>
      <c r="F514" s="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5"/>
      <c r="E515" s="6"/>
      <c r="F515" s="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5"/>
      <c r="E516" s="6"/>
      <c r="F516" s="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5"/>
      <c r="E517" s="6"/>
      <c r="F517" s="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5"/>
      <c r="E518" s="6"/>
      <c r="F518" s="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5"/>
      <c r="E519" s="6"/>
      <c r="F519" s="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5"/>
      <c r="E520" s="6"/>
      <c r="F520" s="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5"/>
      <c r="E521" s="6"/>
      <c r="F521" s="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5"/>
      <c r="E522" s="6"/>
      <c r="F522" s="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5"/>
      <c r="E523" s="6"/>
      <c r="F523" s="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5"/>
      <c r="E524" s="6"/>
      <c r="F524" s="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5"/>
      <c r="E525" s="6"/>
      <c r="F525" s="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5"/>
      <c r="E526" s="6"/>
      <c r="F526" s="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5"/>
      <c r="E527" s="6"/>
      <c r="F527" s="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5"/>
      <c r="E528" s="6"/>
      <c r="F528" s="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5"/>
      <c r="E529" s="6"/>
      <c r="F529" s="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5"/>
      <c r="E530" s="6"/>
      <c r="F530" s="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5"/>
      <c r="E531" s="6"/>
      <c r="F531" s="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5"/>
      <c r="E532" s="6"/>
      <c r="F532" s="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5"/>
      <c r="E533" s="6"/>
      <c r="F533" s="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5"/>
      <c r="E534" s="6"/>
      <c r="F534" s="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5"/>
      <c r="E535" s="6"/>
      <c r="F535" s="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5"/>
      <c r="E536" s="6"/>
      <c r="F536" s="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5"/>
      <c r="E537" s="6"/>
      <c r="F537" s="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5"/>
      <c r="E538" s="6"/>
      <c r="F538" s="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5"/>
      <c r="E539" s="6"/>
      <c r="F539" s="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5"/>
      <c r="E540" s="6"/>
      <c r="F540" s="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5"/>
      <c r="E541" s="6"/>
      <c r="F541" s="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5"/>
      <c r="E542" s="6"/>
      <c r="F542" s="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5"/>
      <c r="E543" s="6"/>
      <c r="F543" s="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5"/>
      <c r="E544" s="6"/>
      <c r="F544" s="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5"/>
      <c r="E545" s="6"/>
      <c r="F545" s="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5"/>
      <c r="E546" s="6"/>
      <c r="F546" s="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5"/>
      <c r="E547" s="6"/>
      <c r="F547" s="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5"/>
      <c r="E548" s="6"/>
      <c r="F548" s="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5"/>
      <c r="E549" s="6"/>
      <c r="F549" s="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5"/>
      <c r="E550" s="6"/>
      <c r="F550" s="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5"/>
      <c r="E551" s="6"/>
      <c r="F551" s="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5"/>
      <c r="E552" s="6"/>
      <c r="F552" s="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5"/>
      <c r="E553" s="6"/>
      <c r="F553" s="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5"/>
      <c r="E554" s="6"/>
      <c r="F554" s="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5"/>
      <c r="E555" s="6"/>
      <c r="F555" s="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5"/>
      <c r="E556" s="6"/>
      <c r="F556" s="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5"/>
      <c r="E557" s="6"/>
      <c r="F557" s="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5"/>
      <c r="E558" s="6"/>
      <c r="F558" s="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5"/>
      <c r="E559" s="6"/>
      <c r="F559" s="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5"/>
      <c r="E560" s="6"/>
      <c r="F560" s="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5"/>
      <c r="E561" s="6"/>
      <c r="F561" s="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5"/>
      <c r="E562" s="6"/>
      <c r="F562" s="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5"/>
      <c r="E563" s="6"/>
      <c r="F563" s="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5"/>
      <c r="E564" s="6"/>
      <c r="F564" s="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5"/>
      <c r="E565" s="6"/>
      <c r="F565" s="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5"/>
      <c r="E566" s="6"/>
      <c r="F566" s="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5"/>
      <c r="E567" s="6"/>
      <c r="F567" s="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5"/>
      <c r="E568" s="6"/>
      <c r="F568" s="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5"/>
      <c r="E569" s="6"/>
      <c r="F569" s="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5"/>
      <c r="E570" s="6"/>
      <c r="F570" s="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5"/>
      <c r="E571" s="6"/>
      <c r="F571" s="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5"/>
      <c r="E572" s="6"/>
      <c r="F572" s="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5"/>
      <c r="E573" s="6"/>
      <c r="F573" s="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5"/>
      <c r="E574" s="6"/>
      <c r="F574" s="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5"/>
      <c r="E575" s="6"/>
      <c r="F575" s="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5"/>
      <c r="E576" s="6"/>
      <c r="F576" s="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5"/>
      <c r="E577" s="6"/>
      <c r="F577" s="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5"/>
      <c r="E578" s="6"/>
      <c r="F578" s="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5"/>
      <c r="E579" s="6"/>
      <c r="F579" s="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5"/>
      <c r="E580" s="6"/>
      <c r="F580" s="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5"/>
      <c r="E581" s="6"/>
      <c r="F581" s="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5"/>
      <c r="E582" s="6"/>
      <c r="F582" s="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5"/>
      <c r="E583" s="6"/>
      <c r="F583" s="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5"/>
      <c r="E584" s="6"/>
      <c r="F584" s="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5"/>
      <c r="E585" s="6"/>
      <c r="F585" s="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5"/>
      <c r="E586" s="6"/>
      <c r="F586" s="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5"/>
      <c r="E587" s="6"/>
      <c r="F587" s="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5"/>
      <c r="E588" s="6"/>
      <c r="F588" s="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5"/>
      <c r="E589" s="6"/>
      <c r="F589" s="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5"/>
      <c r="E590" s="6"/>
      <c r="F590" s="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5"/>
      <c r="E591" s="6"/>
      <c r="F591" s="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5"/>
      <c r="E592" s="6"/>
      <c r="F592" s="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5"/>
      <c r="E593" s="6"/>
      <c r="F593" s="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5"/>
      <c r="E594" s="6"/>
      <c r="F594" s="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5"/>
      <c r="E595" s="6"/>
      <c r="F595" s="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5"/>
      <c r="E596" s="6"/>
      <c r="F596" s="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5"/>
      <c r="E597" s="6"/>
      <c r="F597" s="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5"/>
      <c r="E598" s="6"/>
      <c r="F598" s="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5"/>
      <c r="E599" s="6"/>
      <c r="F599" s="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5"/>
      <c r="E600" s="6"/>
      <c r="F600" s="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5"/>
      <c r="E601" s="6"/>
      <c r="F601" s="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5"/>
      <c r="E602" s="6"/>
      <c r="F602" s="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5"/>
      <c r="E603" s="6"/>
      <c r="F603" s="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5"/>
      <c r="E604" s="6"/>
      <c r="F604" s="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5"/>
      <c r="E605" s="6"/>
      <c r="F605" s="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5"/>
      <c r="E606" s="6"/>
      <c r="F606" s="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5"/>
      <c r="E607" s="6"/>
      <c r="F607" s="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5"/>
      <c r="E608" s="6"/>
      <c r="F608" s="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5"/>
      <c r="E609" s="6"/>
      <c r="F609" s="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5"/>
      <c r="E610" s="6"/>
      <c r="F610" s="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5"/>
      <c r="E611" s="6"/>
      <c r="F611" s="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5"/>
      <c r="E612" s="6"/>
      <c r="F612" s="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5"/>
      <c r="E613" s="6"/>
      <c r="F613" s="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5"/>
      <c r="E614" s="6"/>
      <c r="F614" s="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5"/>
      <c r="E615" s="6"/>
      <c r="F615" s="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5"/>
      <c r="E616" s="6"/>
      <c r="F616" s="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5"/>
      <c r="E617" s="6"/>
      <c r="F617" s="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5"/>
      <c r="E618" s="6"/>
      <c r="F618" s="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5"/>
      <c r="E619" s="6"/>
      <c r="F619" s="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5"/>
      <c r="E620" s="6"/>
      <c r="F620" s="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5"/>
      <c r="E621" s="6"/>
      <c r="F621" s="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5"/>
      <c r="E622" s="6"/>
      <c r="F622" s="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5"/>
      <c r="E623" s="6"/>
      <c r="F623" s="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5"/>
      <c r="E624" s="6"/>
      <c r="F624" s="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5"/>
      <c r="E625" s="6"/>
      <c r="F625" s="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5"/>
      <c r="E626" s="6"/>
      <c r="F626" s="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5"/>
      <c r="E627" s="6"/>
      <c r="F627" s="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5"/>
      <c r="E628" s="6"/>
      <c r="F628" s="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5"/>
      <c r="E629" s="6"/>
      <c r="F629" s="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5"/>
      <c r="E630" s="6"/>
      <c r="F630" s="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5"/>
      <c r="E631" s="6"/>
      <c r="F631" s="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5"/>
      <c r="E632" s="6"/>
      <c r="F632" s="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5"/>
      <c r="E633" s="6"/>
      <c r="F633" s="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5"/>
      <c r="E634" s="6"/>
      <c r="F634" s="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5"/>
      <c r="E635" s="6"/>
      <c r="F635" s="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5"/>
      <c r="E636" s="6"/>
      <c r="F636" s="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5"/>
      <c r="E637" s="6"/>
      <c r="F637" s="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5"/>
      <c r="E638" s="6"/>
      <c r="F638" s="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5"/>
      <c r="E639" s="6"/>
      <c r="F639" s="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5"/>
      <c r="E640" s="6"/>
      <c r="F640" s="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5"/>
      <c r="E641" s="6"/>
      <c r="F641" s="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5"/>
      <c r="E642" s="6"/>
      <c r="F642" s="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5"/>
      <c r="E643" s="6"/>
      <c r="F643" s="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5"/>
      <c r="E644" s="6"/>
      <c r="F644" s="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5"/>
      <c r="E645" s="6"/>
      <c r="F645" s="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5"/>
      <c r="E646" s="6"/>
      <c r="F646" s="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5"/>
      <c r="E647" s="6"/>
      <c r="F647" s="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5"/>
      <c r="E648" s="6"/>
      <c r="F648" s="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5"/>
      <c r="E649" s="6"/>
      <c r="F649" s="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5"/>
      <c r="E650" s="6"/>
      <c r="F650" s="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5"/>
      <c r="E651" s="6"/>
      <c r="F651" s="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5"/>
      <c r="E652" s="6"/>
      <c r="F652" s="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5"/>
      <c r="E653" s="6"/>
      <c r="F653" s="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5"/>
      <c r="E654" s="6"/>
      <c r="F654" s="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5"/>
      <c r="E655" s="6"/>
      <c r="F655" s="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5"/>
      <c r="E656" s="6"/>
      <c r="F656" s="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5"/>
      <c r="E657" s="6"/>
      <c r="F657" s="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5"/>
      <c r="E658" s="6"/>
      <c r="F658" s="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5"/>
      <c r="E659" s="6"/>
      <c r="F659" s="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5"/>
      <c r="E660" s="6"/>
      <c r="F660" s="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5"/>
      <c r="E661" s="6"/>
      <c r="F661" s="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5"/>
      <c r="E662" s="6"/>
      <c r="F662" s="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5"/>
      <c r="E663" s="6"/>
      <c r="F663" s="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5"/>
      <c r="E664" s="6"/>
      <c r="F664" s="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5"/>
      <c r="E665" s="6"/>
      <c r="F665" s="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5"/>
      <c r="E666" s="6"/>
      <c r="F666" s="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5"/>
      <c r="E667" s="6"/>
      <c r="F667" s="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5"/>
      <c r="E668" s="6"/>
      <c r="F668" s="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5"/>
      <c r="E669" s="6"/>
      <c r="F669" s="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5"/>
      <c r="E670" s="6"/>
      <c r="F670" s="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5"/>
      <c r="E671" s="6"/>
      <c r="F671" s="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5"/>
      <c r="E672" s="6"/>
      <c r="F672" s="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5"/>
      <c r="E673" s="6"/>
      <c r="F673" s="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5"/>
      <c r="E674" s="6"/>
      <c r="F674" s="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5"/>
      <c r="E675" s="6"/>
      <c r="F675" s="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5"/>
      <c r="E676" s="6"/>
      <c r="F676" s="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5"/>
      <c r="E677" s="6"/>
      <c r="F677" s="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5"/>
      <c r="E678" s="6"/>
      <c r="F678" s="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5"/>
      <c r="E679" s="6"/>
      <c r="F679" s="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5"/>
      <c r="E680" s="6"/>
      <c r="F680" s="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5"/>
      <c r="E681" s="6"/>
      <c r="F681" s="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5"/>
      <c r="E682" s="6"/>
      <c r="F682" s="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5"/>
      <c r="E683" s="6"/>
      <c r="F683" s="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5"/>
      <c r="E684" s="6"/>
      <c r="F684" s="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5"/>
      <c r="E685" s="6"/>
      <c r="F685" s="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5"/>
      <c r="E686" s="6"/>
      <c r="F686" s="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5"/>
      <c r="E687" s="6"/>
      <c r="F687" s="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5"/>
      <c r="E688" s="6"/>
      <c r="F688" s="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5"/>
      <c r="E689" s="6"/>
      <c r="F689" s="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5"/>
      <c r="E690" s="6"/>
      <c r="F690" s="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5"/>
      <c r="E691" s="6"/>
      <c r="F691" s="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5"/>
      <c r="E692" s="6"/>
      <c r="F692" s="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5"/>
      <c r="E693" s="6"/>
      <c r="F693" s="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5"/>
      <c r="E694" s="6"/>
      <c r="F694" s="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5"/>
      <c r="E695" s="6"/>
      <c r="F695" s="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5"/>
      <c r="E696" s="6"/>
      <c r="F696" s="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5"/>
      <c r="E697" s="6"/>
      <c r="F697" s="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5"/>
      <c r="E698" s="6"/>
      <c r="F698" s="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5"/>
      <c r="E699" s="6"/>
      <c r="F699" s="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5"/>
      <c r="E700" s="6"/>
      <c r="F700" s="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5"/>
      <c r="E701" s="6"/>
      <c r="F701" s="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5"/>
      <c r="E702" s="6"/>
      <c r="F702" s="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5"/>
      <c r="E703" s="6"/>
      <c r="F703" s="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5"/>
      <c r="E704" s="6"/>
      <c r="F704" s="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5"/>
      <c r="E705" s="6"/>
      <c r="F705" s="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5"/>
      <c r="E706" s="6"/>
      <c r="F706" s="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5"/>
      <c r="E707" s="6"/>
      <c r="F707" s="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5"/>
      <c r="E708" s="6"/>
      <c r="F708" s="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5"/>
      <c r="E709" s="6"/>
      <c r="F709" s="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5"/>
      <c r="E710" s="6"/>
      <c r="F710" s="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5"/>
      <c r="E711" s="6"/>
      <c r="F711" s="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5"/>
      <c r="E712" s="6"/>
      <c r="F712" s="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5"/>
      <c r="E713" s="6"/>
      <c r="F713" s="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5"/>
      <c r="E714" s="6"/>
      <c r="F714" s="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5"/>
      <c r="E715" s="6"/>
      <c r="F715" s="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5"/>
      <c r="E716" s="6"/>
      <c r="F716" s="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5"/>
      <c r="E717" s="6"/>
      <c r="F717" s="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5"/>
      <c r="E718" s="6"/>
      <c r="F718" s="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5"/>
      <c r="E719" s="6"/>
      <c r="F719" s="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5"/>
      <c r="E720" s="6"/>
      <c r="F720" s="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5"/>
      <c r="E721" s="6"/>
      <c r="F721" s="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5"/>
      <c r="E722" s="6"/>
      <c r="F722" s="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5"/>
      <c r="E723" s="6"/>
      <c r="F723" s="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5"/>
      <c r="E724" s="6"/>
      <c r="F724" s="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5"/>
      <c r="E725" s="6"/>
      <c r="F725" s="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5"/>
      <c r="E726" s="6"/>
      <c r="F726" s="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5"/>
      <c r="E727" s="6"/>
      <c r="F727" s="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5"/>
      <c r="E728" s="6"/>
      <c r="F728" s="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5"/>
      <c r="E729" s="6"/>
      <c r="F729" s="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5"/>
      <c r="E730" s="6"/>
      <c r="F730" s="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5"/>
      <c r="E731" s="6"/>
      <c r="F731" s="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5"/>
      <c r="E732" s="6"/>
      <c r="F732" s="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5"/>
      <c r="E733" s="6"/>
      <c r="F733" s="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5"/>
      <c r="E734" s="6"/>
      <c r="F734" s="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5"/>
      <c r="E735" s="6"/>
      <c r="F735" s="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5"/>
      <c r="E736" s="6"/>
      <c r="F736" s="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5"/>
      <c r="E737" s="6"/>
      <c r="F737" s="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5"/>
      <c r="E738" s="6"/>
      <c r="F738" s="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5"/>
      <c r="E739" s="6"/>
      <c r="F739" s="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5"/>
      <c r="E740" s="6"/>
      <c r="F740" s="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5"/>
      <c r="E741" s="6"/>
      <c r="F741" s="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5"/>
      <c r="E742" s="6"/>
      <c r="F742" s="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5"/>
      <c r="E743" s="6"/>
      <c r="F743" s="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5"/>
      <c r="E744" s="6"/>
      <c r="F744" s="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5"/>
      <c r="E745" s="6"/>
      <c r="F745" s="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5"/>
      <c r="E746" s="6"/>
      <c r="F746" s="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5"/>
      <c r="E747" s="6"/>
      <c r="F747" s="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5"/>
      <c r="E748" s="6"/>
      <c r="F748" s="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5"/>
      <c r="E749" s="6"/>
      <c r="F749" s="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5"/>
      <c r="E750" s="6"/>
      <c r="F750" s="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5"/>
      <c r="E751" s="6"/>
      <c r="F751" s="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5"/>
      <c r="E752" s="6"/>
      <c r="F752" s="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5"/>
      <c r="E753" s="6"/>
      <c r="F753" s="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5"/>
      <c r="E754" s="6"/>
      <c r="F754" s="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5"/>
      <c r="E755" s="6"/>
      <c r="F755" s="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5"/>
      <c r="E756" s="6"/>
      <c r="F756" s="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5"/>
      <c r="E757" s="6"/>
      <c r="F757" s="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5"/>
      <c r="E758" s="6"/>
      <c r="F758" s="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5"/>
      <c r="E759" s="6"/>
      <c r="F759" s="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5"/>
      <c r="E760" s="6"/>
      <c r="F760" s="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5"/>
      <c r="E761" s="6"/>
      <c r="F761" s="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5"/>
      <c r="E762" s="6"/>
      <c r="F762" s="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5"/>
      <c r="E763" s="6"/>
      <c r="F763" s="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5"/>
      <c r="E764" s="6"/>
      <c r="F764" s="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5"/>
      <c r="E765" s="6"/>
      <c r="F765" s="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5"/>
      <c r="E766" s="6"/>
      <c r="F766" s="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5"/>
      <c r="E767" s="6"/>
      <c r="F767" s="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5"/>
      <c r="E768" s="6"/>
      <c r="F768" s="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5"/>
      <c r="E769" s="6"/>
      <c r="F769" s="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5"/>
      <c r="E770" s="6"/>
      <c r="F770" s="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5"/>
      <c r="E771" s="6"/>
      <c r="F771" s="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5"/>
      <c r="E772" s="6"/>
      <c r="F772" s="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5"/>
      <c r="E773" s="6"/>
      <c r="F773" s="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5"/>
      <c r="E774" s="6"/>
      <c r="F774" s="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5"/>
      <c r="E775" s="6"/>
      <c r="F775" s="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5"/>
      <c r="E776" s="6"/>
      <c r="F776" s="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5"/>
      <c r="E777" s="6"/>
      <c r="F777" s="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5"/>
      <c r="E778" s="6"/>
      <c r="F778" s="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5"/>
      <c r="E779" s="6"/>
      <c r="F779" s="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5"/>
      <c r="E780" s="6"/>
      <c r="F780" s="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5"/>
      <c r="E781" s="6"/>
      <c r="F781" s="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5"/>
      <c r="E782" s="6"/>
      <c r="F782" s="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5"/>
      <c r="E783" s="6"/>
      <c r="F783" s="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5"/>
      <c r="E784" s="6"/>
      <c r="F784" s="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5"/>
      <c r="E785" s="6"/>
      <c r="F785" s="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5"/>
      <c r="E786" s="6"/>
      <c r="F786" s="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5"/>
      <c r="E787" s="6"/>
      <c r="F787" s="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5"/>
      <c r="E788" s="6"/>
      <c r="F788" s="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5"/>
      <c r="E789" s="6"/>
      <c r="F789" s="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5"/>
      <c r="E790" s="6"/>
      <c r="F790" s="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5"/>
      <c r="E791" s="6"/>
      <c r="F791" s="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5"/>
      <c r="E792" s="6"/>
      <c r="F792" s="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5"/>
      <c r="E793" s="6"/>
      <c r="F793" s="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5"/>
      <c r="E794" s="6"/>
      <c r="F794" s="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5"/>
      <c r="E795" s="6"/>
      <c r="F795" s="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5"/>
      <c r="E796" s="6"/>
      <c r="F796" s="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5"/>
      <c r="E797" s="6"/>
      <c r="F797" s="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5"/>
      <c r="E798" s="6"/>
      <c r="F798" s="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5"/>
      <c r="E799" s="6"/>
      <c r="F799" s="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5"/>
      <c r="E800" s="6"/>
      <c r="F800" s="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5"/>
      <c r="E801" s="6"/>
      <c r="F801" s="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5"/>
      <c r="E802" s="6"/>
      <c r="F802" s="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5"/>
      <c r="E803" s="6"/>
      <c r="F803" s="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5"/>
      <c r="E804" s="6"/>
      <c r="F804" s="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5"/>
      <c r="E805" s="6"/>
      <c r="F805" s="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5"/>
      <c r="E806" s="6"/>
      <c r="F806" s="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5"/>
      <c r="E807" s="6"/>
      <c r="F807" s="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5"/>
      <c r="E808" s="6"/>
      <c r="F808" s="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5"/>
      <c r="E809" s="6"/>
      <c r="F809" s="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5"/>
      <c r="E810" s="6"/>
      <c r="F810" s="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5"/>
      <c r="E811" s="6"/>
      <c r="F811" s="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5"/>
      <c r="E812" s="6"/>
      <c r="F812" s="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5"/>
      <c r="E813" s="6"/>
      <c r="F813" s="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5"/>
      <c r="E814" s="6"/>
      <c r="F814" s="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5"/>
      <c r="E815" s="6"/>
      <c r="F815" s="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5"/>
      <c r="E816" s="6"/>
      <c r="F816" s="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5"/>
      <c r="E817" s="6"/>
      <c r="F817" s="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5"/>
      <c r="E818" s="6"/>
      <c r="F818" s="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5"/>
      <c r="E819" s="6"/>
      <c r="F819" s="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5"/>
      <c r="E820" s="6"/>
      <c r="F820" s="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5"/>
      <c r="E821" s="6"/>
      <c r="F821" s="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5"/>
      <c r="E822" s="6"/>
      <c r="F822" s="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5"/>
      <c r="E823" s="6"/>
      <c r="F823" s="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5"/>
      <c r="E824" s="6"/>
      <c r="F824" s="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5"/>
      <c r="E825" s="6"/>
      <c r="F825" s="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5"/>
      <c r="E826" s="6"/>
      <c r="F826" s="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5"/>
      <c r="E827" s="6"/>
      <c r="F827" s="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5"/>
      <c r="E828" s="6"/>
      <c r="F828" s="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5"/>
      <c r="E829" s="6"/>
      <c r="F829" s="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5"/>
      <c r="E830" s="6"/>
      <c r="F830" s="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5"/>
      <c r="E831" s="6"/>
      <c r="F831" s="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5"/>
      <c r="E832" s="6"/>
      <c r="F832" s="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5"/>
      <c r="E833" s="6"/>
      <c r="F833" s="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5"/>
      <c r="E834" s="6"/>
      <c r="F834" s="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5"/>
      <c r="E835" s="6"/>
      <c r="F835" s="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5"/>
      <c r="E836" s="6"/>
      <c r="F836" s="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5"/>
      <c r="E837" s="6"/>
      <c r="F837" s="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5"/>
      <c r="E838" s="6"/>
      <c r="F838" s="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5"/>
      <c r="E839" s="6"/>
      <c r="F839" s="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5"/>
      <c r="E840" s="6"/>
      <c r="F840" s="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5"/>
      <c r="E841" s="6"/>
      <c r="F841" s="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5"/>
      <c r="E842" s="6"/>
      <c r="F842" s="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5"/>
      <c r="E843" s="6"/>
      <c r="F843" s="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5"/>
      <c r="E844" s="6"/>
      <c r="F844" s="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5"/>
      <c r="E845" s="6"/>
      <c r="F845" s="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5"/>
      <c r="E846" s="6"/>
      <c r="F846" s="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5"/>
      <c r="E847" s="6"/>
      <c r="F847" s="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5"/>
      <c r="E848" s="6"/>
      <c r="F848" s="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5"/>
      <c r="E849" s="6"/>
      <c r="F849" s="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5"/>
      <c r="E850" s="6"/>
      <c r="F850" s="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5"/>
      <c r="E851" s="6"/>
      <c r="F851" s="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5"/>
      <c r="E852" s="6"/>
      <c r="F852" s="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5"/>
      <c r="E853" s="6"/>
      <c r="F853" s="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5"/>
      <c r="E854" s="6"/>
      <c r="F854" s="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5"/>
      <c r="E855" s="6"/>
      <c r="F855" s="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5"/>
      <c r="E856" s="6"/>
      <c r="F856" s="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5"/>
      <c r="E857" s="6"/>
      <c r="F857" s="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5"/>
      <c r="E858" s="6"/>
      <c r="F858" s="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5"/>
      <c r="E859" s="6"/>
      <c r="F859" s="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5"/>
      <c r="E860" s="6"/>
      <c r="F860" s="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5"/>
      <c r="E861" s="6"/>
      <c r="F861" s="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5"/>
      <c r="E862" s="6"/>
      <c r="F862" s="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5"/>
      <c r="E863" s="6"/>
      <c r="F863" s="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5"/>
      <c r="E864" s="6"/>
      <c r="F864" s="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5"/>
      <c r="E865" s="6"/>
      <c r="F865" s="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5"/>
      <c r="E866" s="6"/>
      <c r="F866" s="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5"/>
      <c r="E867" s="6"/>
      <c r="F867" s="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5"/>
      <c r="E868" s="6"/>
      <c r="F868" s="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5"/>
      <c r="E869" s="6"/>
      <c r="F869" s="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5"/>
      <c r="E870" s="6"/>
      <c r="F870" s="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5"/>
      <c r="E871" s="6"/>
      <c r="F871" s="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5"/>
      <c r="E872" s="6"/>
      <c r="F872" s="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5"/>
      <c r="E873" s="6"/>
      <c r="F873" s="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5"/>
      <c r="E874" s="6"/>
      <c r="F874" s="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5"/>
      <c r="E875" s="6"/>
      <c r="F875" s="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5"/>
      <c r="E876" s="6"/>
      <c r="F876" s="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5"/>
      <c r="E877" s="6"/>
      <c r="F877" s="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5"/>
      <c r="E878" s="6"/>
      <c r="F878" s="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5"/>
      <c r="E879" s="6"/>
      <c r="F879" s="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5"/>
      <c r="E880" s="6"/>
      <c r="F880" s="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5"/>
      <c r="E881" s="6"/>
      <c r="F881" s="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5"/>
      <c r="E882" s="6"/>
      <c r="F882" s="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5"/>
      <c r="E883" s="6"/>
      <c r="F883" s="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5"/>
      <c r="E884" s="6"/>
      <c r="F884" s="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5"/>
      <c r="E885" s="6"/>
      <c r="F885" s="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5"/>
      <c r="E886" s="6"/>
      <c r="F886" s="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5"/>
      <c r="E887" s="6"/>
      <c r="F887" s="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5"/>
      <c r="E888" s="6"/>
      <c r="F888" s="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5"/>
      <c r="E889" s="6"/>
      <c r="F889" s="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5"/>
      <c r="E890" s="6"/>
      <c r="F890" s="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5"/>
      <c r="E891" s="6"/>
      <c r="F891" s="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5"/>
      <c r="E892" s="6"/>
      <c r="F892" s="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5"/>
      <c r="E893" s="6"/>
      <c r="F893" s="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5"/>
      <c r="E894" s="6"/>
      <c r="F894" s="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5"/>
      <c r="E895" s="6"/>
      <c r="F895" s="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5"/>
      <c r="E896" s="6"/>
      <c r="F896" s="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5"/>
      <c r="E897" s="6"/>
      <c r="F897" s="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5"/>
      <c r="E898" s="6"/>
      <c r="F898" s="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5"/>
      <c r="E899" s="6"/>
      <c r="F899" s="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5"/>
      <c r="E900" s="6"/>
      <c r="F900" s="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5"/>
      <c r="E901" s="6"/>
      <c r="F901" s="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5"/>
      <c r="E902" s="6"/>
      <c r="F902" s="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5"/>
      <c r="E903" s="6"/>
      <c r="F903" s="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5"/>
      <c r="E904" s="6"/>
      <c r="F904" s="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5"/>
      <c r="E905" s="6"/>
      <c r="F905" s="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5"/>
      <c r="E906" s="6"/>
      <c r="F906" s="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5"/>
      <c r="E907" s="6"/>
      <c r="F907" s="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5"/>
      <c r="E908" s="6"/>
      <c r="F908" s="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5"/>
      <c r="E909" s="6"/>
      <c r="F909" s="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5"/>
      <c r="E910" s="6"/>
      <c r="F910" s="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5"/>
      <c r="E911" s="6"/>
      <c r="F911" s="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5"/>
      <c r="E912" s="6"/>
      <c r="F912" s="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5"/>
      <c r="E913" s="6"/>
      <c r="F913" s="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5"/>
      <c r="E914" s="6"/>
      <c r="F914" s="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5"/>
      <c r="E915" s="6"/>
      <c r="F915" s="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5"/>
      <c r="E916" s="6"/>
      <c r="F916" s="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5"/>
      <c r="E917" s="6"/>
      <c r="F917" s="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5"/>
      <c r="E918" s="6"/>
      <c r="F918" s="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5"/>
      <c r="E919" s="6"/>
      <c r="F919" s="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5"/>
      <c r="E920" s="6"/>
      <c r="F920" s="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5"/>
      <c r="E921" s="6"/>
      <c r="F921" s="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5"/>
      <c r="E922" s="6"/>
      <c r="F922" s="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5"/>
      <c r="E923" s="6"/>
      <c r="F923" s="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5"/>
      <c r="E924" s="6"/>
      <c r="F924" s="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5"/>
      <c r="E925" s="6"/>
      <c r="F925" s="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5"/>
      <c r="E926" s="6"/>
      <c r="F926" s="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5"/>
      <c r="E927" s="6"/>
      <c r="F927" s="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5"/>
      <c r="E928" s="6"/>
      <c r="F928" s="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5"/>
      <c r="E929" s="6"/>
      <c r="F929" s="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5"/>
      <c r="E930" s="6"/>
      <c r="F930" s="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5"/>
      <c r="E931" s="6"/>
      <c r="F931" s="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5"/>
      <c r="E932" s="6"/>
      <c r="F932" s="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5"/>
      <c r="E933" s="6"/>
      <c r="F933" s="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5"/>
      <c r="E934" s="6"/>
      <c r="F934" s="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5"/>
      <c r="E935" s="6"/>
      <c r="F935" s="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5"/>
      <c r="E936" s="6"/>
      <c r="F936" s="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5"/>
      <c r="E937" s="6"/>
      <c r="F937" s="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5"/>
      <c r="E938" s="6"/>
      <c r="F938" s="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5"/>
      <c r="E939" s="6"/>
      <c r="F939" s="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5"/>
      <c r="E940" s="6"/>
      <c r="F940" s="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5"/>
      <c r="E941" s="6"/>
      <c r="F941" s="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5"/>
      <c r="E942" s="6"/>
      <c r="F942" s="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5"/>
      <c r="E943" s="6"/>
      <c r="F943" s="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5"/>
      <c r="E944" s="6"/>
      <c r="F944" s="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5"/>
      <c r="E945" s="6"/>
      <c r="F945" s="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5"/>
      <c r="E946" s="6"/>
      <c r="F946" s="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5"/>
      <c r="E947" s="6"/>
      <c r="F947" s="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5"/>
      <c r="E948" s="6"/>
      <c r="F948" s="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5"/>
      <c r="E949" s="6"/>
      <c r="F949" s="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5"/>
      <c r="E950" s="6"/>
      <c r="F950" s="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5"/>
      <c r="E951" s="6"/>
      <c r="F951" s="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5"/>
      <c r="E952" s="6"/>
      <c r="F952" s="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5"/>
      <c r="E953" s="6"/>
      <c r="F953" s="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5"/>
      <c r="E954" s="6"/>
      <c r="F954" s="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5"/>
      <c r="E955" s="6"/>
      <c r="F955" s="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5"/>
      <c r="E956" s="6"/>
      <c r="F956" s="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5"/>
      <c r="E957" s="6"/>
      <c r="F957" s="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5"/>
      <c r="E958" s="6"/>
      <c r="F958" s="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5"/>
      <c r="E959" s="6"/>
      <c r="F959" s="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5"/>
      <c r="E960" s="6"/>
      <c r="F960" s="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5"/>
      <c r="E961" s="6"/>
      <c r="F961" s="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5"/>
      <c r="E962" s="6"/>
      <c r="F962" s="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5"/>
      <c r="E963" s="6"/>
      <c r="F963" s="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5"/>
      <c r="E964" s="6"/>
      <c r="F964" s="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5"/>
      <c r="E965" s="6"/>
      <c r="F965" s="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5"/>
      <c r="E966" s="6"/>
      <c r="F966" s="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5"/>
      <c r="E967" s="6"/>
      <c r="F967" s="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5"/>
      <c r="E968" s="6"/>
      <c r="F968" s="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5"/>
      <c r="E969" s="6"/>
      <c r="F969" s="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5"/>
      <c r="E970" s="6"/>
      <c r="F970" s="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5"/>
      <c r="E971" s="6"/>
      <c r="F971" s="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5"/>
      <c r="E972" s="6"/>
      <c r="F972" s="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5"/>
      <c r="E973" s="6"/>
      <c r="F973" s="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5"/>
      <c r="E974" s="6"/>
      <c r="F974" s="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5"/>
      <c r="E975" s="6"/>
      <c r="F975" s="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5"/>
      <c r="E976" s="6"/>
      <c r="F976" s="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5"/>
      <c r="E977" s="6"/>
      <c r="F977" s="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5"/>
      <c r="E978" s="6"/>
      <c r="F978" s="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5"/>
      <c r="E979" s="6"/>
      <c r="F979" s="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5"/>
      <c r="E980" s="6"/>
      <c r="F980" s="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5"/>
      <c r="E981" s="6"/>
      <c r="F981" s="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5"/>
      <c r="E982" s="6"/>
      <c r="F982" s="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5"/>
      <c r="E983" s="6"/>
      <c r="F983" s="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5"/>
      <c r="E984" s="6"/>
      <c r="F984" s="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5"/>
      <c r="E985" s="6"/>
      <c r="F985" s="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5"/>
      <c r="E986" s="6"/>
      <c r="F986" s="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5"/>
      <c r="E987" s="6"/>
      <c r="F987" s="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5"/>
      <c r="E988" s="6"/>
      <c r="F988" s="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5"/>
      <c r="E989" s="6"/>
      <c r="F989" s="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5"/>
      <c r="E990" s="6"/>
      <c r="F990" s="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5"/>
      <c r="E991" s="6"/>
      <c r="F991" s="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5"/>
      <c r="E992" s="6"/>
      <c r="F992" s="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5"/>
      <c r="E993" s="6"/>
      <c r="F993" s="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5"/>
      <c r="E994" s="6"/>
      <c r="F994" s="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5"/>
      <c r="E995" s="6"/>
      <c r="F995" s="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5"/>
      <c r="E996" s="6"/>
      <c r="F996" s="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5"/>
      <c r="E997" s="6"/>
      <c r="F997" s="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5"/>
      <c r="E998" s="6"/>
      <c r="F998" s="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5"/>
      <c r="E999" s="6"/>
      <c r="F999" s="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" right="0" top="0" bottom="0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2"/>
  <sheetViews>
    <sheetView workbookViewId="0">
      <pane ySplit="1" topLeftCell="A340" activePane="bottomLeft" state="frozen"/>
      <selection pane="bottomLeft" activeCell="I2" sqref="I2:I350"/>
    </sheetView>
  </sheetViews>
  <sheetFormatPr defaultColWidth="14.44140625" defaultRowHeight="15" customHeight="1" x14ac:dyDescent="0.3"/>
  <cols>
    <col min="1" max="1" width="21" customWidth="1"/>
    <col min="2" max="2" width="21.88671875" customWidth="1"/>
    <col min="3" max="3" width="67.109375" customWidth="1"/>
    <col min="4" max="4" width="5.44140625" customWidth="1"/>
    <col min="5" max="5" width="9.33203125" customWidth="1"/>
    <col min="6" max="6" width="14" customWidth="1"/>
    <col min="7" max="7" width="8.6640625" customWidth="1"/>
    <col min="8" max="8" width="1.6640625" customWidth="1"/>
    <col min="9" max="9" width="8.88671875" customWidth="1"/>
    <col min="10" max="10" width="9.33203125" customWidth="1"/>
    <col min="11" max="11" width="8.6640625" customWidth="1"/>
    <col min="12" max="26" width="7.6640625" customWidth="1"/>
  </cols>
  <sheetData>
    <row r="1" spans="1:26" ht="12.75" customHeight="1" x14ac:dyDescent="0.3">
      <c r="A1" s="102" t="s">
        <v>0</v>
      </c>
      <c r="B1" s="102" t="s">
        <v>1</v>
      </c>
      <c r="C1" s="102" t="s">
        <v>2</v>
      </c>
      <c r="D1" s="102" t="s">
        <v>3</v>
      </c>
      <c r="E1" s="103" t="s">
        <v>4</v>
      </c>
      <c r="F1" s="103" t="s">
        <v>6</v>
      </c>
      <c r="G1" s="104" t="s">
        <v>7</v>
      </c>
      <c r="H1" s="105"/>
      <c r="I1" s="104" t="s">
        <v>2026</v>
      </c>
      <c r="J1" s="103" t="s">
        <v>9</v>
      </c>
      <c r="K1" s="104" t="s">
        <v>7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ht="12.75" customHeight="1" x14ac:dyDescent="0.3">
      <c r="A2" s="107" t="s">
        <v>2027</v>
      </c>
      <c r="B2" s="107" t="s">
        <v>2028</v>
      </c>
      <c r="C2" s="107" t="s">
        <v>2029</v>
      </c>
      <c r="D2" s="108" t="s">
        <v>13</v>
      </c>
      <c r="E2" s="109">
        <v>736</v>
      </c>
      <c r="F2" s="109">
        <v>368</v>
      </c>
      <c r="G2" s="110">
        <f t="shared" ref="G2:G69" si="0">1-(F2/E2)</f>
        <v>0.5</v>
      </c>
      <c r="H2" s="107"/>
      <c r="I2" s="110">
        <v>0.4</v>
      </c>
      <c r="J2" s="109">
        <f t="shared" ref="J2:J69" si="1">E2*(1-I2)</f>
        <v>441.59999999999997</v>
      </c>
      <c r="K2" s="110">
        <f t="shared" ref="K2:K69" si="2">1-(F2/J2)</f>
        <v>0.16666666666666663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spans="1:26" ht="12.75" customHeight="1" x14ac:dyDescent="0.3">
      <c r="A3" s="107" t="s">
        <v>2027</v>
      </c>
      <c r="B3" s="107" t="s">
        <v>2030</v>
      </c>
      <c r="C3" s="111" t="s">
        <v>2031</v>
      </c>
      <c r="D3" s="108" t="s">
        <v>13</v>
      </c>
      <c r="E3" s="109">
        <v>976</v>
      </c>
      <c r="F3" s="109">
        <v>488</v>
      </c>
      <c r="G3" s="110">
        <f t="shared" si="0"/>
        <v>0.5</v>
      </c>
      <c r="H3" s="107"/>
      <c r="I3" s="110">
        <v>0.4</v>
      </c>
      <c r="J3" s="109">
        <f t="shared" si="1"/>
        <v>585.6</v>
      </c>
      <c r="K3" s="110">
        <f t="shared" si="2"/>
        <v>0.16666666666666674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 spans="1:26" ht="12.75" customHeight="1" x14ac:dyDescent="0.3">
      <c r="A4" s="107" t="s">
        <v>2027</v>
      </c>
      <c r="B4" s="107" t="s">
        <v>2032</v>
      </c>
      <c r="C4" s="107" t="s">
        <v>2033</v>
      </c>
      <c r="D4" s="108" t="s">
        <v>13</v>
      </c>
      <c r="E4" s="109">
        <v>536</v>
      </c>
      <c r="F4" s="109">
        <v>268</v>
      </c>
      <c r="G4" s="110">
        <f t="shared" si="0"/>
        <v>0.5</v>
      </c>
      <c r="H4" s="107"/>
      <c r="I4" s="110">
        <v>0.4</v>
      </c>
      <c r="J4" s="109">
        <f t="shared" si="1"/>
        <v>321.59999999999997</v>
      </c>
      <c r="K4" s="110">
        <f t="shared" si="2"/>
        <v>0.16666666666666663</v>
      </c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spans="1:26" ht="12.75" customHeight="1" x14ac:dyDescent="0.3">
      <c r="A5" s="107" t="s">
        <v>2027</v>
      </c>
      <c r="B5" s="107" t="s">
        <v>2034</v>
      </c>
      <c r="C5" s="107" t="s">
        <v>2035</v>
      </c>
      <c r="D5" s="108" t="s">
        <v>13</v>
      </c>
      <c r="E5" s="109">
        <v>776</v>
      </c>
      <c r="F5" s="109">
        <v>388</v>
      </c>
      <c r="G5" s="110">
        <f t="shared" si="0"/>
        <v>0.5</v>
      </c>
      <c r="H5" s="107"/>
      <c r="I5" s="110">
        <v>0.4</v>
      </c>
      <c r="J5" s="109">
        <f t="shared" si="1"/>
        <v>465.59999999999997</v>
      </c>
      <c r="K5" s="110">
        <f t="shared" si="2"/>
        <v>0.16666666666666663</v>
      </c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spans="1:26" ht="12.75" customHeight="1" x14ac:dyDescent="0.3">
      <c r="A6" s="107" t="s">
        <v>2027</v>
      </c>
      <c r="B6" s="107" t="s">
        <v>2036</v>
      </c>
      <c r="C6" s="107" t="s">
        <v>2037</v>
      </c>
      <c r="D6" s="108" t="s">
        <v>13</v>
      </c>
      <c r="E6" s="109">
        <v>1100</v>
      </c>
      <c r="F6" s="109">
        <v>550</v>
      </c>
      <c r="G6" s="110">
        <f t="shared" si="0"/>
        <v>0.5</v>
      </c>
      <c r="H6" s="107"/>
      <c r="I6" s="110">
        <v>0.4</v>
      </c>
      <c r="J6" s="109">
        <f t="shared" si="1"/>
        <v>660</v>
      </c>
      <c r="K6" s="110">
        <f t="shared" si="2"/>
        <v>0.16666666666666663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 spans="1:26" ht="12.75" customHeight="1" x14ac:dyDescent="0.3">
      <c r="A7" s="107" t="s">
        <v>2027</v>
      </c>
      <c r="B7" s="107" t="s">
        <v>2038</v>
      </c>
      <c r="C7" s="107" t="s">
        <v>2039</v>
      </c>
      <c r="D7" s="108" t="s">
        <v>13</v>
      </c>
      <c r="E7" s="109">
        <v>1340</v>
      </c>
      <c r="F7" s="109">
        <v>670</v>
      </c>
      <c r="G7" s="110">
        <f t="shared" si="0"/>
        <v>0.5</v>
      </c>
      <c r="H7" s="107"/>
      <c r="I7" s="110">
        <v>0.4</v>
      </c>
      <c r="J7" s="109">
        <f t="shared" si="1"/>
        <v>804</v>
      </c>
      <c r="K7" s="110">
        <f t="shared" si="2"/>
        <v>0.16666666666666663</v>
      </c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 spans="1:26" ht="12.75" customHeight="1" x14ac:dyDescent="0.3">
      <c r="A8" s="107" t="s">
        <v>2027</v>
      </c>
      <c r="B8" s="107" t="s">
        <v>2040</v>
      </c>
      <c r="C8" s="107" t="s">
        <v>2041</v>
      </c>
      <c r="D8" s="108" t="s">
        <v>13</v>
      </c>
      <c r="E8" s="109">
        <v>900</v>
      </c>
      <c r="F8" s="109">
        <v>450</v>
      </c>
      <c r="G8" s="110">
        <f t="shared" si="0"/>
        <v>0.5</v>
      </c>
      <c r="H8" s="107"/>
      <c r="I8" s="110">
        <v>0.4</v>
      </c>
      <c r="J8" s="109">
        <f t="shared" si="1"/>
        <v>540</v>
      </c>
      <c r="K8" s="110">
        <f t="shared" si="2"/>
        <v>0.16666666666666663</v>
      </c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spans="1:26" ht="12.75" customHeight="1" x14ac:dyDescent="0.3">
      <c r="A9" s="107" t="s">
        <v>2027</v>
      </c>
      <c r="B9" s="107" t="s">
        <v>2042</v>
      </c>
      <c r="C9" s="107" t="s">
        <v>2043</v>
      </c>
      <c r="D9" s="108" t="s">
        <v>13</v>
      </c>
      <c r="E9" s="109">
        <v>1140</v>
      </c>
      <c r="F9" s="109">
        <v>570</v>
      </c>
      <c r="G9" s="110">
        <f t="shared" si="0"/>
        <v>0.5</v>
      </c>
      <c r="H9" s="107"/>
      <c r="I9" s="110">
        <v>0.4</v>
      </c>
      <c r="J9" s="109">
        <f t="shared" si="1"/>
        <v>684</v>
      </c>
      <c r="K9" s="110">
        <f t="shared" si="2"/>
        <v>0.16666666666666663</v>
      </c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spans="1:26" ht="12.75" customHeight="1" x14ac:dyDescent="0.3">
      <c r="A10" s="107" t="s">
        <v>2027</v>
      </c>
      <c r="B10" s="107" t="s">
        <v>2044</v>
      </c>
      <c r="C10" s="107" t="s">
        <v>2045</v>
      </c>
      <c r="D10" s="108" t="s">
        <v>13</v>
      </c>
      <c r="E10" s="109">
        <v>804</v>
      </c>
      <c r="F10" s="109">
        <v>402</v>
      </c>
      <c r="G10" s="110">
        <f t="shared" si="0"/>
        <v>0.5</v>
      </c>
      <c r="H10" s="107"/>
      <c r="I10" s="110">
        <v>0.4</v>
      </c>
      <c r="J10" s="109">
        <f t="shared" si="1"/>
        <v>482.4</v>
      </c>
      <c r="K10" s="110">
        <f t="shared" si="2"/>
        <v>0.16666666666666663</v>
      </c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spans="1:26" ht="12.75" customHeight="1" x14ac:dyDescent="0.3">
      <c r="A11" s="107" t="s">
        <v>2027</v>
      </c>
      <c r="B11" s="107" t="s">
        <v>2046</v>
      </c>
      <c r="C11" s="107" t="s">
        <v>2047</v>
      </c>
      <c r="D11" s="108" t="s">
        <v>13</v>
      </c>
      <c r="E11" s="109">
        <v>1044</v>
      </c>
      <c r="F11" s="109">
        <v>522</v>
      </c>
      <c r="G11" s="110">
        <f t="shared" si="0"/>
        <v>0.5</v>
      </c>
      <c r="H11" s="107"/>
      <c r="I11" s="110">
        <v>0.4</v>
      </c>
      <c r="J11" s="109">
        <f t="shared" si="1"/>
        <v>626.4</v>
      </c>
      <c r="K11" s="110">
        <f t="shared" si="2"/>
        <v>0.16666666666666663</v>
      </c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spans="1:26" ht="12.75" customHeight="1" x14ac:dyDescent="0.3">
      <c r="A12" s="107" t="s">
        <v>2027</v>
      </c>
      <c r="B12" s="107" t="s">
        <v>2048</v>
      </c>
      <c r="C12" s="107" t="s">
        <v>2049</v>
      </c>
      <c r="D12" s="108" t="s">
        <v>13</v>
      </c>
      <c r="E12" s="109">
        <v>604</v>
      </c>
      <c r="F12" s="109">
        <v>302</v>
      </c>
      <c r="G12" s="110">
        <f t="shared" si="0"/>
        <v>0.5</v>
      </c>
      <c r="H12" s="107"/>
      <c r="I12" s="110">
        <v>0.4</v>
      </c>
      <c r="J12" s="109">
        <f t="shared" si="1"/>
        <v>362.4</v>
      </c>
      <c r="K12" s="110">
        <f t="shared" si="2"/>
        <v>0.16666666666666663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spans="1:26" ht="12.75" customHeight="1" x14ac:dyDescent="0.3">
      <c r="A13" s="107" t="s">
        <v>2027</v>
      </c>
      <c r="B13" s="107" t="s">
        <v>2050</v>
      </c>
      <c r="C13" s="111" t="s">
        <v>2051</v>
      </c>
      <c r="D13" s="108" t="s">
        <v>13</v>
      </c>
      <c r="E13" s="109">
        <v>844</v>
      </c>
      <c r="F13" s="109">
        <v>422</v>
      </c>
      <c r="G13" s="110">
        <f t="shared" si="0"/>
        <v>0.5</v>
      </c>
      <c r="H13" s="107"/>
      <c r="I13" s="110">
        <v>0.4</v>
      </c>
      <c r="J13" s="109">
        <f t="shared" si="1"/>
        <v>506.4</v>
      </c>
      <c r="K13" s="110">
        <f t="shared" si="2"/>
        <v>0.16666666666666663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spans="1:26" ht="12.75" customHeight="1" x14ac:dyDescent="0.3">
      <c r="A14" s="107" t="s">
        <v>2027</v>
      </c>
      <c r="B14" s="107" t="s">
        <v>2052</v>
      </c>
      <c r="C14" s="107" t="s">
        <v>2053</v>
      </c>
      <c r="D14" s="108" t="s">
        <v>13</v>
      </c>
      <c r="E14" s="109">
        <v>804</v>
      </c>
      <c r="F14" s="109">
        <v>402</v>
      </c>
      <c r="G14" s="110">
        <f t="shared" si="0"/>
        <v>0.5</v>
      </c>
      <c r="H14" s="107"/>
      <c r="I14" s="110">
        <v>0.4</v>
      </c>
      <c r="J14" s="109">
        <f t="shared" si="1"/>
        <v>482.4</v>
      </c>
      <c r="K14" s="110">
        <f t="shared" si="2"/>
        <v>0.16666666666666663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 spans="1:26" ht="12.75" customHeight="1" x14ac:dyDescent="0.3">
      <c r="A15" s="107" t="s">
        <v>2027</v>
      </c>
      <c r="B15" s="107" t="s">
        <v>2054</v>
      </c>
      <c r="C15" s="111" t="s">
        <v>2055</v>
      </c>
      <c r="D15" s="108" t="s">
        <v>13</v>
      </c>
      <c r="E15" s="109">
        <v>1044</v>
      </c>
      <c r="F15" s="109">
        <v>522</v>
      </c>
      <c r="G15" s="110">
        <f t="shared" si="0"/>
        <v>0.5</v>
      </c>
      <c r="H15" s="107"/>
      <c r="I15" s="110">
        <v>0.4</v>
      </c>
      <c r="J15" s="109">
        <f t="shared" si="1"/>
        <v>626.4</v>
      </c>
      <c r="K15" s="110">
        <f t="shared" si="2"/>
        <v>0.16666666666666663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spans="1:26" ht="12.75" customHeight="1" x14ac:dyDescent="0.3">
      <c r="A16" s="107" t="s">
        <v>2027</v>
      </c>
      <c r="B16" s="107" t="s">
        <v>2056</v>
      </c>
      <c r="C16" s="107" t="s">
        <v>2057</v>
      </c>
      <c r="D16" s="108" t="s">
        <v>13</v>
      </c>
      <c r="E16" s="109">
        <v>736</v>
      </c>
      <c r="F16" s="109">
        <v>368</v>
      </c>
      <c r="G16" s="110">
        <f t="shared" si="0"/>
        <v>0.5</v>
      </c>
      <c r="H16" s="107"/>
      <c r="I16" s="110">
        <v>0.4</v>
      </c>
      <c r="J16" s="109">
        <f t="shared" si="1"/>
        <v>441.59999999999997</v>
      </c>
      <c r="K16" s="110">
        <f t="shared" si="2"/>
        <v>0.16666666666666663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 spans="1:26" ht="12.75" customHeight="1" x14ac:dyDescent="0.3">
      <c r="A17" s="107" t="s">
        <v>2027</v>
      </c>
      <c r="B17" s="107" t="s">
        <v>2058</v>
      </c>
      <c r="C17" s="107" t="s">
        <v>2059</v>
      </c>
      <c r="D17" s="108" t="s">
        <v>13</v>
      </c>
      <c r="E17" s="109">
        <v>976</v>
      </c>
      <c r="F17" s="109">
        <v>488</v>
      </c>
      <c r="G17" s="110">
        <f t="shared" si="0"/>
        <v>0.5</v>
      </c>
      <c r="H17" s="107"/>
      <c r="I17" s="110">
        <v>0.4</v>
      </c>
      <c r="J17" s="109">
        <f t="shared" si="1"/>
        <v>585.6</v>
      </c>
      <c r="K17" s="110">
        <f t="shared" si="2"/>
        <v>0.16666666666666674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 spans="1:26" ht="12.75" customHeight="1" x14ac:dyDescent="0.3">
      <c r="A18" s="107" t="s">
        <v>2027</v>
      </c>
      <c r="B18" s="107" t="s">
        <v>2060</v>
      </c>
      <c r="C18" s="107" t="s">
        <v>2033</v>
      </c>
      <c r="D18" s="108" t="s">
        <v>13</v>
      </c>
      <c r="E18" s="109">
        <v>536</v>
      </c>
      <c r="F18" s="109">
        <v>268</v>
      </c>
      <c r="G18" s="110">
        <f t="shared" si="0"/>
        <v>0.5</v>
      </c>
      <c r="H18" s="107"/>
      <c r="I18" s="110">
        <v>0.4</v>
      </c>
      <c r="J18" s="109">
        <f t="shared" si="1"/>
        <v>321.59999999999997</v>
      </c>
      <c r="K18" s="110">
        <f t="shared" si="2"/>
        <v>0.16666666666666663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 spans="1:26" ht="12.75" customHeight="1" x14ac:dyDescent="0.3">
      <c r="A19" s="107" t="s">
        <v>2027</v>
      </c>
      <c r="B19" s="107" t="s">
        <v>2061</v>
      </c>
      <c r="C19" s="107" t="s">
        <v>2035</v>
      </c>
      <c r="D19" s="108" t="s">
        <v>13</v>
      </c>
      <c r="E19" s="109">
        <v>776</v>
      </c>
      <c r="F19" s="109">
        <v>388</v>
      </c>
      <c r="G19" s="110">
        <f t="shared" si="0"/>
        <v>0.5</v>
      </c>
      <c r="H19" s="107"/>
      <c r="I19" s="110">
        <v>0.4</v>
      </c>
      <c r="J19" s="109">
        <f t="shared" si="1"/>
        <v>465.59999999999997</v>
      </c>
      <c r="K19" s="110">
        <f t="shared" si="2"/>
        <v>0.16666666666666663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 spans="1:26" ht="12.75" customHeight="1" x14ac:dyDescent="0.3">
      <c r="A20" s="107" t="s">
        <v>2027</v>
      </c>
      <c r="B20" s="107" t="s">
        <v>2062</v>
      </c>
      <c r="C20" s="107" t="s">
        <v>2063</v>
      </c>
      <c r="D20" s="108" t="s">
        <v>13</v>
      </c>
      <c r="E20" s="109">
        <v>736</v>
      </c>
      <c r="F20" s="109">
        <v>368</v>
      </c>
      <c r="G20" s="110">
        <f t="shared" si="0"/>
        <v>0.5</v>
      </c>
      <c r="H20" s="107"/>
      <c r="I20" s="110">
        <v>0.4</v>
      </c>
      <c r="J20" s="109">
        <f t="shared" si="1"/>
        <v>441.59999999999997</v>
      </c>
      <c r="K20" s="110">
        <f t="shared" si="2"/>
        <v>0.16666666666666663</v>
      </c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spans="1:26" ht="12.75" customHeight="1" x14ac:dyDescent="0.3">
      <c r="A21" s="107" t="s">
        <v>2027</v>
      </c>
      <c r="B21" s="107" t="s">
        <v>2064</v>
      </c>
      <c r="C21" s="111" t="s">
        <v>2065</v>
      </c>
      <c r="D21" s="108" t="s">
        <v>13</v>
      </c>
      <c r="E21" s="109">
        <v>976</v>
      </c>
      <c r="F21" s="109">
        <v>488</v>
      </c>
      <c r="G21" s="110">
        <f t="shared" si="0"/>
        <v>0.5</v>
      </c>
      <c r="H21" s="107"/>
      <c r="I21" s="110">
        <v>0.4</v>
      </c>
      <c r="J21" s="109">
        <f t="shared" si="1"/>
        <v>585.6</v>
      </c>
      <c r="K21" s="110">
        <f t="shared" si="2"/>
        <v>0.16666666666666674</v>
      </c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 spans="1:26" ht="12.75" customHeight="1" x14ac:dyDescent="0.3">
      <c r="A22" s="107" t="s">
        <v>2027</v>
      </c>
      <c r="B22" s="107" t="s">
        <v>2066</v>
      </c>
      <c r="C22" s="111" t="s">
        <v>2067</v>
      </c>
      <c r="D22" s="108" t="s">
        <v>13</v>
      </c>
      <c r="E22" s="109">
        <v>776</v>
      </c>
      <c r="F22" s="109">
        <v>388</v>
      </c>
      <c r="G22" s="110">
        <f t="shared" si="0"/>
        <v>0.5</v>
      </c>
      <c r="H22" s="107"/>
      <c r="I22" s="110">
        <v>0.4</v>
      </c>
      <c r="J22" s="109">
        <f t="shared" si="1"/>
        <v>465.59999999999997</v>
      </c>
      <c r="K22" s="110">
        <f t="shared" si="2"/>
        <v>0.16666666666666663</v>
      </c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 spans="1:26" ht="12.75" customHeight="1" x14ac:dyDescent="0.3">
      <c r="A23" s="107" t="s">
        <v>2027</v>
      </c>
      <c r="B23" s="107" t="s">
        <v>2068</v>
      </c>
      <c r="C23" s="107" t="s">
        <v>2069</v>
      </c>
      <c r="D23" s="108" t="s">
        <v>13</v>
      </c>
      <c r="E23" s="109">
        <v>692</v>
      </c>
      <c r="F23" s="109">
        <v>346</v>
      </c>
      <c r="G23" s="110">
        <f t="shared" si="0"/>
        <v>0.5</v>
      </c>
      <c r="H23" s="107"/>
      <c r="I23" s="110">
        <v>0.4</v>
      </c>
      <c r="J23" s="109">
        <f t="shared" si="1"/>
        <v>415.2</v>
      </c>
      <c r="K23" s="110">
        <f t="shared" si="2"/>
        <v>0.16666666666666663</v>
      </c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spans="1:26" ht="12.75" customHeight="1" x14ac:dyDescent="0.3">
      <c r="A24" s="107" t="s">
        <v>2027</v>
      </c>
      <c r="B24" s="107" t="s">
        <v>2070</v>
      </c>
      <c r="C24" s="107" t="s">
        <v>2069</v>
      </c>
      <c r="D24" s="108" t="s">
        <v>13</v>
      </c>
      <c r="E24" s="109">
        <v>932</v>
      </c>
      <c r="F24" s="109">
        <v>466</v>
      </c>
      <c r="G24" s="110">
        <f t="shared" si="0"/>
        <v>0.5</v>
      </c>
      <c r="H24" s="107"/>
      <c r="I24" s="110">
        <v>0.4</v>
      </c>
      <c r="J24" s="109">
        <f t="shared" si="1"/>
        <v>559.19999999999993</v>
      </c>
      <c r="K24" s="110">
        <f t="shared" si="2"/>
        <v>0.16666666666666652</v>
      </c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 spans="1:26" ht="12.75" customHeight="1" x14ac:dyDescent="0.3">
      <c r="A25" s="107" t="s">
        <v>2027</v>
      </c>
      <c r="B25" s="107" t="s">
        <v>2071</v>
      </c>
      <c r="C25" s="107" t="s">
        <v>2072</v>
      </c>
      <c r="D25" s="108" t="s">
        <v>13</v>
      </c>
      <c r="E25" s="109">
        <v>492</v>
      </c>
      <c r="F25" s="109">
        <v>246</v>
      </c>
      <c r="G25" s="110">
        <f t="shared" si="0"/>
        <v>0.5</v>
      </c>
      <c r="H25" s="107"/>
      <c r="I25" s="110">
        <v>0.4</v>
      </c>
      <c r="J25" s="109">
        <f t="shared" si="1"/>
        <v>295.2</v>
      </c>
      <c r="K25" s="110">
        <f t="shared" si="2"/>
        <v>0.16666666666666663</v>
      </c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 spans="1:26" ht="12.75" customHeight="1" x14ac:dyDescent="0.3">
      <c r="A26" s="107" t="s">
        <v>2027</v>
      </c>
      <c r="B26" s="107" t="s">
        <v>2073</v>
      </c>
      <c r="C26" s="107" t="s">
        <v>2072</v>
      </c>
      <c r="D26" s="108" t="s">
        <v>13</v>
      </c>
      <c r="E26" s="109">
        <v>732</v>
      </c>
      <c r="F26" s="109">
        <v>366</v>
      </c>
      <c r="G26" s="110">
        <f t="shared" si="0"/>
        <v>0.5</v>
      </c>
      <c r="H26" s="107"/>
      <c r="I26" s="110">
        <v>0.4</v>
      </c>
      <c r="J26" s="109">
        <f t="shared" si="1"/>
        <v>439.2</v>
      </c>
      <c r="K26" s="110">
        <f t="shared" si="2"/>
        <v>0.16666666666666663</v>
      </c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 spans="1:26" ht="12.75" customHeight="1" x14ac:dyDescent="0.3">
      <c r="A27" s="107" t="s">
        <v>2027</v>
      </c>
      <c r="B27" s="107" t="s">
        <v>2074</v>
      </c>
      <c r="C27" s="107" t="s">
        <v>2075</v>
      </c>
      <c r="D27" s="108" t="s">
        <v>13</v>
      </c>
      <c r="E27" s="109">
        <v>692</v>
      </c>
      <c r="F27" s="109">
        <v>346</v>
      </c>
      <c r="G27" s="110">
        <f t="shared" si="0"/>
        <v>0.5</v>
      </c>
      <c r="H27" s="107"/>
      <c r="I27" s="110">
        <v>0.4</v>
      </c>
      <c r="J27" s="109">
        <f t="shared" si="1"/>
        <v>415.2</v>
      </c>
      <c r="K27" s="110">
        <f t="shared" si="2"/>
        <v>0.16666666666666663</v>
      </c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spans="1:26" ht="12.75" customHeight="1" x14ac:dyDescent="0.3">
      <c r="A28" s="107" t="s">
        <v>2027</v>
      </c>
      <c r="B28" s="107" t="s">
        <v>2076</v>
      </c>
      <c r="C28" s="107" t="s">
        <v>2075</v>
      </c>
      <c r="D28" s="108" t="s">
        <v>13</v>
      </c>
      <c r="E28" s="109">
        <v>932</v>
      </c>
      <c r="F28" s="109">
        <v>466</v>
      </c>
      <c r="G28" s="110">
        <f t="shared" si="0"/>
        <v>0.5</v>
      </c>
      <c r="H28" s="107"/>
      <c r="I28" s="110">
        <v>0.4</v>
      </c>
      <c r="J28" s="109">
        <f t="shared" si="1"/>
        <v>559.19999999999993</v>
      </c>
      <c r="K28" s="110">
        <f t="shared" si="2"/>
        <v>0.16666666666666652</v>
      </c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 spans="1:26" ht="12.75" customHeight="1" x14ac:dyDescent="0.3">
      <c r="A29" s="107" t="s">
        <v>2027</v>
      </c>
      <c r="B29" s="107" t="s">
        <v>2077</v>
      </c>
      <c r="C29" s="107" t="s">
        <v>2078</v>
      </c>
      <c r="D29" s="108" t="s">
        <v>13</v>
      </c>
      <c r="E29" s="109">
        <v>492</v>
      </c>
      <c r="F29" s="109">
        <v>246</v>
      </c>
      <c r="G29" s="110">
        <f t="shared" si="0"/>
        <v>0.5</v>
      </c>
      <c r="H29" s="107"/>
      <c r="I29" s="110">
        <v>0.4</v>
      </c>
      <c r="J29" s="109">
        <f t="shared" si="1"/>
        <v>295.2</v>
      </c>
      <c r="K29" s="110">
        <f t="shared" si="2"/>
        <v>0.16666666666666663</v>
      </c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 spans="1:26" ht="12.75" customHeight="1" x14ac:dyDescent="0.3">
      <c r="A30" s="107" t="s">
        <v>2027</v>
      </c>
      <c r="B30" s="107" t="s">
        <v>2079</v>
      </c>
      <c r="C30" s="107" t="s">
        <v>2078</v>
      </c>
      <c r="D30" s="108" t="s">
        <v>13</v>
      </c>
      <c r="E30" s="109">
        <v>732</v>
      </c>
      <c r="F30" s="109">
        <v>366</v>
      </c>
      <c r="G30" s="110">
        <f t="shared" si="0"/>
        <v>0.5</v>
      </c>
      <c r="H30" s="107"/>
      <c r="I30" s="110">
        <v>0.4</v>
      </c>
      <c r="J30" s="109">
        <f t="shared" si="1"/>
        <v>439.2</v>
      </c>
      <c r="K30" s="110">
        <f t="shared" si="2"/>
        <v>0.16666666666666663</v>
      </c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spans="1:26" ht="12.75" customHeight="1" x14ac:dyDescent="0.3">
      <c r="A31" s="107" t="s">
        <v>2027</v>
      </c>
      <c r="B31" s="107" t="s">
        <v>2080</v>
      </c>
      <c r="C31" s="107" t="s">
        <v>2081</v>
      </c>
      <c r="D31" s="108" t="s">
        <v>13</v>
      </c>
      <c r="E31" s="109">
        <v>590</v>
      </c>
      <c r="F31" s="109">
        <v>295</v>
      </c>
      <c r="G31" s="110">
        <f t="shared" si="0"/>
        <v>0.5</v>
      </c>
      <c r="H31" s="107"/>
      <c r="I31" s="110">
        <v>0.4</v>
      </c>
      <c r="J31" s="109">
        <f t="shared" si="1"/>
        <v>354</v>
      </c>
      <c r="K31" s="110">
        <f t="shared" si="2"/>
        <v>0.16666666666666663</v>
      </c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spans="1:26" ht="12.75" customHeight="1" x14ac:dyDescent="0.3">
      <c r="A32" s="107" t="s">
        <v>2027</v>
      </c>
      <c r="B32" s="107" t="s">
        <v>2082</v>
      </c>
      <c r="C32" s="107" t="s">
        <v>2083</v>
      </c>
      <c r="D32" s="108" t="s">
        <v>13</v>
      </c>
      <c r="E32" s="109">
        <v>830</v>
      </c>
      <c r="F32" s="109">
        <v>415</v>
      </c>
      <c r="G32" s="110">
        <f t="shared" si="0"/>
        <v>0.5</v>
      </c>
      <c r="H32" s="107"/>
      <c r="I32" s="110">
        <v>0.4</v>
      </c>
      <c r="J32" s="109">
        <f t="shared" si="1"/>
        <v>498</v>
      </c>
      <c r="K32" s="110">
        <f t="shared" si="2"/>
        <v>0.16666666666666663</v>
      </c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 spans="1:26" ht="12.75" customHeight="1" x14ac:dyDescent="0.3">
      <c r="A33" s="107" t="s">
        <v>2027</v>
      </c>
      <c r="B33" s="107" t="s">
        <v>2084</v>
      </c>
      <c r="C33" s="107" t="s">
        <v>2083</v>
      </c>
      <c r="D33" s="108" t="s">
        <v>13</v>
      </c>
      <c r="E33" s="109">
        <v>390</v>
      </c>
      <c r="F33" s="109">
        <v>195</v>
      </c>
      <c r="G33" s="110">
        <f t="shared" si="0"/>
        <v>0.5</v>
      </c>
      <c r="H33" s="107"/>
      <c r="I33" s="110">
        <v>0.4</v>
      </c>
      <c r="J33" s="109">
        <f t="shared" si="1"/>
        <v>234</v>
      </c>
      <c r="K33" s="110">
        <f t="shared" si="2"/>
        <v>0.16666666666666663</v>
      </c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 spans="1:26" ht="12.75" customHeight="1" x14ac:dyDescent="0.3">
      <c r="A34" s="107" t="s">
        <v>2027</v>
      </c>
      <c r="B34" s="107" t="s">
        <v>2085</v>
      </c>
      <c r="C34" s="107" t="s">
        <v>2086</v>
      </c>
      <c r="D34" s="108" t="s">
        <v>13</v>
      </c>
      <c r="E34" s="109">
        <v>630</v>
      </c>
      <c r="F34" s="109">
        <v>315</v>
      </c>
      <c r="G34" s="110">
        <f t="shared" si="0"/>
        <v>0.5</v>
      </c>
      <c r="H34" s="107"/>
      <c r="I34" s="110">
        <v>0.4</v>
      </c>
      <c r="J34" s="109">
        <f t="shared" si="1"/>
        <v>378</v>
      </c>
      <c r="K34" s="110">
        <f t="shared" si="2"/>
        <v>0.16666666666666663</v>
      </c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 spans="1:26" ht="12.75" customHeight="1" x14ac:dyDescent="0.3">
      <c r="A35" s="107" t="s">
        <v>2027</v>
      </c>
      <c r="B35" s="107" t="s">
        <v>2087</v>
      </c>
      <c r="C35" s="107" t="s">
        <v>2088</v>
      </c>
      <c r="D35" s="108" t="s">
        <v>13</v>
      </c>
      <c r="E35" s="109">
        <v>638</v>
      </c>
      <c r="F35" s="109">
        <v>319</v>
      </c>
      <c r="G35" s="110">
        <f t="shared" si="0"/>
        <v>0.5</v>
      </c>
      <c r="H35" s="107"/>
      <c r="I35" s="110">
        <v>0.4</v>
      </c>
      <c r="J35" s="109">
        <f t="shared" si="1"/>
        <v>382.8</v>
      </c>
      <c r="K35" s="110">
        <f t="shared" si="2"/>
        <v>0.16666666666666674</v>
      </c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spans="1:26" ht="12.75" customHeight="1" x14ac:dyDescent="0.3">
      <c r="A36" s="107" t="s">
        <v>2027</v>
      </c>
      <c r="B36" s="107" t="s">
        <v>2089</v>
      </c>
      <c r="C36" s="107" t="s">
        <v>2088</v>
      </c>
      <c r="D36" s="108" t="s">
        <v>13</v>
      </c>
      <c r="E36" s="109">
        <v>878</v>
      </c>
      <c r="F36" s="109">
        <v>439</v>
      </c>
      <c r="G36" s="110">
        <f t="shared" si="0"/>
        <v>0.5</v>
      </c>
      <c r="H36" s="107"/>
      <c r="I36" s="110">
        <v>0.4</v>
      </c>
      <c r="J36" s="109">
        <f t="shared" si="1"/>
        <v>526.79999999999995</v>
      </c>
      <c r="K36" s="110">
        <f t="shared" si="2"/>
        <v>0.16666666666666663</v>
      </c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 spans="1:26" ht="12.75" customHeight="1" x14ac:dyDescent="0.3">
      <c r="A37" s="107" t="s">
        <v>2027</v>
      </c>
      <c r="B37" s="107" t="s">
        <v>2090</v>
      </c>
      <c r="C37" s="107" t="s">
        <v>2091</v>
      </c>
      <c r="D37" s="108" t="s">
        <v>13</v>
      </c>
      <c r="E37" s="109">
        <v>438</v>
      </c>
      <c r="F37" s="109">
        <v>219</v>
      </c>
      <c r="G37" s="110">
        <f t="shared" si="0"/>
        <v>0.5</v>
      </c>
      <c r="H37" s="107"/>
      <c r="I37" s="110">
        <v>0.4</v>
      </c>
      <c r="J37" s="109">
        <f t="shared" si="1"/>
        <v>262.8</v>
      </c>
      <c r="K37" s="110">
        <f t="shared" si="2"/>
        <v>0.16666666666666674</v>
      </c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 spans="1:26" ht="12.75" customHeight="1" x14ac:dyDescent="0.3">
      <c r="A38" s="107" t="s">
        <v>2027</v>
      </c>
      <c r="B38" s="107" t="s">
        <v>2092</v>
      </c>
      <c r="C38" s="111" t="s">
        <v>2093</v>
      </c>
      <c r="D38" s="108" t="s">
        <v>13</v>
      </c>
      <c r="E38" s="109">
        <v>678</v>
      </c>
      <c r="F38" s="109">
        <v>339</v>
      </c>
      <c r="G38" s="110">
        <f t="shared" si="0"/>
        <v>0.5</v>
      </c>
      <c r="H38" s="107"/>
      <c r="I38" s="110">
        <v>0.4</v>
      </c>
      <c r="J38" s="109">
        <f t="shared" si="1"/>
        <v>406.8</v>
      </c>
      <c r="K38" s="110">
        <f t="shared" si="2"/>
        <v>0.16666666666666674</v>
      </c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spans="1:26" ht="12.75" customHeight="1" x14ac:dyDescent="0.3">
      <c r="A39" s="107" t="s">
        <v>2027</v>
      </c>
      <c r="B39" s="107" t="s">
        <v>2094</v>
      </c>
      <c r="C39" s="107" t="s">
        <v>2095</v>
      </c>
      <c r="D39" s="108" t="s">
        <v>13</v>
      </c>
      <c r="E39" s="109">
        <v>460</v>
      </c>
      <c r="F39" s="109">
        <v>230</v>
      </c>
      <c r="G39" s="110">
        <f t="shared" si="0"/>
        <v>0.5</v>
      </c>
      <c r="H39" s="107"/>
      <c r="I39" s="110">
        <v>0.4</v>
      </c>
      <c r="J39" s="109">
        <f t="shared" si="1"/>
        <v>276</v>
      </c>
      <c r="K39" s="110">
        <f t="shared" si="2"/>
        <v>0.16666666666666663</v>
      </c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 spans="1:26" ht="12.75" customHeight="1" x14ac:dyDescent="0.3">
      <c r="A40" s="107" t="s">
        <v>2027</v>
      </c>
      <c r="B40" s="107" t="s">
        <v>2096</v>
      </c>
      <c r="C40" s="107" t="s">
        <v>2097</v>
      </c>
      <c r="D40" s="108" t="s">
        <v>13</v>
      </c>
      <c r="E40" s="109">
        <v>700</v>
      </c>
      <c r="F40" s="109">
        <v>350</v>
      </c>
      <c r="G40" s="110">
        <f t="shared" si="0"/>
        <v>0.5</v>
      </c>
      <c r="H40" s="107"/>
      <c r="I40" s="110">
        <v>0.4</v>
      </c>
      <c r="J40" s="109">
        <f t="shared" si="1"/>
        <v>420</v>
      </c>
      <c r="K40" s="110">
        <f t="shared" si="2"/>
        <v>0.16666666666666663</v>
      </c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 spans="1:26" ht="12.75" customHeight="1" x14ac:dyDescent="0.3">
      <c r="A41" s="107" t="s">
        <v>2027</v>
      </c>
      <c r="B41" s="107" t="s">
        <v>2098</v>
      </c>
      <c r="C41" s="107" t="s">
        <v>2099</v>
      </c>
      <c r="D41" s="108" t="s">
        <v>13</v>
      </c>
      <c r="E41" s="109">
        <v>618</v>
      </c>
      <c r="F41" s="109">
        <v>309</v>
      </c>
      <c r="G41" s="110">
        <f t="shared" si="0"/>
        <v>0.5</v>
      </c>
      <c r="H41" s="107"/>
      <c r="I41" s="110">
        <v>0.4</v>
      </c>
      <c r="J41" s="109">
        <f t="shared" si="1"/>
        <v>370.8</v>
      </c>
      <c r="K41" s="110">
        <f t="shared" si="2"/>
        <v>0.16666666666666674</v>
      </c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spans="1:26" ht="12.75" customHeight="1" x14ac:dyDescent="0.3">
      <c r="A42" s="107" t="s">
        <v>2027</v>
      </c>
      <c r="B42" s="107" t="s">
        <v>2100</v>
      </c>
      <c r="C42" s="111" t="s">
        <v>2101</v>
      </c>
      <c r="D42" s="108" t="s">
        <v>13</v>
      </c>
      <c r="E42" s="109">
        <v>858</v>
      </c>
      <c r="F42" s="109">
        <v>429</v>
      </c>
      <c r="G42" s="110">
        <f t="shared" si="0"/>
        <v>0.5</v>
      </c>
      <c r="H42" s="107"/>
      <c r="I42" s="110">
        <v>0.4</v>
      </c>
      <c r="J42" s="109">
        <f t="shared" si="1"/>
        <v>514.79999999999995</v>
      </c>
      <c r="K42" s="110">
        <f t="shared" si="2"/>
        <v>0.16666666666666663</v>
      </c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spans="1:26" ht="12.75" customHeight="1" x14ac:dyDescent="0.3">
      <c r="A43" s="107" t="s">
        <v>2027</v>
      </c>
      <c r="B43" s="107" t="s">
        <v>2102</v>
      </c>
      <c r="C43" s="107" t="s">
        <v>2103</v>
      </c>
      <c r="D43" s="108" t="s">
        <v>13</v>
      </c>
      <c r="E43" s="109">
        <v>418</v>
      </c>
      <c r="F43" s="109">
        <v>209</v>
      </c>
      <c r="G43" s="110">
        <f t="shared" si="0"/>
        <v>0.5</v>
      </c>
      <c r="H43" s="107"/>
      <c r="I43" s="110">
        <v>0.4</v>
      </c>
      <c r="J43" s="109">
        <f t="shared" si="1"/>
        <v>250.79999999999998</v>
      </c>
      <c r="K43" s="110">
        <f t="shared" si="2"/>
        <v>0.16666666666666663</v>
      </c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spans="1:26" ht="12.75" customHeight="1" x14ac:dyDescent="0.3">
      <c r="A44" s="107" t="s">
        <v>2027</v>
      </c>
      <c r="B44" s="107" t="s">
        <v>2104</v>
      </c>
      <c r="C44" s="111" t="s">
        <v>2105</v>
      </c>
      <c r="D44" s="108" t="s">
        <v>13</v>
      </c>
      <c r="E44" s="109">
        <v>658</v>
      </c>
      <c r="F44" s="109">
        <v>329</v>
      </c>
      <c r="G44" s="110">
        <f t="shared" si="0"/>
        <v>0.5</v>
      </c>
      <c r="H44" s="107"/>
      <c r="I44" s="110">
        <v>0.4</v>
      </c>
      <c r="J44" s="109">
        <f t="shared" si="1"/>
        <v>394.8</v>
      </c>
      <c r="K44" s="110">
        <f t="shared" si="2"/>
        <v>0.16666666666666674</v>
      </c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 spans="1:26" ht="12.75" customHeight="1" x14ac:dyDescent="0.3">
      <c r="A45" s="107" t="s">
        <v>2027</v>
      </c>
      <c r="B45" s="107" t="s">
        <v>2106</v>
      </c>
      <c r="C45" s="107" t="s">
        <v>2107</v>
      </c>
      <c r="D45" s="108" t="s">
        <v>13</v>
      </c>
      <c r="E45" s="109">
        <v>692</v>
      </c>
      <c r="F45" s="109">
        <v>346</v>
      </c>
      <c r="G45" s="110">
        <f t="shared" si="0"/>
        <v>0.5</v>
      </c>
      <c r="H45" s="107"/>
      <c r="I45" s="110">
        <v>0.4</v>
      </c>
      <c r="J45" s="109">
        <f t="shared" si="1"/>
        <v>415.2</v>
      </c>
      <c r="K45" s="110">
        <f t="shared" si="2"/>
        <v>0.16666666666666663</v>
      </c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 spans="1:26" ht="12.75" customHeight="1" x14ac:dyDescent="0.3">
      <c r="A46" s="107" t="s">
        <v>2027</v>
      </c>
      <c r="B46" s="107" t="s">
        <v>2108</v>
      </c>
      <c r="C46" s="111" t="s">
        <v>2109</v>
      </c>
      <c r="D46" s="108" t="s">
        <v>13</v>
      </c>
      <c r="E46" s="109">
        <v>932</v>
      </c>
      <c r="F46" s="109">
        <v>466</v>
      </c>
      <c r="G46" s="110">
        <f t="shared" si="0"/>
        <v>0.5</v>
      </c>
      <c r="H46" s="107"/>
      <c r="I46" s="110">
        <v>0.4</v>
      </c>
      <c r="J46" s="109">
        <f t="shared" si="1"/>
        <v>559.19999999999993</v>
      </c>
      <c r="K46" s="110">
        <f t="shared" si="2"/>
        <v>0.16666666666666652</v>
      </c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 spans="1:26" ht="12.75" customHeight="1" x14ac:dyDescent="0.3">
      <c r="A47" s="107" t="s">
        <v>2027</v>
      </c>
      <c r="B47" s="107" t="s">
        <v>2110</v>
      </c>
      <c r="C47" s="107" t="s">
        <v>2111</v>
      </c>
      <c r="D47" s="108" t="s">
        <v>13</v>
      </c>
      <c r="E47" s="109">
        <v>492</v>
      </c>
      <c r="F47" s="109">
        <v>246</v>
      </c>
      <c r="G47" s="110">
        <f t="shared" si="0"/>
        <v>0.5</v>
      </c>
      <c r="H47" s="107"/>
      <c r="I47" s="110">
        <v>0.4</v>
      </c>
      <c r="J47" s="109">
        <f t="shared" si="1"/>
        <v>295.2</v>
      </c>
      <c r="K47" s="110">
        <f t="shared" si="2"/>
        <v>0.16666666666666663</v>
      </c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spans="1:26" ht="12.75" customHeight="1" x14ac:dyDescent="0.3">
      <c r="A48" s="107" t="s">
        <v>2027</v>
      </c>
      <c r="B48" s="107" t="s">
        <v>2112</v>
      </c>
      <c r="C48" s="107" t="s">
        <v>2113</v>
      </c>
      <c r="D48" s="108" t="s">
        <v>13</v>
      </c>
      <c r="E48" s="109">
        <v>732</v>
      </c>
      <c r="F48" s="109">
        <v>366</v>
      </c>
      <c r="G48" s="110">
        <f t="shared" si="0"/>
        <v>0.5</v>
      </c>
      <c r="H48" s="107"/>
      <c r="I48" s="110">
        <v>0.4</v>
      </c>
      <c r="J48" s="109">
        <f t="shared" si="1"/>
        <v>439.2</v>
      </c>
      <c r="K48" s="110">
        <f t="shared" si="2"/>
        <v>0.16666666666666663</v>
      </c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 spans="1:26" ht="12.75" customHeight="1" x14ac:dyDescent="0.3">
      <c r="A49" s="107" t="s">
        <v>2027</v>
      </c>
      <c r="B49" s="107" t="s">
        <v>2114</v>
      </c>
      <c r="C49" s="107" t="s">
        <v>2115</v>
      </c>
      <c r="D49" s="108" t="s">
        <v>13</v>
      </c>
      <c r="E49" s="109">
        <v>692</v>
      </c>
      <c r="F49" s="109">
        <v>346</v>
      </c>
      <c r="G49" s="110">
        <f t="shared" si="0"/>
        <v>0.5</v>
      </c>
      <c r="H49" s="107"/>
      <c r="I49" s="110">
        <v>0.4</v>
      </c>
      <c r="J49" s="109">
        <f t="shared" si="1"/>
        <v>415.2</v>
      </c>
      <c r="K49" s="110">
        <f t="shared" si="2"/>
        <v>0.16666666666666663</v>
      </c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 spans="1:26" ht="12.75" customHeight="1" x14ac:dyDescent="0.3">
      <c r="A50" s="107" t="s">
        <v>2027</v>
      </c>
      <c r="B50" s="107" t="s">
        <v>2116</v>
      </c>
      <c r="C50" s="107" t="s">
        <v>2117</v>
      </c>
      <c r="D50" s="108" t="s">
        <v>13</v>
      </c>
      <c r="E50" s="109">
        <v>932</v>
      </c>
      <c r="F50" s="109">
        <v>466</v>
      </c>
      <c r="G50" s="110">
        <f t="shared" si="0"/>
        <v>0.5</v>
      </c>
      <c r="H50" s="107"/>
      <c r="I50" s="110">
        <v>0.4</v>
      </c>
      <c r="J50" s="109">
        <f t="shared" si="1"/>
        <v>559.19999999999993</v>
      </c>
      <c r="K50" s="110">
        <f t="shared" si="2"/>
        <v>0.16666666666666652</v>
      </c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 spans="1:26" ht="12.75" customHeight="1" x14ac:dyDescent="0.3">
      <c r="A51" s="107" t="s">
        <v>2027</v>
      </c>
      <c r="B51" s="107" t="s">
        <v>2118</v>
      </c>
      <c r="C51" s="107" t="s">
        <v>2119</v>
      </c>
      <c r="D51" s="108" t="s">
        <v>13</v>
      </c>
      <c r="E51" s="109">
        <v>492</v>
      </c>
      <c r="F51" s="109">
        <v>246</v>
      </c>
      <c r="G51" s="110">
        <f t="shared" si="0"/>
        <v>0.5</v>
      </c>
      <c r="H51" s="107"/>
      <c r="I51" s="110">
        <v>0.4</v>
      </c>
      <c r="J51" s="109">
        <f t="shared" si="1"/>
        <v>295.2</v>
      </c>
      <c r="K51" s="110">
        <f t="shared" si="2"/>
        <v>0.16666666666666663</v>
      </c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 spans="1:26" ht="12.75" customHeight="1" x14ac:dyDescent="0.3">
      <c r="A52" s="107" t="s">
        <v>2027</v>
      </c>
      <c r="B52" s="107" t="s">
        <v>2120</v>
      </c>
      <c r="C52" s="107" t="s">
        <v>2121</v>
      </c>
      <c r="D52" s="108" t="s">
        <v>13</v>
      </c>
      <c r="E52" s="109">
        <v>732</v>
      </c>
      <c r="F52" s="109">
        <v>366</v>
      </c>
      <c r="G52" s="110">
        <f t="shared" si="0"/>
        <v>0.5</v>
      </c>
      <c r="H52" s="107"/>
      <c r="I52" s="110">
        <v>0.4</v>
      </c>
      <c r="J52" s="109">
        <f t="shared" si="1"/>
        <v>439.2</v>
      </c>
      <c r="K52" s="110">
        <f t="shared" si="2"/>
        <v>0.16666666666666663</v>
      </c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spans="1:26" ht="12.75" customHeight="1" x14ac:dyDescent="0.3">
      <c r="A53" s="107" t="s">
        <v>2027</v>
      </c>
      <c r="B53" s="107" t="s">
        <v>2122</v>
      </c>
      <c r="C53" s="107" t="s">
        <v>2123</v>
      </c>
      <c r="D53" s="108" t="s">
        <v>13</v>
      </c>
      <c r="E53" s="109">
        <v>2250</v>
      </c>
      <c r="F53" s="109">
        <v>1125</v>
      </c>
      <c r="G53" s="110">
        <f t="shared" si="0"/>
        <v>0.5</v>
      </c>
      <c r="H53" s="107"/>
      <c r="I53" s="110">
        <v>0.4</v>
      </c>
      <c r="J53" s="109">
        <f t="shared" si="1"/>
        <v>1350</v>
      </c>
      <c r="K53" s="110">
        <f t="shared" si="2"/>
        <v>0.16666666666666663</v>
      </c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spans="1:26" ht="12.75" customHeight="1" x14ac:dyDescent="0.3">
      <c r="A54" s="107" t="s">
        <v>2027</v>
      </c>
      <c r="B54" s="107" t="s">
        <v>2124</v>
      </c>
      <c r="C54" s="111" t="s">
        <v>2125</v>
      </c>
      <c r="D54" s="108" t="s">
        <v>13</v>
      </c>
      <c r="E54" s="109">
        <v>1284</v>
      </c>
      <c r="F54" s="109">
        <v>642</v>
      </c>
      <c r="G54" s="110">
        <f t="shared" si="0"/>
        <v>0.5</v>
      </c>
      <c r="H54" s="107"/>
      <c r="I54" s="110">
        <v>0.4</v>
      </c>
      <c r="J54" s="109">
        <f t="shared" si="1"/>
        <v>770.4</v>
      </c>
      <c r="K54" s="110">
        <f t="shared" si="2"/>
        <v>0.16666666666666663</v>
      </c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spans="1:26" ht="12.75" customHeight="1" x14ac:dyDescent="0.3">
      <c r="A55" s="107" t="s">
        <v>2027</v>
      </c>
      <c r="B55" s="107" t="s">
        <v>2126</v>
      </c>
      <c r="C55" s="107" t="s">
        <v>2127</v>
      </c>
      <c r="D55" s="108" t="s">
        <v>13</v>
      </c>
      <c r="E55" s="109">
        <v>692</v>
      </c>
      <c r="F55" s="109">
        <v>346</v>
      </c>
      <c r="G55" s="110">
        <f t="shared" si="0"/>
        <v>0.5</v>
      </c>
      <c r="H55" s="107"/>
      <c r="I55" s="110">
        <v>0.4</v>
      </c>
      <c r="J55" s="109">
        <f t="shared" si="1"/>
        <v>415.2</v>
      </c>
      <c r="K55" s="110">
        <f t="shared" si="2"/>
        <v>0.16666666666666663</v>
      </c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spans="1:26" ht="12.75" customHeight="1" x14ac:dyDescent="0.3">
      <c r="A56" s="107" t="s">
        <v>2027</v>
      </c>
      <c r="B56" s="107" t="s">
        <v>2128</v>
      </c>
      <c r="C56" s="107" t="s">
        <v>2129</v>
      </c>
      <c r="D56" s="108" t="s">
        <v>13</v>
      </c>
      <c r="E56" s="109">
        <v>932</v>
      </c>
      <c r="F56" s="109">
        <v>466</v>
      </c>
      <c r="G56" s="110">
        <f t="shared" si="0"/>
        <v>0.5</v>
      </c>
      <c r="H56" s="107"/>
      <c r="I56" s="110">
        <v>0.4</v>
      </c>
      <c r="J56" s="109">
        <f t="shared" si="1"/>
        <v>559.19999999999993</v>
      </c>
      <c r="K56" s="110">
        <f t="shared" si="2"/>
        <v>0.16666666666666652</v>
      </c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spans="1:26" ht="12.75" customHeight="1" x14ac:dyDescent="0.3">
      <c r="A57" s="107" t="s">
        <v>2027</v>
      </c>
      <c r="B57" s="107" t="s">
        <v>2130</v>
      </c>
      <c r="C57" s="111" t="s">
        <v>2131</v>
      </c>
      <c r="D57" s="108" t="s">
        <v>13</v>
      </c>
      <c r="E57" s="109">
        <v>1284</v>
      </c>
      <c r="F57" s="109">
        <v>642</v>
      </c>
      <c r="G57" s="110">
        <f t="shared" si="0"/>
        <v>0.5</v>
      </c>
      <c r="H57" s="107"/>
      <c r="I57" s="110">
        <v>0.4</v>
      </c>
      <c r="J57" s="109">
        <f t="shared" si="1"/>
        <v>770.4</v>
      </c>
      <c r="K57" s="110">
        <f t="shared" si="2"/>
        <v>0.16666666666666663</v>
      </c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spans="1:26" ht="12.75" customHeight="1" x14ac:dyDescent="0.3">
      <c r="A58" s="107" t="s">
        <v>2027</v>
      </c>
      <c r="B58" s="107" t="s">
        <v>2132</v>
      </c>
      <c r="C58" s="111" t="s">
        <v>2133</v>
      </c>
      <c r="D58" s="108" t="s">
        <v>13</v>
      </c>
      <c r="E58" s="109">
        <v>1380</v>
      </c>
      <c r="F58" s="109">
        <v>690</v>
      </c>
      <c r="G58" s="110">
        <f t="shared" si="0"/>
        <v>0.5</v>
      </c>
      <c r="H58" s="107"/>
      <c r="I58" s="110">
        <v>0.4</v>
      </c>
      <c r="J58" s="109">
        <f t="shared" si="1"/>
        <v>828</v>
      </c>
      <c r="K58" s="110">
        <f t="shared" si="2"/>
        <v>0.16666666666666663</v>
      </c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spans="1:26" ht="12.75" customHeight="1" x14ac:dyDescent="0.3">
      <c r="A59" s="107" t="s">
        <v>2027</v>
      </c>
      <c r="B59" s="107" t="s">
        <v>2134</v>
      </c>
      <c r="C59" s="107" t="s">
        <v>2135</v>
      </c>
      <c r="D59" s="108" t="s">
        <v>13</v>
      </c>
      <c r="E59" s="109">
        <v>492</v>
      </c>
      <c r="F59" s="109">
        <v>246</v>
      </c>
      <c r="G59" s="110">
        <f t="shared" si="0"/>
        <v>0.5</v>
      </c>
      <c r="H59" s="107"/>
      <c r="I59" s="110">
        <v>0.4</v>
      </c>
      <c r="J59" s="109">
        <f t="shared" si="1"/>
        <v>295.2</v>
      </c>
      <c r="K59" s="110">
        <f t="shared" si="2"/>
        <v>0.16666666666666663</v>
      </c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spans="1:26" ht="12.75" customHeight="1" x14ac:dyDescent="0.3">
      <c r="A60" s="107" t="s">
        <v>2027</v>
      </c>
      <c r="B60" s="107" t="s">
        <v>2136</v>
      </c>
      <c r="C60" s="107" t="s">
        <v>2137</v>
      </c>
      <c r="D60" s="108" t="s">
        <v>13</v>
      </c>
      <c r="E60" s="109">
        <v>2050</v>
      </c>
      <c r="F60" s="109">
        <v>1025</v>
      </c>
      <c r="G60" s="110">
        <f t="shared" si="0"/>
        <v>0.5</v>
      </c>
      <c r="H60" s="107"/>
      <c r="I60" s="110">
        <v>0.4</v>
      </c>
      <c r="J60" s="109">
        <f t="shared" si="1"/>
        <v>1230</v>
      </c>
      <c r="K60" s="110">
        <f t="shared" si="2"/>
        <v>0.16666666666666663</v>
      </c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spans="1:26" ht="12.75" customHeight="1" x14ac:dyDescent="0.3">
      <c r="A61" s="107" t="s">
        <v>2027</v>
      </c>
      <c r="B61" s="107" t="s">
        <v>2138</v>
      </c>
      <c r="C61" s="111" t="s">
        <v>2139</v>
      </c>
      <c r="D61" s="108" t="s">
        <v>13</v>
      </c>
      <c r="E61" s="109">
        <v>2250</v>
      </c>
      <c r="F61" s="109">
        <v>1125</v>
      </c>
      <c r="G61" s="110">
        <f t="shared" si="0"/>
        <v>0.5</v>
      </c>
      <c r="H61" s="107"/>
      <c r="I61" s="110">
        <v>0.4</v>
      </c>
      <c r="J61" s="109">
        <f t="shared" si="1"/>
        <v>1350</v>
      </c>
      <c r="K61" s="110">
        <f t="shared" si="2"/>
        <v>0.16666666666666663</v>
      </c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spans="1:26" ht="12.75" customHeight="1" x14ac:dyDescent="0.3">
      <c r="A62" s="107" t="s">
        <v>2027</v>
      </c>
      <c r="B62" s="107" t="s">
        <v>2140</v>
      </c>
      <c r="C62" s="107" t="s">
        <v>2141</v>
      </c>
      <c r="D62" s="108" t="s">
        <v>13</v>
      </c>
      <c r="E62" s="109">
        <v>2050</v>
      </c>
      <c r="F62" s="109">
        <v>1025</v>
      </c>
      <c r="G62" s="110">
        <f t="shared" si="0"/>
        <v>0.5</v>
      </c>
      <c r="H62" s="107"/>
      <c r="I62" s="110">
        <v>0.4</v>
      </c>
      <c r="J62" s="109">
        <f t="shared" si="1"/>
        <v>1230</v>
      </c>
      <c r="K62" s="110">
        <f t="shared" si="2"/>
        <v>0.16666666666666663</v>
      </c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spans="1:26" ht="12.75" customHeight="1" x14ac:dyDescent="0.3">
      <c r="A63" s="107" t="s">
        <v>2027</v>
      </c>
      <c r="B63" s="107" t="s">
        <v>2142</v>
      </c>
      <c r="C63" s="111" t="s">
        <v>2143</v>
      </c>
      <c r="D63" s="108" t="s">
        <v>13</v>
      </c>
      <c r="E63" s="109">
        <v>2250</v>
      </c>
      <c r="F63" s="109">
        <v>1125</v>
      </c>
      <c r="G63" s="110">
        <f t="shared" si="0"/>
        <v>0.5</v>
      </c>
      <c r="H63" s="107"/>
      <c r="I63" s="110">
        <v>0.4</v>
      </c>
      <c r="J63" s="109">
        <f t="shared" si="1"/>
        <v>1350</v>
      </c>
      <c r="K63" s="110">
        <f t="shared" si="2"/>
        <v>0.16666666666666663</v>
      </c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spans="1:26" ht="12.75" customHeight="1" x14ac:dyDescent="0.3">
      <c r="A64" s="107" t="s">
        <v>2027</v>
      </c>
      <c r="B64" s="107" t="s">
        <v>2144</v>
      </c>
      <c r="C64" s="107" t="s">
        <v>2145</v>
      </c>
      <c r="D64" s="108" t="s">
        <v>13</v>
      </c>
      <c r="E64" s="109">
        <v>732</v>
      </c>
      <c r="F64" s="109">
        <v>366</v>
      </c>
      <c r="G64" s="110">
        <f t="shared" si="0"/>
        <v>0.5</v>
      </c>
      <c r="H64" s="107"/>
      <c r="I64" s="110">
        <v>0.4</v>
      </c>
      <c r="J64" s="109">
        <f t="shared" si="1"/>
        <v>439.2</v>
      </c>
      <c r="K64" s="110">
        <f t="shared" si="2"/>
        <v>0.16666666666666663</v>
      </c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spans="1:26" ht="12.75" customHeight="1" x14ac:dyDescent="0.3">
      <c r="A65" s="107" t="s">
        <v>2027</v>
      </c>
      <c r="B65" s="107" t="s">
        <v>2146</v>
      </c>
      <c r="C65" s="111" t="s">
        <v>2147</v>
      </c>
      <c r="D65" s="108" t="s">
        <v>13</v>
      </c>
      <c r="E65" s="109">
        <v>1084</v>
      </c>
      <c r="F65" s="109">
        <v>542</v>
      </c>
      <c r="G65" s="110">
        <f t="shared" si="0"/>
        <v>0.5</v>
      </c>
      <c r="H65" s="107"/>
      <c r="I65" s="110">
        <v>0.4</v>
      </c>
      <c r="J65" s="109">
        <f t="shared" si="1"/>
        <v>650.4</v>
      </c>
      <c r="K65" s="110">
        <f t="shared" si="2"/>
        <v>0.16666666666666663</v>
      </c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spans="1:26" ht="12.75" customHeight="1" x14ac:dyDescent="0.3">
      <c r="A66" s="107" t="s">
        <v>2027</v>
      </c>
      <c r="B66" s="107" t="s">
        <v>2148</v>
      </c>
      <c r="C66" s="107" t="s">
        <v>2149</v>
      </c>
      <c r="D66" s="108" t="s">
        <v>13</v>
      </c>
      <c r="E66" s="109">
        <v>78</v>
      </c>
      <c r="F66" s="109">
        <v>39</v>
      </c>
      <c r="G66" s="110">
        <f t="shared" si="0"/>
        <v>0.5</v>
      </c>
      <c r="H66" s="107"/>
      <c r="I66" s="110">
        <v>0.4</v>
      </c>
      <c r="J66" s="109">
        <f t="shared" si="1"/>
        <v>46.8</v>
      </c>
      <c r="K66" s="110">
        <f t="shared" si="2"/>
        <v>0.16666666666666663</v>
      </c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spans="1:26" ht="12.75" customHeight="1" x14ac:dyDescent="0.3">
      <c r="A67" s="107" t="s">
        <v>2027</v>
      </c>
      <c r="B67" s="107" t="s">
        <v>2150</v>
      </c>
      <c r="C67" s="111" t="s">
        <v>2151</v>
      </c>
      <c r="D67" s="108" t="s">
        <v>13</v>
      </c>
      <c r="E67" s="109">
        <v>1084</v>
      </c>
      <c r="F67" s="109">
        <v>542</v>
      </c>
      <c r="G67" s="110">
        <f t="shared" si="0"/>
        <v>0.5</v>
      </c>
      <c r="H67" s="107"/>
      <c r="I67" s="110">
        <v>0.4</v>
      </c>
      <c r="J67" s="109">
        <f t="shared" si="1"/>
        <v>650.4</v>
      </c>
      <c r="K67" s="110">
        <f t="shared" si="2"/>
        <v>0.16666666666666663</v>
      </c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ht="12.75" customHeight="1" x14ac:dyDescent="0.3">
      <c r="A68" s="107" t="s">
        <v>2027</v>
      </c>
      <c r="B68" s="107" t="s">
        <v>2152</v>
      </c>
      <c r="C68" s="111" t="s">
        <v>2153</v>
      </c>
      <c r="D68" s="108" t="s">
        <v>13</v>
      </c>
      <c r="E68" s="109">
        <v>1180</v>
      </c>
      <c r="F68" s="109">
        <v>590</v>
      </c>
      <c r="G68" s="110">
        <f t="shared" si="0"/>
        <v>0.5</v>
      </c>
      <c r="H68" s="107"/>
      <c r="I68" s="110">
        <v>0.4</v>
      </c>
      <c r="J68" s="109">
        <f t="shared" si="1"/>
        <v>708</v>
      </c>
      <c r="K68" s="110">
        <f t="shared" si="2"/>
        <v>0.16666666666666663</v>
      </c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ht="12.75" customHeight="1" x14ac:dyDescent="0.3">
      <c r="A69" s="112" t="s">
        <v>2027</v>
      </c>
      <c r="B69" s="112" t="s">
        <v>2154</v>
      </c>
      <c r="C69" s="113" t="s">
        <v>2155</v>
      </c>
      <c r="D69" s="114" t="s">
        <v>13</v>
      </c>
      <c r="E69" s="115">
        <v>2450</v>
      </c>
      <c r="F69" s="115">
        <v>1225</v>
      </c>
      <c r="G69" s="116">
        <f t="shared" si="0"/>
        <v>0.5</v>
      </c>
      <c r="H69" s="112"/>
      <c r="I69" s="116">
        <v>0.4</v>
      </c>
      <c r="J69" s="115">
        <f t="shared" si="1"/>
        <v>1470</v>
      </c>
      <c r="K69" s="116">
        <f t="shared" si="2"/>
        <v>0.16666666666666663</v>
      </c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2.75" customHeight="1" x14ac:dyDescent="0.3">
      <c r="A70" s="107" t="s">
        <v>2027</v>
      </c>
      <c r="B70" s="107" t="s">
        <v>2156</v>
      </c>
      <c r="C70" s="107" t="s">
        <v>2157</v>
      </c>
      <c r="D70" s="108" t="s">
        <v>13</v>
      </c>
      <c r="E70" s="109">
        <v>258</v>
      </c>
      <c r="F70" s="109">
        <v>129</v>
      </c>
      <c r="G70" s="110">
        <f t="shared" ref="G70:G101" si="3">1-(F70/E70)</f>
        <v>0.5</v>
      </c>
      <c r="H70" s="107"/>
      <c r="I70" s="110">
        <v>0.4</v>
      </c>
      <c r="J70" s="109">
        <f t="shared" ref="J70:J101" si="4">E70*(1-I70)</f>
        <v>154.79999999999998</v>
      </c>
      <c r="K70" s="110">
        <f t="shared" ref="K70:K101" si="5">1-(F70/J70)</f>
        <v>0.16666666666666663</v>
      </c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spans="1:26" ht="12.75" customHeight="1" x14ac:dyDescent="0.3">
      <c r="A71" s="107" t="s">
        <v>2027</v>
      </c>
      <c r="B71" s="107" t="s">
        <v>2158</v>
      </c>
      <c r="C71" s="107" t="s">
        <v>2159</v>
      </c>
      <c r="D71" s="108" t="s">
        <v>13</v>
      </c>
      <c r="E71" s="109">
        <v>406</v>
      </c>
      <c r="F71" s="109">
        <v>203</v>
      </c>
      <c r="G71" s="110">
        <f t="shared" si="3"/>
        <v>0.5</v>
      </c>
      <c r="H71" s="107"/>
      <c r="I71" s="110">
        <v>0.4</v>
      </c>
      <c r="J71" s="109">
        <f t="shared" si="4"/>
        <v>243.6</v>
      </c>
      <c r="K71" s="110">
        <f t="shared" si="5"/>
        <v>0.16666666666666663</v>
      </c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spans="1:26" ht="12.75" customHeight="1" x14ac:dyDescent="0.3">
      <c r="A72" s="107" t="s">
        <v>2027</v>
      </c>
      <c r="B72" s="107" t="s">
        <v>2160</v>
      </c>
      <c r="C72" s="107" t="s">
        <v>2161</v>
      </c>
      <c r="D72" s="108" t="s">
        <v>13</v>
      </c>
      <c r="E72" s="109">
        <v>244</v>
      </c>
      <c r="F72" s="109">
        <v>122</v>
      </c>
      <c r="G72" s="110">
        <f t="shared" si="3"/>
        <v>0.5</v>
      </c>
      <c r="H72" s="107"/>
      <c r="I72" s="110">
        <v>0.4</v>
      </c>
      <c r="J72" s="109">
        <f t="shared" si="4"/>
        <v>146.4</v>
      </c>
      <c r="K72" s="110">
        <f t="shared" si="5"/>
        <v>0.16666666666666674</v>
      </c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spans="1:26" ht="12.75" customHeight="1" x14ac:dyDescent="0.3">
      <c r="A73" s="107" t="s">
        <v>2027</v>
      </c>
      <c r="B73" s="107" t="s">
        <v>2162</v>
      </c>
      <c r="C73" s="107" t="s">
        <v>2163</v>
      </c>
      <c r="D73" s="108" t="s">
        <v>13</v>
      </c>
      <c r="E73" s="109">
        <v>170</v>
      </c>
      <c r="F73" s="109">
        <v>85</v>
      </c>
      <c r="G73" s="110">
        <f t="shared" si="3"/>
        <v>0.5</v>
      </c>
      <c r="H73" s="107"/>
      <c r="I73" s="110">
        <v>0.4</v>
      </c>
      <c r="J73" s="109">
        <f t="shared" si="4"/>
        <v>102</v>
      </c>
      <c r="K73" s="110">
        <f t="shared" si="5"/>
        <v>0.16666666666666663</v>
      </c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spans="1:26" ht="12.75" customHeight="1" x14ac:dyDescent="0.3">
      <c r="A74" s="117" t="s">
        <v>2027</v>
      </c>
      <c r="B74" s="117" t="s">
        <v>2164</v>
      </c>
      <c r="C74" s="117" t="s">
        <v>2165</v>
      </c>
      <c r="D74" s="118" t="s">
        <v>13</v>
      </c>
      <c r="E74" s="119">
        <v>170</v>
      </c>
      <c r="F74" s="119">
        <v>85</v>
      </c>
      <c r="G74" s="120">
        <f t="shared" si="3"/>
        <v>0.5</v>
      </c>
      <c r="H74" s="117"/>
      <c r="I74" s="120">
        <v>0.4</v>
      </c>
      <c r="J74" s="119">
        <f t="shared" si="4"/>
        <v>102</v>
      </c>
      <c r="K74" s="120">
        <f t="shared" si="5"/>
        <v>0.16666666666666663</v>
      </c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spans="1:26" ht="12.75" customHeight="1" x14ac:dyDescent="0.3">
      <c r="A75" s="107" t="s">
        <v>2027</v>
      </c>
      <c r="B75" s="107" t="s">
        <v>2156</v>
      </c>
      <c r="C75" s="107" t="s">
        <v>2157</v>
      </c>
      <c r="D75" s="108" t="s">
        <v>13</v>
      </c>
      <c r="E75" s="109">
        <v>258</v>
      </c>
      <c r="F75" s="109">
        <v>129</v>
      </c>
      <c r="G75" s="110">
        <f t="shared" si="3"/>
        <v>0.5</v>
      </c>
      <c r="H75" s="107"/>
      <c r="I75" s="110">
        <v>0.4</v>
      </c>
      <c r="J75" s="109">
        <f t="shared" si="4"/>
        <v>154.79999999999998</v>
      </c>
      <c r="K75" s="110">
        <f t="shared" si="5"/>
        <v>0.16666666666666663</v>
      </c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spans="1:26" ht="12.75" customHeight="1" x14ac:dyDescent="0.3">
      <c r="A76" s="107" t="s">
        <v>2027</v>
      </c>
      <c r="B76" s="107" t="s">
        <v>2158</v>
      </c>
      <c r="C76" s="107" t="s">
        <v>2159</v>
      </c>
      <c r="D76" s="108" t="s">
        <v>13</v>
      </c>
      <c r="E76" s="109">
        <v>406</v>
      </c>
      <c r="F76" s="109">
        <v>203</v>
      </c>
      <c r="G76" s="110">
        <f t="shared" si="3"/>
        <v>0.5</v>
      </c>
      <c r="H76" s="107"/>
      <c r="I76" s="110">
        <v>0.4</v>
      </c>
      <c r="J76" s="109">
        <f t="shared" si="4"/>
        <v>243.6</v>
      </c>
      <c r="K76" s="110">
        <f t="shared" si="5"/>
        <v>0.16666666666666663</v>
      </c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spans="1:26" ht="12.75" customHeight="1" x14ac:dyDescent="0.3">
      <c r="A77" s="107" t="s">
        <v>2027</v>
      </c>
      <c r="B77" s="107" t="s">
        <v>2160</v>
      </c>
      <c r="C77" s="107" t="s">
        <v>2161</v>
      </c>
      <c r="D77" s="108" t="s">
        <v>13</v>
      </c>
      <c r="E77" s="109">
        <v>244</v>
      </c>
      <c r="F77" s="109">
        <v>122</v>
      </c>
      <c r="G77" s="110">
        <f t="shared" si="3"/>
        <v>0.5</v>
      </c>
      <c r="H77" s="107"/>
      <c r="I77" s="110">
        <v>0.4</v>
      </c>
      <c r="J77" s="109">
        <f t="shared" si="4"/>
        <v>146.4</v>
      </c>
      <c r="K77" s="110">
        <f t="shared" si="5"/>
        <v>0.16666666666666674</v>
      </c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spans="1:26" ht="12.75" customHeight="1" x14ac:dyDescent="0.3">
      <c r="A78" s="107" t="s">
        <v>2027</v>
      </c>
      <c r="B78" s="107" t="s">
        <v>2162</v>
      </c>
      <c r="C78" s="107" t="s">
        <v>2163</v>
      </c>
      <c r="D78" s="108" t="s">
        <v>13</v>
      </c>
      <c r="E78" s="109">
        <v>170</v>
      </c>
      <c r="F78" s="109">
        <v>85</v>
      </c>
      <c r="G78" s="110">
        <f t="shared" si="3"/>
        <v>0.5</v>
      </c>
      <c r="H78" s="107"/>
      <c r="I78" s="110">
        <v>0.4</v>
      </c>
      <c r="J78" s="109">
        <f t="shared" si="4"/>
        <v>102</v>
      </c>
      <c r="K78" s="110">
        <f t="shared" si="5"/>
        <v>0.16666666666666663</v>
      </c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spans="1:26" ht="12.75" customHeight="1" x14ac:dyDescent="0.3">
      <c r="A79" s="107" t="s">
        <v>2027</v>
      </c>
      <c r="B79" s="107" t="s">
        <v>2164</v>
      </c>
      <c r="C79" s="107" t="s">
        <v>2165</v>
      </c>
      <c r="D79" s="108" t="s">
        <v>13</v>
      </c>
      <c r="E79" s="109">
        <v>170</v>
      </c>
      <c r="F79" s="109">
        <v>85</v>
      </c>
      <c r="G79" s="110">
        <f t="shared" si="3"/>
        <v>0.5</v>
      </c>
      <c r="H79" s="107"/>
      <c r="I79" s="110">
        <v>0.4</v>
      </c>
      <c r="J79" s="109">
        <f t="shared" si="4"/>
        <v>102</v>
      </c>
      <c r="K79" s="110">
        <f t="shared" si="5"/>
        <v>0.16666666666666663</v>
      </c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spans="1:26" ht="12.75" customHeight="1" x14ac:dyDescent="0.3">
      <c r="A80" s="117" t="s">
        <v>2027</v>
      </c>
      <c r="B80" s="117" t="s">
        <v>2166</v>
      </c>
      <c r="C80" s="117" t="s">
        <v>2167</v>
      </c>
      <c r="D80" s="118" t="s">
        <v>13</v>
      </c>
      <c r="E80" s="119">
        <v>492</v>
      </c>
      <c r="F80" s="119">
        <v>246</v>
      </c>
      <c r="G80" s="120">
        <f t="shared" si="3"/>
        <v>0.5</v>
      </c>
      <c r="H80" s="117"/>
      <c r="I80" s="120">
        <v>0.4</v>
      </c>
      <c r="J80" s="119">
        <f t="shared" si="4"/>
        <v>295.2</v>
      </c>
      <c r="K80" s="120">
        <f t="shared" si="5"/>
        <v>0.16666666666666663</v>
      </c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spans="1:26" ht="12.75" customHeight="1" x14ac:dyDescent="0.3">
      <c r="A81" s="107" t="s">
        <v>2027</v>
      </c>
      <c r="B81" s="107" t="s">
        <v>2168</v>
      </c>
      <c r="C81" s="107" t="s">
        <v>2169</v>
      </c>
      <c r="D81" s="108" t="s">
        <v>13</v>
      </c>
      <c r="E81" s="109">
        <v>390</v>
      </c>
      <c r="F81" s="109">
        <v>195</v>
      </c>
      <c r="G81" s="110">
        <f t="shared" si="3"/>
        <v>0.5</v>
      </c>
      <c r="H81" s="107"/>
      <c r="I81" s="110">
        <v>0.4</v>
      </c>
      <c r="J81" s="109">
        <f t="shared" si="4"/>
        <v>234</v>
      </c>
      <c r="K81" s="110">
        <f t="shared" si="5"/>
        <v>0.16666666666666663</v>
      </c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spans="1:26" ht="12.75" customHeight="1" x14ac:dyDescent="0.3">
      <c r="A82" s="107" t="s">
        <v>2027</v>
      </c>
      <c r="B82" s="107" t="s">
        <v>2170</v>
      </c>
      <c r="C82" s="107" t="s">
        <v>2171</v>
      </c>
      <c r="D82" s="108" t="s">
        <v>13</v>
      </c>
      <c r="E82" s="109">
        <v>208</v>
      </c>
      <c r="F82" s="109">
        <v>104</v>
      </c>
      <c r="G82" s="110">
        <f t="shared" si="3"/>
        <v>0.5</v>
      </c>
      <c r="H82" s="107"/>
      <c r="I82" s="110">
        <v>0.4</v>
      </c>
      <c r="J82" s="109">
        <f t="shared" si="4"/>
        <v>124.8</v>
      </c>
      <c r="K82" s="110">
        <f t="shared" si="5"/>
        <v>0.16666666666666663</v>
      </c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spans="1:26" ht="12.75" customHeight="1" x14ac:dyDescent="0.3">
      <c r="A83" s="107" t="s">
        <v>2027</v>
      </c>
      <c r="B83" s="107" t="s">
        <v>2172</v>
      </c>
      <c r="C83" s="107" t="s">
        <v>2173</v>
      </c>
      <c r="D83" s="108" t="s">
        <v>13</v>
      </c>
      <c r="E83" s="109">
        <v>134</v>
      </c>
      <c r="F83" s="109">
        <v>67</v>
      </c>
      <c r="G83" s="110">
        <f t="shared" si="3"/>
        <v>0.5</v>
      </c>
      <c r="H83" s="107"/>
      <c r="I83" s="110">
        <v>0.4</v>
      </c>
      <c r="J83" s="109">
        <f t="shared" si="4"/>
        <v>80.399999999999991</v>
      </c>
      <c r="K83" s="110">
        <f t="shared" si="5"/>
        <v>0.16666666666666663</v>
      </c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spans="1:26" ht="12.75" customHeight="1" x14ac:dyDescent="0.3">
      <c r="A84" s="107" t="s">
        <v>2027</v>
      </c>
      <c r="B84" s="107" t="s">
        <v>2174</v>
      </c>
      <c r="C84" s="107" t="s">
        <v>2175</v>
      </c>
      <c r="D84" s="108" t="s">
        <v>13</v>
      </c>
      <c r="E84" s="109">
        <v>134</v>
      </c>
      <c r="F84" s="109">
        <v>67</v>
      </c>
      <c r="G84" s="110">
        <f t="shared" si="3"/>
        <v>0.5</v>
      </c>
      <c r="H84" s="107"/>
      <c r="I84" s="110">
        <v>0.4</v>
      </c>
      <c r="J84" s="109">
        <f t="shared" si="4"/>
        <v>80.399999999999991</v>
      </c>
      <c r="K84" s="110">
        <f t="shared" si="5"/>
        <v>0.16666666666666663</v>
      </c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spans="1:26" ht="12.75" customHeight="1" x14ac:dyDescent="0.3">
      <c r="A85" s="107" t="s">
        <v>2027</v>
      </c>
      <c r="B85" s="107" t="s">
        <v>2176</v>
      </c>
      <c r="C85" s="107" t="s">
        <v>2177</v>
      </c>
      <c r="D85" s="108" t="s">
        <v>13</v>
      </c>
      <c r="E85" s="109">
        <v>148</v>
      </c>
      <c r="F85" s="109">
        <v>74</v>
      </c>
      <c r="G85" s="110">
        <f t="shared" si="3"/>
        <v>0.5</v>
      </c>
      <c r="H85" s="107"/>
      <c r="I85" s="110">
        <v>0.4</v>
      </c>
      <c r="J85" s="109">
        <f t="shared" si="4"/>
        <v>88.8</v>
      </c>
      <c r="K85" s="110">
        <f t="shared" si="5"/>
        <v>0.16666666666666663</v>
      </c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spans="1:26" ht="12.75" customHeight="1" x14ac:dyDescent="0.3">
      <c r="A86" s="107" t="s">
        <v>2027</v>
      </c>
      <c r="B86" s="107" t="s">
        <v>2178</v>
      </c>
      <c r="C86" s="107" t="s">
        <v>2179</v>
      </c>
      <c r="D86" s="108" t="s">
        <v>13</v>
      </c>
      <c r="E86" s="109">
        <v>512</v>
      </c>
      <c r="F86" s="109">
        <v>256</v>
      </c>
      <c r="G86" s="110">
        <f t="shared" si="3"/>
        <v>0.5</v>
      </c>
      <c r="H86" s="107"/>
      <c r="I86" s="110">
        <v>0.4</v>
      </c>
      <c r="J86" s="109">
        <f t="shared" si="4"/>
        <v>307.2</v>
      </c>
      <c r="K86" s="110">
        <f t="shared" si="5"/>
        <v>0.16666666666666663</v>
      </c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spans="1:26" ht="12.75" customHeight="1" x14ac:dyDescent="0.3">
      <c r="A87" s="107" t="s">
        <v>2027</v>
      </c>
      <c r="B87" s="107" t="s">
        <v>2180</v>
      </c>
      <c r="C87" s="107" t="s">
        <v>2179</v>
      </c>
      <c r="D87" s="108" t="s">
        <v>13</v>
      </c>
      <c r="E87" s="109">
        <v>752</v>
      </c>
      <c r="F87" s="109">
        <v>376</v>
      </c>
      <c r="G87" s="110">
        <f t="shared" si="3"/>
        <v>0.5</v>
      </c>
      <c r="H87" s="107"/>
      <c r="I87" s="110">
        <v>0.4</v>
      </c>
      <c r="J87" s="109">
        <f t="shared" si="4"/>
        <v>451.2</v>
      </c>
      <c r="K87" s="110">
        <f t="shared" si="5"/>
        <v>0.16666666666666663</v>
      </c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spans="1:26" ht="12.75" customHeight="1" x14ac:dyDescent="0.3">
      <c r="A88" s="107" t="s">
        <v>2027</v>
      </c>
      <c r="B88" s="107" t="s">
        <v>2181</v>
      </c>
      <c r="C88" s="107" t="s">
        <v>2182</v>
      </c>
      <c r="D88" s="108" t="s">
        <v>13</v>
      </c>
      <c r="E88" s="109">
        <v>632</v>
      </c>
      <c r="F88" s="109">
        <v>316</v>
      </c>
      <c r="G88" s="110">
        <f t="shared" si="3"/>
        <v>0.5</v>
      </c>
      <c r="H88" s="107"/>
      <c r="I88" s="110">
        <v>0.4</v>
      </c>
      <c r="J88" s="109">
        <f t="shared" si="4"/>
        <v>379.2</v>
      </c>
      <c r="K88" s="110">
        <f t="shared" si="5"/>
        <v>0.16666666666666663</v>
      </c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spans="1:26" ht="12.75" customHeight="1" x14ac:dyDescent="0.3">
      <c r="A89" s="107" t="s">
        <v>2027</v>
      </c>
      <c r="B89" s="107" t="s">
        <v>2183</v>
      </c>
      <c r="C89" s="111" t="s">
        <v>2184</v>
      </c>
      <c r="D89" s="108" t="s">
        <v>13</v>
      </c>
      <c r="E89" s="109">
        <v>872</v>
      </c>
      <c r="F89" s="109">
        <v>436</v>
      </c>
      <c r="G89" s="110">
        <f t="shared" si="3"/>
        <v>0.5</v>
      </c>
      <c r="H89" s="107"/>
      <c r="I89" s="110">
        <v>0.4</v>
      </c>
      <c r="J89" s="109">
        <f t="shared" si="4"/>
        <v>523.19999999999993</v>
      </c>
      <c r="K89" s="110">
        <f t="shared" si="5"/>
        <v>0.16666666666666652</v>
      </c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spans="1:26" ht="12.75" customHeight="1" x14ac:dyDescent="0.3">
      <c r="A90" s="107" t="s">
        <v>2027</v>
      </c>
      <c r="B90" s="107" t="s">
        <v>2185</v>
      </c>
      <c r="C90" s="107" t="s">
        <v>2186</v>
      </c>
      <c r="D90" s="108" t="s">
        <v>13</v>
      </c>
      <c r="E90" s="109">
        <v>1040</v>
      </c>
      <c r="F90" s="109">
        <v>520</v>
      </c>
      <c r="G90" s="110">
        <f t="shared" si="3"/>
        <v>0.5</v>
      </c>
      <c r="H90" s="107"/>
      <c r="I90" s="110">
        <v>0.4</v>
      </c>
      <c r="J90" s="109">
        <f t="shared" si="4"/>
        <v>624</v>
      </c>
      <c r="K90" s="110">
        <f t="shared" si="5"/>
        <v>0.16666666666666663</v>
      </c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spans="1:26" ht="12.75" customHeight="1" x14ac:dyDescent="0.3">
      <c r="A91" s="107" t="s">
        <v>2027</v>
      </c>
      <c r="B91" s="107" t="s">
        <v>2187</v>
      </c>
      <c r="C91" s="107" t="s">
        <v>2179</v>
      </c>
      <c r="D91" s="108" t="s">
        <v>13</v>
      </c>
      <c r="E91" s="109">
        <v>802</v>
      </c>
      <c r="F91" s="109">
        <v>401</v>
      </c>
      <c r="G91" s="110">
        <f t="shared" si="3"/>
        <v>0.5</v>
      </c>
      <c r="H91" s="107"/>
      <c r="I91" s="110">
        <v>0.4</v>
      </c>
      <c r="J91" s="109">
        <f t="shared" si="4"/>
        <v>481.2</v>
      </c>
      <c r="K91" s="110">
        <f t="shared" si="5"/>
        <v>0.16666666666666663</v>
      </c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spans="1:26" ht="12.75" customHeight="1" x14ac:dyDescent="0.3">
      <c r="A92" s="107" t="s">
        <v>2027</v>
      </c>
      <c r="B92" s="107" t="s">
        <v>2188</v>
      </c>
      <c r="C92" s="107" t="s">
        <v>2189</v>
      </c>
      <c r="D92" s="108" t="s">
        <v>13</v>
      </c>
      <c r="E92" s="109">
        <v>1042</v>
      </c>
      <c r="F92" s="109">
        <v>521</v>
      </c>
      <c r="G92" s="110">
        <f t="shared" si="3"/>
        <v>0.5</v>
      </c>
      <c r="H92" s="107"/>
      <c r="I92" s="110">
        <v>0.4</v>
      </c>
      <c r="J92" s="109">
        <f t="shared" si="4"/>
        <v>625.19999999999993</v>
      </c>
      <c r="K92" s="110">
        <f t="shared" si="5"/>
        <v>0.16666666666666663</v>
      </c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spans="1:26" ht="12.75" customHeight="1" x14ac:dyDescent="0.3">
      <c r="A93" s="107" t="s">
        <v>2027</v>
      </c>
      <c r="B93" s="107" t="s">
        <v>2190</v>
      </c>
      <c r="C93" s="107" t="s">
        <v>2191</v>
      </c>
      <c r="D93" s="108" t="s">
        <v>13</v>
      </c>
      <c r="E93" s="109">
        <v>1002</v>
      </c>
      <c r="F93" s="109">
        <v>501</v>
      </c>
      <c r="G93" s="110">
        <f t="shared" si="3"/>
        <v>0.5</v>
      </c>
      <c r="H93" s="107"/>
      <c r="I93" s="110">
        <v>0.4</v>
      </c>
      <c r="J93" s="109">
        <f t="shared" si="4"/>
        <v>601.19999999999993</v>
      </c>
      <c r="K93" s="110">
        <f t="shared" si="5"/>
        <v>0.16666666666666652</v>
      </c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spans="1:26" ht="12.75" customHeight="1" x14ac:dyDescent="0.3">
      <c r="A94" s="107" t="s">
        <v>2027</v>
      </c>
      <c r="B94" s="107" t="s">
        <v>2192</v>
      </c>
      <c r="C94" s="107" t="s">
        <v>2193</v>
      </c>
      <c r="D94" s="108" t="s">
        <v>13</v>
      </c>
      <c r="E94" s="109">
        <v>922</v>
      </c>
      <c r="F94" s="109">
        <v>461</v>
      </c>
      <c r="G94" s="110">
        <f t="shared" si="3"/>
        <v>0.5</v>
      </c>
      <c r="H94" s="107"/>
      <c r="I94" s="110">
        <v>0.4</v>
      </c>
      <c r="J94" s="109">
        <f t="shared" si="4"/>
        <v>553.19999999999993</v>
      </c>
      <c r="K94" s="110">
        <f t="shared" si="5"/>
        <v>0.16666666666666652</v>
      </c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spans="1:26" ht="12.75" customHeight="1" x14ac:dyDescent="0.3">
      <c r="A95" s="107" t="s">
        <v>2027</v>
      </c>
      <c r="B95" s="107" t="s">
        <v>2194</v>
      </c>
      <c r="C95" s="107" t="s">
        <v>2195</v>
      </c>
      <c r="D95" s="108" t="s">
        <v>13</v>
      </c>
      <c r="E95" s="109">
        <v>1122</v>
      </c>
      <c r="F95" s="109">
        <v>561</v>
      </c>
      <c r="G95" s="110">
        <f t="shared" si="3"/>
        <v>0.5</v>
      </c>
      <c r="H95" s="107"/>
      <c r="I95" s="110">
        <v>0.4</v>
      </c>
      <c r="J95" s="109">
        <f t="shared" si="4"/>
        <v>673.19999999999993</v>
      </c>
      <c r="K95" s="110">
        <f t="shared" si="5"/>
        <v>0.16666666666666663</v>
      </c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spans="1:26" ht="12.75" customHeight="1" x14ac:dyDescent="0.3">
      <c r="A96" s="107" t="s">
        <v>2027</v>
      </c>
      <c r="B96" s="107" t="s">
        <v>2196</v>
      </c>
      <c r="C96" s="107" t="s">
        <v>2197</v>
      </c>
      <c r="D96" s="108" t="s">
        <v>13</v>
      </c>
      <c r="E96" s="109">
        <v>220</v>
      </c>
      <c r="F96" s="109">
        <v>110</v>
      </c>
      <c r="G96" s="110">
        <f t="shared" si="3"/>
        <v>0.5</v>
      </c>
      <c r="H96" s="107"/>
      <c r="I96" s="110">
        <v>0.4</v>
      </c>
      <c r="J96" s="109">
        <f t="shared" si="4"/>
        <v>132</v>
      </c>
      <c r="K96" s="110">
        <f t="shared" si="5"/>
        <v>0.16666666666666663</v>
      </c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spans="1:26" ht="12.75" customHeight="1" x14ac:dyDescent="0.3">
      <c r="A97" s="107" t="s">
        <v>2027</v>
      </c>
      <c r="B97" s="107" t="s">
        <v>2198</v>
      </c>
      <c r="C97" s="111" t="s">
        <v>2199</v>
      </c>
      <c r="D97" s="108" t="s">
        <v>13</v>
      </c>
      <c r="E97" s="109">
        <v>1280</v>
      </c>
      <c r="F97" s="109">
        <v>640</v>
      </c>
      <c r="G97" s="110">
        <f t="shared" si="3"/>
        <v>0.5</v>
      </c>
      <c r="H97" s="107"/>
      <c r="I97" s="110">
        <v>0.4</v>
      </c>
      <c r="J97" s="109">
        <f t="shared" si="4"/>
        <v>768</v>
      </c>
      <c r="K97" s="110">
        <f t="shared" si="5"/>
        <v>0.16666666666666663</v>
      </c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spans="1:26" ht="12.75" customHeight="1" x14ac:dyDescent="0.3">
      <c r="A98" s="107" t="s">
        <v>2027</v>
      </c>
      <c r="B98" s="107" t="s">
        <v>2200</v>
      </c>
      <c r="C98" s="111" t="s">
        <v>2201</v>
      </c>
      <c r="D98" s="108" t="s">
        <v>13</v>
      </c>
      <c r="E98" s="109">
        <v>1362</v>
      </c>
      <c r="F98" s="109">
        <v>681</v>
      </c>
      <c r="G98" s="110">
        <f t="shared" si="3"/>
        <v>0.5</v>
      </c>
      <c r="H98" s="107"/>
      <c r="I98" s="110">
        <v>0.4</v>
      </c>
      <c r="J98" s="109">
        <f t="shared" si="4"/>
        <v>817.19999999999993</v>
      </c>
      <c r="K98" s="110">
        <f t="shared" si="5"/>
        <v>0.16666666666666663</v>
      </c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spans="1:26" ht="12.75" customHeight="1" x14ac:dyDescent="0.3">
      <c r="A99" s="107" t="s">
        <v>2027</v>
      </c>
      <c r="B99" s="107" t="s">
        <v>2202</v>
      </c>
      <c r="C99" s="107" t="s">
        <v>2203</v>
      </c>
      <c r="D99" s="108" t="s">
        <v>13</v>
      </c>
      <c r="E99" s="109">
        <v>282</v>
      </c>
      <c r="F99" s="109">
        <v>141</v>
      </c>
      <c r="G99" s="110">
        <f t="shared" si="3"/>
        <v>0.5</v>
      </c>
      <c r="H99" s="107"/>
      <c r="I99" s="110">
        <v>0.4</v>
      </c>
      <c r="J99" s="109">
        <f t="shared" si="4"/>
        <v>169.2</v>
      </c>
      <c r="K99" s="110">
        <f t="shared" si="5"/>
        <v>0.16666666666666663</v>
      </c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spans="1:26" ht="12.75" customHeight="1" x14ac:dyDescent="0.3">
      <c r="A100" s="107" t="s">
        <v>2027</v>
      </c>
      <c r="B100" s="107" t="s">
        <v>2202</v>
      </c>
      <c r="C100" s="107" t="s">
        <v>2204</v>
      </c>
      <c r="D100" s="108" t="s">
        <v>13</v>
      </c>
      <c r="E100" s="109">
        <v>282</v>
      </c>
      <c r="F100" s="109">
        <v>141</v>
      </c>
      <c r="G100" s="110">
        <f t="shared" si="3"/>
        <v>0.5</v>
      </c>
      <c r="H100" s="107"/>
      <c r="I100" s="110">
        <v>0.4</v>
      </c>
      <c r="J100" s="109">
        <f t="shared" si="4"/>
        <v>169.2</v>
      </c>
      <c r="K100" s="110">
        <f t="shared" si="5"/>
        <v>0.16666666666666663</v>
      </c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spans="1:26" ht="12.75" customHeight="1" x14ac:dyDescent="0.3">
      <c r="A101" s="112" t="s">
        <v>2027</v>
      </c>
      <c r="B101" s="112" t="s">
        <v>2205</v>
      </c>
      <c r="C101" s="112" t="s">
        <v>2206</v>
      </c>
      <c r="D101" s="114" t="s">
        <v>13</v>
      </c>
      <c r="E101" s="115">
        <v>282</v>
      </c>
      <c r="F101" s="115">
        <v>141</v>
      </c>
      <c r="G101" s="116">
        <f t="shared" si="3"/>
        <v>0.5</v>
      </c>
      <c r="H101" s="112"/>
      <c r="I101" s="116">
        <v>0.4</v>
      </c>
      <c r="J101" s="115">
        <f t="shared" si="4"/>
        <v>169.2</v>
      </c>
      <c r="K101" s="116">
        <f t="shared" si="5"/>
        <v>0.16666666666666663</v>
      </c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spans="1:26" ht="12.75" customHeight="1" x14ac:dyDescent="0.3">
      <c r="A102" s="107" t="s">
        <v>2027</v>
      </c>
      <c r="B102" s="107" t="s">
        <v>2207</v>
      </c>
      <c r="C102" s="107" t="s">
        <v>2208</v>
      </c>
      <c r="D102" s="108" t="s">
        <v>13</v>
      </c>
      <c r="E102" s="109">
        <v>990</v>
      </c>
      <c r="F102" s="109">
        <v>495</v>
      </c>
      <c r="G102" s="110">
        <f t="shared" ref="G102:G191" si="6">1-(F102/E102)</f>
        <v>0.5</v>
      </c>
      <c r="H102" s="107"/>
      <c r="I102" s="110">
        <v>0.4</v>
      </c>
      <c r="J102" s="109">
        <f t="shared" ref="J102:J191" si="7">E102*(1-I102)</f>
        <v>594</v>
      </c>
      <c r="K102" s="110">
        <f t="shared" ref="K102:K191" si="8">1-(F102/J102)</f>
        <v>0.16666666666666663</v>
      </c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spans="1:26" ht="12.75" customHeight="1" x14ac:dyDescent="0.3">
      <c r="A103" s="107" t="s">
        <v>2027</v>
      </c>
      <c r="B103" s="107" t="s">
        <v>2209</v>
      </c>
      <c r="C103" s="107" t="s">
        <v>2210</v>
      </c>
      <c r="D103" s="108" t="s">
        <v>13</v>
      </c>
      <c r="E103" s="109">
        <v>1230</v>
      </c>
      <c r="F103" s="109">
        <v>615</v>
      </c>
      <c r="G103" s="110">
        <f t="shared" si="6"/>
        <v>0.5</v>
      </c>
      <c r="H103" s="107"/>
      <c r="I103" s="110">
        <v>0.4</v>
      </c>
      <c r="J103" s="109">
        <f t="shared" si="7"/>
        <v>738</v>
      </c>
      <c r="K103" s="110">
        <f t="shared" si="8"/>
        <v>0.16666666666666663</v>
      </c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spans="1:26" ht="12.75" customHeight="1" x14ac:dyDescent="0.3">
      <c r="A104" s="107" t="s">
        <v>2027</v>
      </c>
      <c r="B104" s="107" t="s">
        <v>2211</v>
      </c>
      <c r="C104" s="107" t="s">
        <v>2212</v>
      </c>
      <c r="D104" s="108" t="s">
        <v>13</v>
      </c>
      <c r="E104" s="109">
        <v>1190</v>
      </c>
      <c r="F104" s="109">
        <v>595</v>
      </c>
      <c r="G104" s="110">
        <f t="shared" si="6"/>
        <v>0.5</v>
      </c>
      <c r="H104" s="107"/>
      <c r="I104" s="110">
        <v>0.4</v>
      </c>
      <c r="J104" s="109">
        <f t="shared" si="7"/>
        <v>714</v>
      </c>
      <c r="K104" s="110">
        <f t="shared" si="8"/>
        <v>0.16666666666666663</v>
      </c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spans="1:26" ht="12.75" customHeight="1" x14ac:dyDescent="0.3">
      <c r="A105" s="107" t="s">
        <v>2027</v>
      </c>
      <c r="B105" s="107" t="s">
        <v>2213</v>
      </c>
      <c r="C105" s="107" t="s">
        <v>2214</v>
      </c>
      <c r="D105" s="108" t="s">
        <v>13</v>
      </c>
      <c r="E105" s="109">
        <v>1430</v>
      </c>
      <c r="F105" s="109">
        <v>715</v>
      </c>
      <c r="G105" s="110">
        <f t="shared" si="6"/>
        <v>0.5</v>
      </c>
      <c r="H105" s="107"/>
      <c r="I105" s="110">
        <v>0.4</v>
      </c>
      <c r="J105" s="109">
        <f t="shared" si="7"/>
        <v>858</v>
      </c>
      <c r="K105" s="110">
        <f t="shared" si="8"/>
        <v>0.16666666666666663</v>
      </c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spans="1:26" ht="12.75" customHeight="1" x14ac:dyDescent="0.3">
      <c r="A106" s="107" t="s">
        <v>2027</v>
      </c>
      <c r="B106" s="107" t="s">
        <v>2215</v>
      </c>
      <c r="C106" s="107" t="s">
        <v>2216</v>
      </c>
      <c r="D106" s="108" t="s">
        <v>13</v>
      </c>
      <c r="E106" s="109">
        <v>1390</v>
      </c>
      <c r="F106" s="109">
        <v>695</v>
      </c>
      <c r="G106" s="110">
        <f t="shared" si="6"/>
        <v>0.5</v>
      </c>
      <c r="H106" s="107"/>
      <c r="I106" s="110">
        <v>0.4</v>
      </c>
      <c r="J106" s="109">
        <f t="shared" si="7"/>
        <v>834</v>
      </c>
      <c r="K106" s="110">
        <f t="shared" si="8"/>
        <v>0.16666666666666663</v>
      </c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spans="1:26" ht="12.75" customHeight="1" x14ac:dyDescent="0.3">
      <c r="A107" s="107" t="s">
        <v>2027</v>
      </c>
      <c r="B107" s="107" t="s">
        <v>2217</v>
      </c>
      <c r="C107" s="111" t="s">
        <v>2218</v>
      </c>
      <c r="D107" s="108" t="s">
        <v>13</v>
      </c>
      <c r="E107" s="109">
        <v>1630</v>
      </c>
      <c r="F107" s="109">
        <v>815</v>
      </c>
      <c r="G107" s="110">
        <f t="shared" si="6"/>
        <v>0.5</v>
      </c>
      <c r="H107" s="107"/>
      <c r="I107" s="110">
        <v>0.4</v>
      </c>
      <c r="J107" s="109">
        <f t="shared" si="7"/>
        <v>978</v>
      </c>
      <c r="K107" s="110">
        <f t="shared" si="8"/>
        <v>0.16666666666666663</v>
      </c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spans="1:26" ht="12.75" customHeight="1" x14ac:dyDescent="0.3">
      <c r="A108" s="107" t="s">
        <v>2027</v>
      </c>
      <c r="B108" s="107" t="s">
        <v>2219</v>
      </c>
      <c r="C108" s="107" t="s">
        <v>2220</v>
      </c>
      <c r="D108" s="108" t="s">
        <v>13</v>
      </c>
      <c r="E108" s="109">
        <v>1590</v>
      </c>
      <c r="F108" s="109">
        <v>795</v>
      </c>
      <c r="G108" s="110">
        <f t="shared" si="6"/>
        <v>0.5</v>
      </c>
      <c r="H108" s="107"/>
      <c r="I108" s="110">
        <v>0.4</v>
      </c>
      <c r="J108" s="109">
        <f t="shared" si="7"/>
        <v>954</v>
      </c>
      <c r="K108" s="110">
        <f t="shared" si="8"/>
        <v>0.16666666666666663</v>
      </c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spans="1:26" ht="12.75" customHeight="1" x14ac:dyDescent="0.3">
      <c r="A109" s="107" t="s">
        <v>2027</v>
      </c>
      <c r="B109" s="107" t="s">
        <v>2221</v>
      </c>
      <c r="C109" s="111" t="s">
        <v>2222</v>
      </c>
      <c r="D109" s="108" t="s">
        <v>13</v>
      </c>
      <c r="E109" s="109">
        <v>1830</v>
      </c>
      <c r="F109" s="109">
        <v>915</v>
      </c>
      <c r="G109" s="110">
        <f t="shared" si="6"/>
        <v>0.5</v>
      </c>
      <c r="H109" s="107"/>
      <c r="I109" s="110">
        <v>0.4</v>
      </c>
      <c r="J109" s="109">
        <f t="shared" si="7"/>
        <v>1098</v>
      </c>
      <c r="K109" s="110">
        <f t="shared" si="8"/>
        <v>0.16666666666666663</v>
      </c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spans="1:26" ht="12.75" customHeight="1" x14ac:dyDescent="0.3">
      <c r="A110" s="107" t="s">
        <v>2027</v>
      </c>
      <c r="B110" s="107" t="s">
        <v>2223</v>
      </c>
      <c r="C110" s="107" t="s">
        <v>2224</v>
      </c>
      <c r="D110" s="108" t="s">
        <v>13</v>
      </c>
      <c r="E110" s="109">
        <v>1390</v>
      </c>
      <c r="F110" s="109">
        <v>695</v>
      </c>
      <c r="G110" s="110">
        <f t="shared" si="6"/>
        <v>0.5</v>
      </c>
      <c r="H110" s="107"/>
      <c r="I110" s="110">
        <v>0.4</v>
      </c>
      <c r="J110" s="109">
        <f t="shared" si="7"/>
        <v>834</v>
      </c>
      <c r="K110" s="110">
        <f t="shared" si="8"/>
        <v>0.16666666666666663</v>
      </c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spans="1:26" ht="12.75" customHeight="1" x14ac:dyDescent="0.3">
      <c r="A111" s="107" t="s">
        <v>2027</v>
      </c>
      <c r="B111" s="107" t="s">
        <v>2225</v>
      </c>
      <c r="C111" s="111" t="s">
        <v>2226</v>
      </c>
      <c r="D111" s="108" t="s">
        <v>13</v>
      </c>
      <c r="E111" s="109">
        <v>1630</v>
      </c>
      <c r="F111" s="109">
        <v>815</v>
      </c>
      <c r="G111" s="110">
        <f t="shared" si="6"/>
        <v>0.5</v>
      </c>
      <c r="H111" s="107"/>
      <c r="I111" s="110">
        <v>0.4</v>
      </c>
      <c r="J111" s="109">
        <f t="shared" si="7"/>
        <v>978</v>
      </c>
      <c r="K111" s="110">
        <f t="shared" si="8"/>
        <v>0.16666666666666663</v>
      </c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spans="1:26" ht="12.75" customHeight="1" x14ac:dyDescent="0.3">
      <c r="A112" s="107" t="s">
        <v>2027</v>
      </c>
      <c r="B112" s="107" t="s">
        <v>2227</v>
      </c>
      <c r="C112" s="107" t="s">
        <v>2228</v>
      </c>
      <c r="D112" s="108" t="s">
        <v>13</v>
      </c>
      <c r="E112" s="109">
        <v>1590</v>
      </c>
      <c r="F112" s="109">
        <v>795</v>
      </c>
      <c r="G112" s="110">
        <f t="shared" si="6"/>
        <v>0.5</v>
      </c>
      <c r="H112" s="107"/>
      <c r="I112" s="110">
        <v>0.4</v>
      </c>
      <c r="J112" s="109">
        <f t="shared" si="7"/>
        <v>954</v>
      </c>
      <c r="K112" s="110">
        <f t="shared" si="8"/>
        <v>0.16666666666666663</v>
      </c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spans="1:26" ht="12.75" customHeight="1" x14ac:dyDescent="0.3">
      <c r="A113" s="107" t="s">
        <v>2027</v>
      </c>
      <c r="B113" s="107" t="s">
        <v>2229</v>
      </c>
      <c r="C113" s="111" t="s">
        <v>2230</v>
      </c>
      <c r="D113" s="108" t="s">
        <v>13</v>
      </c>
      <c r="E113" s="109">
        <v>1830</v>
      </c>
      <c r="F113" s="109">
        <v>915</v>
      </c>
      <c r="G113" s="110">
        <f t="shared" si="6"/>
        <v>0.5</v>
      </c>
      <c r="H113" s="107"/>
      <c r="I113" s="110">
        <v>0.4</v>
      </c>
      <c r="J113" s="109">
        <f t="shared" si="7"/>
        <v>1098</v>
      </c>
      <c r="K113" s="110">
        <f t="shared" si="8"/>
        <v>0.16666666666666663</v>
      </c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spans="1:26" ht="12.75" customHeight="1" x14ac:dyDescent="0.3">
      <c r="A114" s="107" t="s">
        <v>2027</v>
      </c>
      <c r="B114" s="107" t="s">
        <v>2231</v>
      </c>
      <c r="C114" s="107" t="s">
        <v>2232</v>
      </c>
      <c r="D114" s="108" t="s">
        <v>13</v>
      </c>
      <c r="E114" s="109">
        <v>1790</v>
      </c>
      <c r="F114" s="109">
        <v>895</v>
      </c>
      <c r="G114" s="110">
        <f t="shared" si="6"/>
        <v>0.5</v>
      </c>
      <c r="H114" s="107"/>
      <c r="I114" s="110">
        <v>0.4</v>
      </c>
      <c r="J114" s="109">
        <f t="shared" si="7"/>
        <v>1074</v>
      </c>
      <c r="K114" s="110">
        <f t="shared" si="8"/>
        <v>0.16666666666666663</v>
      </c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spans="1:26" ht="12.75" customHeight="1" x14ac:dyDescent="0.3">
      <c r="A115" s="107" t="s">
        <v>2027</v>
      </c>
      <c r="B115" s="107" t="s">
        <v>2233</v>
      </c>
      <c r="C115" s="111" t="s">
        <v>2234</v>
      </c>
      <c r="D115" s="108" t="s">
        <v>13</v>
      </c>
      <c r="E115" s="109">
        <v>2030</v>
      </c>
      <c r="F115" s="109">
        <v>1015</v>
      </c>
      <c r="G115" s="110">
        <f t="shared" si="6"/>
        <v>0.5</v>
      </c>
      <c r="H115" s="107"/>
      <c r="I115" s="110">
        <v>0.4</v>
      </c>
      <c r="J115" s="109">
        <f t="shared" si="7"/>
        <v>1218</v>
      </c>
      <c r="K115" s="110">
        <f t="shared" si="8"/>
        <v>0.16666666666666663</v>
      </c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spans="1:26" ht="12.75" customHeight="1" x14ac:dyDescent="0.3">
      <c r="A116" s="107" t="s">
        <v>2027</v>
      </c>
      <c r="B116" s="107" t="s">
        <v>2235</v>
      </c>
      <c r="C116" s="107" t="s">
        <v>2236</v>
      </c>
      <c r="D116" s="108" t="s">
        <v>13</v>
      </c>
      <c r="E116" s="109">
        <v>1950</v>
      </c>
      <c r="F116" s="109">
        <v>975</v>
      </c>
      <c r="G116" s="110">
        <f t="shared" si="6"/>
        <v>0.5</v>
      </c>
      <c r="H116" s="107"/>
      <c r="I116" s="110">
        <v>0.4</v>
      </c>
      <c r="J116" s="109">
        <f t="shared" si="7"/>
        <v>1170</v>
      </c>
      <c r="K116" s="110">
        <f t="shared" si="8"/>
        <v>0.16666666666666663</v>
      </c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spans="1:26" ht="12.75" customHeight="1" x14ac:dyDescent="0.3">
      <c r="A117" s="117" t="s">
        <v>2027</v>
      </c>
      <c r="B117" s="117" t="s">
        <v>2237</v>
      </c>
      <c r="C117" s="121" t="s">
        <v>2238</v>
      </c>
      <c r="D117" s="122" t="s">
        <v>13</v>
      </c>
      <c r="E117" s="119">
        <v>2190</v>
      </c>
      <c r="F117" s="119">
        <v>1095</v>
      </c>
      <c r="G117" s="120">
        <f t="shared" si="6"/>
        <v>0.5</v>
      </c>
      <c r="H117" s="117"/>
      <c r="I117" s="120">
        <v>0.4</v>
      </c>
      <c r="J117" s="119">
        <f t="shared" si="7"/>
        <v>1314</v>
      </c>
      <c r="K117" s="120">
        <f t="shared" si="8"/>
        <v>0.16666666666666663</v>
      </c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spans="1:26" ht="12.75" customHeight="1" x14ac:dyDescent="0.3">
      <c r="A118" s="107" t="s">
        <v>2027</v>
      </c>
      <c r="B118" s="107" t="s">
        <v>2239</v>
      </c>
      <c r="C118" s="107" t="s">
        <v>2240</v>
      </c>
      <c r="D118" s="108" t="s">
        <v>13</v>
      </c>
      <c r="E118" s="109">
        <v>608</v>
      </c>
      <c r="F118" s="109">
        <v>304</v>
      </c>
      <c r="G118" s="110">
        <f t="shared" si="6"/>
        <v>0.5</v>
      </c>
      <c r="H118" s="107"/>
      <c r="I118" s="110">
        <v>0.4</v>
      </c>
      <c r="J118" s="109">
        <f t="shared" si="7"/>
        <v>364.8</v>
      </c>
      <c r="K118" s="110">
        <f t="shared" si="8"/>
        <v>0.16666666666666674</v>
      </c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spans="1:26" ht="12.75" customHeight="1" x14ac:dyDescent="0.3">
      <c r="A119" s="107" t="s">
        <v>2027</v>
      </c>
      <c r="B119" s="107" t="s">
        <v>2241</v>
      </c>
      <c r="C119" s="107" t="s">
        <v>2242</v>
      </c>
      <c r="D119" s="108" t="s">
        <v>13</v>
      </c>
      <c r="E119" s="109">
        <v>950</v>
      </c>
      <c r="F119" s="109">
        <v>475</v>
      </c>
      <c r="G119" s="110">
        <f t="shared" si="6"/>
        <v>0.5</v>
      </c>
      <c r="H119" s="107"/>
      <c r="I119" s="110">
        <v>0.4</v>
      </c>
      <c r="J119" s="109">
        <f t="shared" si="7"/>
        <v>570</v>
      </c>
      <c r="K119" s="110">
        <f t="shared" si="8"/>
        <v>0.16666666666666663</v>
      </c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spans="1:26" ht="12.75" customHeight="1" x14ac:dyDescent="0.3">
      <c r="A120" s="107" t="s">
        <v>2027</v>
      </c>
      <c r="B120" s="107" t="s">
        <v>2243</v>
      </c>
      <c r="C120" s="111" t="s">
        <v>2244</v>
      </c>
      <c r="D120" s="108" t="s">
        <v>13</v>
      </c>
      <c r="E120" s="109">
        <v>900</v>
      </c>
      <c r="F120" s="109">
        <v>450</v>
      </c>
      <c r="G120" s="110">
        <f t="shared" si="6"/>
        <v>0.5</v>
      </c>
      <c r="H120" s="107"/>
      <c r="I120" s="110">
        <v>0.4</v>
      </c>
      <c r="J120" s="109">
        <f t="shared" si="7"/>
        <v>540</v>
      </c>
      <c r="K120" s="110">
        <f t="shared" si="8"/>
        <v>0.16666666666666663</v>
      </c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spans="1:26" ht="12.75" customHeight="1" x14ac:dyDescent="0.3">
      <c r="A121" s="107" t="s">
        <v>2027</v>
      </c>
      <c r="B121" s="107" t="s">
        <v>2245</v>
      </c>
      <c r="C121" s="107" t="s">
        <v>2246</v>
      </c>
      <c r="D121" s="108" t="s">
        <v>13</v>
      </c>
      <c r="E121" s="109">
        <v>1190</v>
      </c>
      <c r="F121" s="109">
        <v>595</v>
      </c>
      <c r="G121" s="110">
        <f t="shared" si="6"/>
        <v>0.5</v>
      </c>
      <c r="H121" s="107"/>
      <c r="I121" s="110">
        <v>0.4</v>
      </c>
      <c r="J121" s="109">
        <f t="shared" si="7"/>
        <v>714</v>
      </c>
      <c r="K121" s="110">
        <f t="shared" si="8"/>
        <v>0.16666666666666663</v>
      </c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spans="1:26" ht="12.75" customHeight="1" x14ac:dyDescent="0.3">
      <c r="A122" s="107" t="s">
        <v>2027</v>
      </c>
      <c r="B122" s="107" t="s">
        <v>2247</v>
      </c>
      <c r="C122" s="111" t="s">
        <v>2248</v>
      </c>
      <c r="D122" s="108" t="s">
        <v>13</v>
      </c>
      <c r="E122" s="109">
        <v>1350</v>
      </c>
      <c r="F122" s="109">
        <v>675</v>
      </c>
      <c r="G122" s="110">
        <f t="shared" si="6"/>
        <v>0.5</v>
      </c>
      <c r="H122" s="107"/>
      <c r="I122" s="110">
        <v>0.4</v>
      </c>
      <c r="J122" s="109">
        <f t="shared" si="7"/>
        <v>810</v>
      </c>
      <c r="K122" s="110">
        <f t="shared" si="8"/>
        <v>0.16666666666666663</v>
      </c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spans="1:26" ht="12.75" customHeight="1" x14ac:dyDescent="0.3">
      <c r="A123" s="107" t="s">
        <v>2027</v>
      </c>
      <c r="B123" s="107" t="s">
        <v>2249</v>
      </c>
      <c r="C123" s="107" t="s">
        <v>2250</v>
      </c>
      <c r="D123" s="108" t="s">
        <v>13</v>
      </c>
      <c r="E123" s="109">
        <v>1008</v>
      </c>
      <c r="F123" s="109">
        <v>504</v>
      </c>
      <c r="G123" s="110">
        <f t="shared" si="6"/>
        <v>0.5</v>
      </c>
      <c r="H123" s="107"/>
      <c r="I123" s="110">
        <v>0.4</v>
      </c>
      <c r="J123" s="109">
        <f t="shared" si="7"/>
        <v>604.79999999999995</v>
      </c>
      <c r="K123" s="110">
        <f t="shared" si="8"/>
        <v>0.16666666666666663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spans="1:26" ht="12.75" customHeight="1" x14ac:dyDescent="0.3">
      <c r="A124" s="107" t="s">
        <v>2027</v>
      </c>
      <c r="B124" s="107" t="s">
        <v>2251</v>
      </c>
      <c r="C124" s="107" t="s">
        <v>2252</v>
      </c>
      <c r="D124" s="108" t="s">
        <v>13</v>
      </c>
      <c r="E124" s="109">
        <v>950</v>
      </c>
      <c r="F124" s="109">
        <v>475</v>
      </c>
      <c r="G124" s="110">
        <f t="shared" si="6"/>
        <v>0.5</v>
      </c>
      <c r="H124" s="107"/>
      <c r="I124" s="110">
        <v>0.4</v>
      </c>
      <c r="J124" s="109">
        <f t="shared" si="7"/>
        <v>570</v>
      </c>
      <c r="K124" s="110">
        <f t="shared" si="8"/>
        <v>0.16666666666666663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spans="1:26" ht="12.75" customHeight="1" x14ac:dyDescent="0.3">
      <c r="A125" s="107" t="s">
        <v>2027</v>
      </c>
      <c r="B125" s="107" t="s">
        <v>2253</v>
      </c>
      <c r="C125" s="111" t="s">
        <v>2254</v>
      </c>
      <c r="D125" s="108" t="s">
        <v>13</v>
      </c>
      <c r="E125" s="109">
        <v>1248</v>
      </c>
      <c r="F125" s="109">
        <v>624</v>
      </c>
      <c r="G125" s="110">
        <f t="shared" si="6"/>
        <v>0.5</v>
      </c>
      <c r="H125" s="107"/>
      <c r="I125" s="110">
        <v>0.4</v>
      </c>
      <c r="J125" s="109">
        <f t="shared" si="7"/>
        <v>748.8</v>
      </c>
      <c r="K125" s="110">
        <f t="shared" si="8"/>
        <v>0.16666666666666663</v>
      </c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spans="1:26" ht="12.75" customHeight="1" x14ac:dyDescent="0.3">
      <c r="A126" s="107" t="s">
        <v>2027</v>
      </c>
      <c r="B126" s="107" t="s">
        <v>2255</v>
      </c>
      <c r="C126" s="111" t="s">
        <v>2256</v>
      </c>
      <c r="D126" s="108" t="s">
        <v>13</v>
      </c>
      <c r="E126" s="109">
        <v>1350</v>
      </c>
      <c r="F126" s="109">
        <v>675</v>
      </c>
      <c r="G126" s="110">
        <f t="shared" si="6"/>
        <v>0.5</v>
      </c>
      <c r="H126" s="107"/>
      <c r="I126" s="110">
        <v>0.4</v>
      </c>
      <c r="J126" s="109">
        <f t="shared" si="7"/>
        <v>810</v>
      </c>
      <c r="K126" s="110">
        <f t="shared" si="8"/>
        <v>0.16666666666666663</v>
      </c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spans="1:26" ht="12.75" customHeight="1" x14ac:dyDescent="0.3">
      <c r="A127" s="107" t="s">
        <v>2027</v>
      </c>
      <c r="B127" s="107" t="s">
        <v>2257</v>
      </c>
      <c r="C127" s="107" t="s">
        <v>2258</v>
      </c>
      <c r="D127" s="108" t="s">
        <v>13</v>
      </c>
      <c r="E127" s="109">
        <v>1190</v>
      </c>
      <c r="F127" s="109">
        <v>595</v>
      </c>
      <c r="G127" s="110">
        <f t="shared" si="6"/>
        <v>0.5</v>
      </c>
      <c r="H127" s="107"/>
      <c r="I127" s="110">
        <v>0.4</v>
      </c>
      <c r="J127" s="109">
        <f t="shared" si="7"/>
        <v>714</v>
      </c>
      <c r="K127" s="110">
        <f t="shared" si="8"/>
        <v>0.16666666666666663</v>
      </c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spans="1:26" ht="12.75" customHeight="1" x14ac:dyDescent="0.3">
      <c r="A128" s="107" t="s">
        <v>2027</v>
      </c>
      <c r="B128" s="107" t="s">
        <v>2259</v>
      </c>
      <c r="C128" s="111" t="s">
        <v>2260</v>
      </c>
      <c r="D128" s="108" t="s">
        <v>13</v>
      </c>
      <c r="E128" s="109">
        <v>1430</v>
      </c>
      <c r="F128" s="109">
        <v>715</v>
      </c>
      <c r="G128" s="110">
        <f t="shared" si="6"/>
        <v>0.5</v>
      </c>
      <c r="H128" s="107"/>
      <c r="I128" s="110">
        <v>0.4</v>
      </c>
      <c r="J128" s="109">
        <f t="shared" si="7"/>
        <v>858</v>
      </c>
      <c r="K128" s="110">
        <f t="shared" si="8"/>
        <v>0.16666666666666663</v>
      </c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spans="1:26" ht="12.75" customHeight="1" x14ac:dyDescent="0.3">
      <c r="A129" s="117" t="s">
        <v>2027</v>
      </c>
      <c r="B129" s="117" t="s">
        <v>2261</v>
      </c>
      <c r="C129" s="121" t="s">
        <v>2262</v>
      </c>
      <c r="D129" s="122" t="s">
        <v>13</v>
      </c>
      <c r="E129" s="119">
        <v>2000</v>
      </c>
      <c r="F129" s="119">
        <v>1000</v>
      </c>
      <c r="G129" s="120">
        <f t="shared" si="6"/>
        <v>0.5</v>
      </c>
      <c r="H129" s="117"/>
      <c r="I129" s="120">
        <v>0.4</v>
      </c>
      <c r="J129" s="119">
        <f t="shared" si="7"/>
        <v>1200</v>
      </c>
      <c r="K129" s="120">
        <f t="shared" si="8"/>
        <v>0.16666666666666663</v>
      </c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spans="1:26" ht="12.75" customHeight="1" x14ac:dyDescent="0.3">
      <c r="A130" s="107" t="s">
        <v>2027</v>
      </c>
      <c r="B130" s="107" t="s">
        <v>2263</v>
      </c>
      <c r="C130" s="107" t="s">
        <v>2264</v>
      </c>
      <c r="D130" s="108" t="s">
        <v>13</v>
      </c>
      <c r="E130" s="109">
        <v>286</v>
      </c>
      <c r="F130" s="109">
        <v>143</v>
      </c>
      <c r="G130" s="110">
        <f t="shared" si="6"/>
        <v>0.5</v>
      </c>
      <c r="H130" s="107"/>
      <c r="I130" s="110">
        <v>0.4</v>
      </c>
      <c r="J130" s="109">
        <f t="shared" si="7"/>
        <v>171.6</v>
      </c>
      <c r="K130" s="110">
        <f t="shared" si="8"/>
        <v>0.16666666666666663</v>
      </c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spans="1:26" ht="12.75" customHeight="1" x14ac:dyDescent="0.3">
      <c r="A131" s="107" t="s">
        <v>2027</v>
      </c>
      <c r="B131" s="107" t="s">
        <v>2265</v>
      </c>
      <c r="C131" s="107" t="s">
        <v>2266</v>
      </c>
      <c r="D131" s="108" t="s">
        <v>13</v>
      </c>
      <c r="E131" s="109">
        <v>526</v>
      </c>
      <c r="F131" s="109">
        <v>263</v>
      </c>
      <c r="G131" s="110">
        <f t="shared" si="6"/>
        <v>0.5</v>
      </c>
      <c r="H131" s="107"/>
      <c r="I131" s="110">
        <v>0.4</v>
      </c>
      <c r="J131" s="109">
        <f t="shared" si="7"/>
        <v>315.59999999999997</v>
      </c>
      <c r="K131" s="110">
        <f t="shared" si="8"/>
        <v>0.16666666666666663</v>
      </c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spans="1:26" ht="12.75" customHeight="1" x14ac:dyDescent="0.3">
      <c r="A132" s="107" t="s">
        <v>2027</v>
      </c>
      <c r="B132" s="107" t="s">
        <v>2267</v>
      </c>
      <c r="C132" s="107" t="s">
        <v>2268</v>
      </c>
      <c r="D132" s="108" t="s">
        <v>13</v>
      </c>
      <c r="E132" s="109">
        <v>286</v>
      </c>
      <c r="F132" s="109">
        <v>143</v>
      </c>
      <c r="G132" s="110">
        <f t="shared" si="6"/>
        <v>0.5</v>
      </c>
      <c r="H132" s="107"/>
      <c r="I132" s="110">
        <v>0.4</v>
      </c>
      <c r="J132" s="109">
        <f t="shared" si="7"/>
        <v>171.6</v>
      </c>
      <c r="K132" s="110">
        <f t="shared" si="8"/>
        <v>0.16666666666666663</v>
      </c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spans="1:26" ht="12.75" customHeight="1" x14ac:dyDescent="0.3">
      <c r="A133" s="107" t="s">
        <v>2027</v>
      </c>
      <c r="B133" s="107" t="s">
        <v>2269</v>
      </c>
      <c r="C133" s="107" t="s">
        <v>2270</v>
      </c>
      <c r="D133" s="108" t="s">
        <v>13</v>
      </c>
      <c r="E133" s="109">
        <v>526</v>
      </c>
      <c r="F133" s="109">
        <v>263</v>
      </c>
      <c r="G133" s="110">
        <f t="shared" si="6"/>
        <v>0.5</v>
      </c>
      <c r="H133" s="107"/>
      <c r="I133" s="110">
        <v>0.4</v>
      </c>
      <c r="J133" s="109">
        <f t="shared" si="7"/>
        <v>315.59999999999997</v>
      </c>
      <c r="K133" s="110">
        <f t="shared" si="8"/>
        <v>0.16666666666666663</v>
      </c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spans="1:26" ht="12.75" customHeight="1" x14ac:dyDescent="0.3">
      <c r="A134" s="107" t="s">
        <v>2027</v>
      </c>
      <c r="B134" s="107" t="s">
        <v>2271</v>
      </c>
      <c r="C134" s="107" t="s">
        <v>2272</v>
      </c>
      <c r="D134" s="108" t="s">
        <v>13</v>
      </c>
      <c r="E134" s="109">
        <v>340</v>
      </c>
      <c r="F134" s="109">
        <v>170</v>
      </c>
      <c r="G134" s="110">
        <f t="shared" si="6"/>
        <v>0.5</v>
      </c>
      <c r="H134" s="107"/>
      <c r="I134" s="110">
        <v>0.4</v>
      </c>
      <c r="J134" s="109">
        <f t="shared" si="7"/>
        <v>204</v>
      </c>
      <c r="K134" s="110">
        <f t="shared" si="8"/>
        <v>0.16666666666666663</v>
      </c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spans="1:26" ht="12.75" customHeight="1" x14ac:dyDescent="0.3">
      <c r="A135" s="107" t="s">
        <v>2027</v>
      </c>
      <c r="B135" s="107" t="s">
        <v>2273</v>
      </c>
      <c r="C135" s="107" t="s">
        <v>2274</v>
      </c>
      <c r="D135" s="108" t="s">
        <v>13</v>
      </c>
      <c r="E135" s="109">
        <v>580</v>
      </c>
      <c r="F135" s="109">
        <v>290</v>
      </c>
      <c r="G135" s="110">
        <f t="shared" si="6"/>
        <v>0.5</v>
      </c>
      <c r="H135" s="107"/>
      <c r="I135" s="110">
        <v>0.4</v>
      </c>
      <c r="J135" s="109">
        <f t="shared" si="7"/>
        <v>348</v>
      </c>
      <c r="K135" s="110">
        <f t="shared" si="8"/>
        <v>0.16666666666666663</v>
      </c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spans="1:26" ht="12.75" customHeight="1" x14ac:dyDescent="0.3">
      <c r="A136" s="107" t="s">
        <v>2027</v>
      </c>
      <c r="B136" s="107" t="s">
        <v>2275</v>
      </c>
      <c r="C136" s="107" t="s">
        <v>2276</v>
      </c>
      <c r="D136" s="108" t="s">
        <v>13</v>
      </c>
      <c r="E136" s="109">
        <v>740</v>
      </c>
      <c r="F136" s="109">
        <v>370</v>
      </c>
      <c r="G136" s="110">
        <f t="shared" si="6"/>
        <v>0.5</v>
      </c>
      <c r="H136" s="107"/>
      <c r="I136" s="110">
        <v>0.4</v>
      </c>
      <c r="J136" s="109">
        <f t="shared" si="7"/>
        <v>444</v>
      </c>
      <c r="K136" s="110">
        <f t="shared" si="8"/>
        <v>0.16666666666666663</v>
      </c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spans="1:26" ht="12.75" customHeight="1" x14ac:dyDescent="0.3">
      <c r="A137" s="117" t="s">
        <v>2027</v>
      </c>
      <c r="B137" s="117" t="s">
        <v>2277</v>
      </c>
      <c r="C137" s="117" t="s">
        <v>2278</v>
      </c>
      <c r="D137" s="118" t="s">
        <v>13</v>
      </c>
      <c r="E137" s="119">
        <v>980</v>
      </c>
      <c r="F137" s="119">
        <v>490</v>
      </c>
      <c r="G137" s="120">
        <f t="shared" si="6"/>
        <v>0.5</v>
      </c>
      <c r="H137" s="117"/>
      <c r="I137" s="120">
        <v>0.4</v>
      </c>
      <c r="J137" s="119">
        <f t="shared" si="7"/>
        <v>588</v>
      </c>
      <c r="K137" s="120">
        <f t="shared" si="8"/>
        <v>0.16666666666666663</v>
      </c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spans="1:26" ht="12.75" customHeight="1" x14ac:dyDescent="0.3">
      <c r="A138" s="107" t="s">
        <v>2027</v>
      </c>
      <c r="B138" s="107" t="s">
        <v>2279</v>
      </c>
      <c r="C138" s="107" t="s">
        <v>2280</v>
      </c>
      <c r="D138" s="108" t="s">
        <v>13</v>
      </c>
      <c r="E138" s="109">
        <v>1590</v>
      </c>
      <c r="F138" s="109">
        <v>795</v>
      </c>
      <c r="G138" s="110">
        <f t="shared" si="6"/>
        <v>0.5</v>
      </c>
      <c r="H138" s="107"/>
      <c r="I138" s="110">
        <v>0.4</v>
      </c>
      <c r="J138" s="109">
        <f t="shared" si="7"/>
        <v>954</v>
      </c>
      <c r="K138" s="110">
        <f t="shared" si="8"/>
        <v>0.16666666666666663</v>
      </c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spans="1:26" ht="12.75" customHeight="1" x14ac:dyDescent="0.3">
      <c r="A139" s="107" t="s">
        <v>2027</v>
      </c>
      <c r="B139" s="107" t="s">
        <v>2281</v>
      </c>
      <c r="C139" s="107" t="s">
        <v>2282</v>
      </c>
      <c r="D139" s="108" t="s">
        <v>13</v>
      </c>
      <c r="E139" s="109">
        <v>1558</v>
      </c>
      <c r="F139" s="109">
        <v>779</v>
      </c>
      <c r="G139" s="110">
        <f t="shared" si="6"/>
        <v>0.5</v>
      </c>
      <c r="H139" s="107"/>
      <c r="I139" s="110">
        <v>0.4</v>
      </c>
      <c r="J139" s="109">
        <f t="shared" si="7"/>
        <v>934.8</v>
      </c>
      <c r="K139" s="110">
        <f t="shared" si="8"/>
        <v>0.16666666666666663</v>
      </c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spans="1:26" ht="12.75" customHeight="1" x14ac:dyDescent="0.3">
      <c r="A140" s="107" t="s">
        <v>2027</v>
      </c>
      <c r="B140" s="107" t="s">
        <v>2283</v>
      </c>
      <c r="C140" s="107" t="s">
        <v>2284</v>
      </c>
      <c r="D140" s="108" t="s">
        <v>13</v>
      </c>
      <c r="E140" s="109">
        <v>1798</v>
      </c>
      <c r="F140" s="109">
        <v>899</v>
      </c>
      <c r="G140" s="110">
        <f t="shared" si="6"/>
        <v>0.5</v>
      </c>
      <c r="H140" s="107"/>
      <c r="I140" s="110">
        <v>0.4</v>
      </c>
      <c r="J140" s="109">
        <f t="shared" si="7"/>
        <v>1078.8</v>
      </c>
      <c r="K140" s="110">
        <f t="shared" si="8"/>
        <v>0.16666666666666663</v>
      </c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spans="1:26" ht="12.75" customHeight="1" x14ac:dyDescent="0.3">
      <c r="A141" s="107" t="s">
        <v>2027</v>
      </c>
      <c r="B141" s="107" t="s">
        <v>2285</v>
      </c>
      <c r="C141" s="107" t="s">
        <v>2286</v>
      </c>
      <c r="D141" s="108" t="s">
        <v>13</v>
      </c>
      <c r="E141" s="109">
        <v>572</v>
      </c>
      <c r="F141" s="109">
        <v>286</v>
      </c>
      <c r="G141" s="110">
        <f t="shared" si="6"/>
        <v>0.5</v>
      </c>
      <c r="H141" s="107"/>
      <c r="I141" s="110">
        <v>0.4</v>
      </c>
      <c r="J141" s="109">
        <f t="shared" si="7"/>
        <v>343.2</v>
      </c>
      <c r="K141" s="110">
        <f t="shared" si="8"/>
        <v>0.16666666666666663</v>
      </c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spans="1:26" ht="12.75" customHeight="1" x14ac:dyDescent="0.3">
      <c r="A142" s="107" t="s">
        <v>2027</v>
      </c>
      <c r="B142" s="107" t="s">
        <v>2287</v>
      </c>
      <c r="C142" s="107" t="s">
        <v>2288</v>
      </c>
      <c r="D142" s="108" t="s">
        <v>13</v>
      </c>
      <c r="E142" s="109">
        <v>812</v>
      </c>
      <c r="F142" s="109">
        <v>406</v>
      </c>
      <c r="G142" s="110">
        <f t="shared" si="6"/>
        <v>0.5</v>
      </c>
      <c r="H142" s="107"/>
      <c r="I142" s="110">
        <v>0.4</v>
      </c>
      <c r="J142" s="109">
        <f t="shared" si="7"/>
        <v>487.2</v>
      </c>
      <c r="K142" s="110">
        <f t="shared" si="8"/>
        <v>0.16666666666666663</v>
      </c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spans="1:26" ht="12.75" customHeight="1" x14ac:dyDescent="0.3">
      <c r="A143" s="107" t="s">
        <v>2027</v>
      </c>
      <c r="B143" s="107" t="s">
        <v>2289</v>
      </c>
      <c r="C143" s="107" t="s">
        <v>2290</v>
      </c>
      <c r="D143" s="108" t="s">
        <v>13</v>
      </c>
      <c r="E143" s="109">
        <v>244</v>
      </c>
      <c r="F143" s="109">
        <v>122</v>
      </c>
      <c r="G143" s="110">
        <f t="shared" si="6"/>
        <v>0.5</v>
      </c>
      <c r="H143" s="107"/>
      <c r="I143" s="110">
        <v>0.4</v>
      </c>
      <c r="J143" s="109">
        <f t="shared" si="7"/>
        <v>146.4</v>
      </c>
      <c r="K143" s="110">
        <f t="shared" si="8"/>
        <v>0.16666666666666674</v>
      </c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spans="1:26" ht="12.75" customHeight="1" x14ac:dyDescent="0.3">
      <c r="A144" s="117" t="s">
        <v>2027</v>
      </c>
      <c r="B144" s="117" t="s">
        <v>2291</v>
      </c>
      <c r="C144" s="117" t="s">
        <v>2292</v>
      </c>
      <c r="D144" s="118" t="s">
        <v>13</v>
      </c>
      <c r="E144" s="119">
        <v>484</v>
      </c>
      <c r="F144" s="119">
        <v>242</v>
      </c>
      <c r="G144" s="120">
        <f t="shared" si="6"/>
        <v>0.5</v>
      </c>
      <c r="H144" s="117"/>
      <c r="I144" s="120">
        <v>0.4</v>
      </c>
      <c r="J144" s="119">
        <f t="shared" si="7"/>
        <v>290.39999999999998</v>
      </c>
      <c r="K144" s="120">
        <f t="shared" si="8"/>
        <v>0.16666666666666663</v>
      </c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spans="1:26" ht="12.75" customHeight="1" x14ac:dyDescent="0.3">
      <c r="A145" s="107" t="s">
        <v>2027</v>
      </c>
      <c r="B145" s="107" t="s">
        <v>2293</v>
      </c>
      <c r="C145" s="107" t="s">
        <v>2294</v>
      </c>
      <c r="D145" s="108" t="s">
        <v>13</v>
      </c>
      <c r="E145" s="109">
        <v>572</v>
      </c>
      <c r="F145" s="109">
        <v>286</v>
      </c>
      <c r="G145" s="110">
        <f t="shared" si="6"/>
        <v>0.5</v>
      </c>
      <c r="H145" s="107"/>
      <c r="I145" s="110">
        <v>0.4</v>
      </c>
      <c r="J145" s="109">
        <f t="shared" si="7"/>
        <v>343.2</v>
      </c>
      <c r="K145" s="110">
        <f t="shared" si="8"/>
        <v>0.16666666666666663</v>
      </c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spans="1:26" ht="12.75" customHeight="1" x14ac:dyDescent="0.3">
      <c r="A146" s="107" t="s">
        <v>2027</v>
      </c>
      <c r="B146" s="107" t="s">
        <v>2295</v>
      </c>
      <c r="C146" s="107" t="s">
        <v>2296</v>
      </c>
      <c r="D146" s="108" t="s">
        <v>13</v>
      </c>
      <c r="E146" s="109">
        <v>812</v>
      </c>
      <c r="F146" s="109">
        <v>406</v>
      </c>
      <c r="G146" s="110">
        <f t="shared" si="6"/>
        <v>0.5</v>
      </c>
      <c r="H146" s="107"/>
      <c r="I146" s="110">
        <v>0.4</v>
      </c>
      <c r="J146" s="109">
        <f t="shared" si="7"/>
        <v>487.2</v>
      </c>
      <c r="K146" s="110">
        <f t="shared" si="8"/>
        <v>0.16666666666666663</v>
      </c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spans="1:26" ht="12.75" customHeight="1" x14ac:dyDescent="0.3">
      <c r="A147" s="107" t="s">
        <v>2027</v>
      </c>
      <c r="B147" s="107" t="s">
        <v>2297</v>
      </c>
      <c r="C147" s="107" t="s">
        <v>2298</v>
      </c>
      <c r="D147" s="108" t="s">
        <v>13</v>
      </c>
      <c r="E147" s="109">
        <v>244</v>
      </c>
      <c r="F147" s="109">
        <v>122</v>
      </c>
      <c r="G147" s="110">
        <f t="shared" si="6"/>
        <v>0.5</v>
      </c>
      <c r="H147" s="107"/>
      <c r="I147" s="110">
        <v>0.4</v>
      </c>
      <c r="J147" s="109">
        <f t="shared" si="7"/>
        <v>146.4</v>
      </c>
      <c r="K147" s="110">
        <f t="shared" si="8"/>
        <v>0.16666666666666674</v>
      </c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spans="1:26" ht="12.75" customHeight="1" x14ac:dyDescent="0.3">
      <c r="A148" s="117" t="s">
        <v>2027</v>
      </c>
      <c r="B148" s="117" t="s">
        <v>2299</v>
      </c>
      <c r="C148" s="117" t="s">
        <v>2300</v>
      </c>
      <c r="D148" s="118" t="s">
        <v>13</v>
      </c>
      <c r="E148" s="119">
        <v>484</v>
      </c>
      <c r="F148" s="119">
        <v>242</v>
      </c>
      <c r="G148" s="120">
        <f t="shared" si="6"/>
        <v>0.5</v>
      </c>
      <c r="H148" s="117"/>
      <c r="I148" s="120">
        <v>0.4</v>
      </c>
      <c r="J148" s="119">
        <f t="shared" si="7"/>
        <v>290.39999999999998</v>
      </c>
      <c r="K148" s="120">
        <f t="shared" si="8"/>
        <v>0.16666666666666663</v>
      </c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spans="1:26" ht="12.75" customHeight="1" x14ac:dyDescent="0.3">
      <c r="A149" s="107" t="s">
        <v>2027</v>
      </c>
      <c r="B149" s="107" t="s">
        <v>2301</v>
      </c>
      <c r="C149" s="107" t="s">
        <v>2302</v>
      </c>
      <c r="D149" s="108" t="s">
        <v>13</v>
      </c>
      <c r="E149" s="109">
        <v>402</v>
      </c>
      <c r="F149" s="109">
        <v>201</v>
      </c>
      <c r="G149" s="110">
        <f t="shared" si="6"/>
        <v>0.5</v>
      </c>
      <c r="H149" s="107"/>
      <c r="I149" s="110">
        <v>0.4</v>
      </c>
      <c r="J149" s="109">
        <f t="shared" si="7"/>
        <v>241.2</v>
      </c>
      <c r="K149" s="110">
        <f t="shared" si="8"/>
        <v>0.16666666666666663</v>
      </c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spans="1:26" ht="12.75" customHeight="1" x14ac:dyDescent="0.3">
      <c r="A150" s="107" t="s">
        <v>2027</v>
      </c>
      <c r="B150" s="107" t="s">
        <v>2303</v>
      </c>
      <c r="C150" s="107" t="s">
        <v>2302</v>
      </c>
      <c r="D150" s="108" t="s">
        <v>13</v>
      </c>
      <c r="E150" s="109">
        <v>642</v>
      </c>
      <c r="F150" s="109">
        <v>321</v>
      </c>
      <c r="G150" s="110">
        <f t="shared" si="6"/>
        <v>0.5</v>
      </c>
      <c r="H150" s="107"/>
      <c r="I150" s="110">
        <v>0.4</v>
      </c>
      <c r="J150" s="109">
        <f t="shared" si="7"/>
        <v>385.2</v>
      </c>
      <c r="K150" s="110">
        <f t="shared" si="8"/>
        <v>0.16666666666666663</v>
      </c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spans="1:26" ht="12.75" customHeight="1" x14ac:dyDescent="0.3">
      <c r="A151" s="107" t="s">
        <v>2027</v>
      </c>
      <c r="B151" s="107" t="s">
        <v>2304</v>
      </c>
      <c r="C151" s="107" t="s">
        <v>2305</v>
      </c>
      <c r="D151" s="108" t="s">
        <v>13</v>
      </c>
      <c r="E151" s="109">
        <v>602</v>
      </c>
      <c r="F151" s="109">
        <v>301</v>
      </c>
      <c r="G151" s="110">
        <f t="shared" si="6"/>
        <v>0.5</v>
      </c>
      <c r="H151" s="107"/>
      <c r="I151" s="110">
        <v>0.4</v>
      </c>
      <c r="J151" s="109">
        <f t="shared" si="7"/>
        <v>361.2</v>
      </c>
      <c r="K151" s="110">
        <f t="shared" si="8"/>
        <v>0.16666666666666663</v>
      </c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spans="1:26" ht="12.75" customHeight="1" x14ac:dyDescent="0.3">
      <c r="A152" s="107" t="s">
        <v>2027</v>
      </c>
      <c r="B152" s="107" t="s">
        <v>2306</v>
      </c>
      <c r="C152" s="107" t="s">
        <v>2305</v>
      </c>
      <c r="D152" s="108" t="s">
        <v>13</v>
      </c>
      <c r="E152" s="109">
        <v>842</v>
      </c>
      <c r="F152" s="109">
        <v>421</v>
      </c>
      <c r="G152" s="110">
        <f t="shared" si="6"/>
        <v>0.5</v>
      </c>
      <c r="H152" s="107"/>
      <c r="I152" s="110">
        <v>0.4</v>
      </c>
      <c r="J152" s="109">
        <f t="shared" si="7"/>
        <v>505.2</v>
      </c>
      <c r="K152" s="110">
        <f t="shared" si="8"/>
        <v>0.16666666666666663</v>
      </c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spans="1:26" ht="12.75" customHeight="1" x14ac:dyDescent="0.3">
      <c r="A153" s="107" t="s">
        <v>2027</v>
      </c>
      <c r="B153" s="107" t="s">
        <v>2307</v>
      </c>
      <c r="C153" s="107" t="s">
        <v>2308</v>
      </c>
      <c r="D153" s="108" t="s">
        <v>13</v>
      </c>
      <c r="E153" s="109">
        <v>470</v>
      </c>
      <c r="F153" s="109">
        <v>235</v>
      </c>
      <c r="G153" s="110">
        <f t="shared" si="6"/>
        <v>0.5</v>
      </c>
      <c r="H153" s="107"/>
      <c r="I153" s="110">
        <v>0.4</v>
      </c>
      <c r="J153" s="109">
        <f t="shared" si="7"/>
        <v>282</v>
      </c>
      <c r="K153" s="110">
        <f t="shared" si="8"/>
        <v>0.16666666666666663</v>
      </c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spans="1:26" ht="12.75" customHeight="1" x14ac:dyDescent="0.3">
      <c r="A154" s="107" t="s">
        <v>2027</v>
      </c>
      <c r="B154" s="107" t="s">
        <v>2309</v>
      </c>
      <c r="C154" s="107" t="s">
        <v>2308</v>
      </c>
      <c r="D154" s="108" t="s">
        <v>13</v>
      </c>
      <c r="E154" s="109">
        <v>710</v>
      </c>
      <c r="F154" s="109">
        <v>355</v>
      </c>
      <c r="G154" s="110">
        <f t="shared" si="6"/>
        <v>0.5</v>
      </c>
      <c r="H154" s="107"/>
      <c r="I154" s="110">
        <v>0.4</v>
      </c>
      <c r="J154" s="109">
        <f t="shared" si="7"/>
        <v>426</v>
      </c>
      <c r="K154" s="110">
        <f t="shared" si="8"/>
        <v>0.16666666666666663</v>
      </c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spans="1:26" ht="12.75" customHeight="1" x14ac:dyDescent="0.3">
      <c r="A155" s="107" t="s">
        <v>2027</v>
      </c>
      <c r="B155" s="107" t="s">
        <v>2310</v>
      </c>
      <c r="C155" s="107" t="s">
        <v>2311</v>
      </c>
      <c r="D155" s="108" t="s">
        <v>13</v>
      </c>
      <c r="E155" s="109">
        <v>402</v>
      </c>
      <c r="F155" s="109">
        <v>201</v>
      </c>
      <c r="G155" s="110">
        <f t="shared" si="6"/>
        <v>0.5</v>
      </c>
      <c r="H155" s="107"/>
      <c r="I155" s="110">
        <v>0.4</v>
      </c>
      <c r="J155" s="109">
        <f t="shared" si="7"/>
        <v>241.2</v>
      </c>
      <c r="K155" s="110">
        <f t="shared" si="8"/>
        <v>0.16666666666666663</v>
      </c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spans="1:26" ht="12.75" customHeight="1" x14ac:dyDescent="0.3">
      <c r="A156" s="107" t="s">
        <v>2027</v>
      </c>
      <c r="B156" s="107" t="s">
        <v>2312</v>
      </c>
      <c r="C156" s="107" t="s">
        <v>2313</v>
      </c>
      <c r="D156" s="108" t="s">
        <v>13</v>
      </c>
      <c r="E156" s="109">
        <v>642</v>
      </c>
      <c r="F156" s="109">
        <v>321</v>
      </c>
      <c r="G156" s="110">
        <f t="shared" si="6"/>
        <v>0.5</v>
      </c>
      <c r="H156" s="107"/>
      <c r="I156" s="110">
        <v>0.4</v>
      </c>
      <c r="J156" s="109">
        <f t="shared" si="7"/>
        <v>385.2</v>
      </c>
      <c r="K156" s="110">
        <f t="shared" si="8"/>
        <v>0.16666666666666663</v>
      </c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spans="1:26" ht="12.75" customHeight="1" x14ac:dyDescent="0.3">
      <c r="A157" s="107" t="s">
        <v>2027</v>
      </c>
      <c r="B157" s="107" t="s">
        <v>2314</v>
      </c>
      <c r="C157" s="107" t="s">
        <v>2315</v>
      </c>
      <c r="D157" s="108" t="s">
        <v>13</v>
      </c>
      <c r="E157" s="109">
        <v>602</v>
      </c>
      <c r="F157" s="109">
        <v>301</v>
      </c>
      <c r="G157" s="110">
        <f t="shared" si="6"/>
        <v>0.5</v>
      </c>
      <c r="H157" s="107"/>
      <c r="I157" s="110">
        <v>0.4</v>
      </c>
      <c r="J157" s="109">
        <f t="shared" si="7"/>
        <v>361.2</v>
      </c>
      <c r="K157" s="110">
        <f t="shared" si="8"/>
        <v>0.16666666666666663</v>
      </c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spans="1:26" ht="12.75" customHeight="1" x14ac:dyDescent="0.3">
      <c r="A158" s="107" t="s">
        <v>2027</v>
      </c>
      <c r="B158" s="107" t="s">
        <v>2316</v>
      </c>
      <c r="C158" s="107" t="s">
        <v>2317</v>
      </c>
      <c r="D158" s="108" t="s">
        <v>13</v>
      </c>
      <c r="E158" s="109">
        <v>842</v>
      </c>
      <c r="F158" s="109">
        <v>421</v>
      </c>
      <c r="G158" s="110">
        <f t="shared" si="6"/>
        <v>0.5</v>
      </c>
      <c r="H158" s="107"/>
      <c r="I158" s="110">
        <v>0.4</v>
      </c>
      <c r="J158" s="109">
        <f t="shared" si="7"/>
        <v>505.2</v>
      </c>
      <c r="K158" s="110">
        <f t="shared" si="8"/>
        <v>0.16666666666666663</v>
      </c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spans="1:26" ht="12.75" customHeight="1" x14ac:dyDescent="0.3">
      <c r="A159" s="107" t="s">
        <v>2027</v>
      </c>
      <c r="B159" s="107" t="s">
        <v>2318</v>
      </c>
      <c r="C159" s="107" t="s">
        <v>2319</v>
      </c>
      <c r="D159" s="108" t="s">
        <v>13</v>
      </c>
      <c r="E159" s="109">
        <v>802</v>
      </c>
      <c r="F159" s="109">
        <v>401</v>
      </c>
      <c r="G159" s="110">
        <f t="shared" si="6"/>
        <v>0.5</v>
      </c>
      <c r="H159" s="107"/>
      <c r="I159" s="110">
        <v>0.4</v>
      </c>
      <c r="J159" s="109">
        <f t="shared" si="7"/>
        <v>481.2</v>
      </c>
      <c r="K159" s="110">
        <f t="shared" si="8"/>
        <v>0.16666666666666663</v>
      </c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spans="1:26" ht="12.75" customHeight="1" x14ac:dyDescent="0.3">
      <c r="A160" s="107" t="s">
        <v>2027</v>
      </c>
      <c r="B160" s="107" t="s">
        <v>2320</v>
      </c>
      <c r="C160" s="107" t="s">
        <v>2321</v>
      </c>
      <c r="D160" s="108" t="s">
        <v>13</v>
      </c>
      <c r="E160" s="109">
        <v>1042</v>
      </c>
      <c r="F160" s="109">
        <v>521</v>
      </c>
      <c r="G160" s="110">
        <f t="shared" si="6"/>
        <v>0.5</v>
      </c>
      <c r="H160" s="107"/>
      <c r="I160" s="110">
        <v>0.4</v>
      </c>
      <c r="J160" s="109">
        <f t="shared" si="7"/>
        <v>625.19999999999993</v>
      </c>
      <c r="K160" s="110">
        <f t="shared" si="8"/>
        <v>0.16666666666666663</v>
      </c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spans="1:26" ht="12.75" customHeight="1" x14ac:dyDescent="0.3">
      <c r="A161" s="107" t="s">
        <v>2027</v>
      </c>
      <c r="B161" s="107" t="s">
        <v>2322</v>
      </c>
      <c r="C161" s="107" t="s">
        <v>2323</v>
      </c>
      <c r="D161" s="108" t="s">
        <v>13</v>
      </c>
      <c r="E161" s="109">
        <v>1002</v>
      </c>
      <c r="F161" s="109">
        <v>501</v>
      </c>
      <c r="G161" s="110">
        <f t="shared" si="6"/>
        <v>0.5</v>
      </c>
      <c r="H161" s="107"/>
      <c r="I161" s="110">
        <v>0.4</v>
      </c>
      <c r="J161" s="109">
        <f t="shared" si="7"/>
        <v>601.19999999999993</v>
      </c>
      <c r="K161" s="110">
        <f t="shared" si="8"/>
        <v>0.16666666666666652</v>
      </c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spans="1:26" ht="12.75" customHeight="1" x14ac:dyDescent="0.3">
      <c r="A162" s="117" t="s">
        <v>2027</v>
      </c>
      <c r="B162" s="117" t="s">
        <v>2324</v>
      </c>
      <c r="C162" s="121" t="s">
        <v>2325</v>
      </c>
      <c r="D162" s="122" t="s">
        <v>13</v>
      </c>
      <c r="E162" s="119">
        <v>1242</v>
      </c>
      <c r="F162" s="119">
        <v>621</v>
      </c>
      <c r="G162" s="120">
        <f t="shared" si="6"/>
        <v>0.5</v>
      </c>
      <c r="H162" s="117"/>
      <c r="I162" s="120">
        <v>0.4</v>
      </c>
      <c r="J162" s="119">
        <f t="shared" si="7"/>
        <v>745.19999999999993</v>
      </c>
      <c r="K162" s="120">
        <f t="shared" si="8"/>
        <v>0.16666666666666663</v>
      </c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spans="1:26" ht="12.75" customHeight="1" x14ac:dyDescent="0.3">
      <c r="A163" s="107" t="s">
        <v>2027</v>
      </c>
      <c r="B163" s="107" t="s">
        <v>2326</v>
      </c>
      <c r="C163" s="107" t="s">
        <v>2327</v>
      </c>
      <c r="D163" s="108" t="s">
        <v>13</v>
      </c>
      <c r="E163" s="109">
        <v>420</v>
      </c>
      <c r="F163" s="109">
        <v>210</v>
      </c>
      <c r="G163" s="110">
        <f t="shared" si="6"/>
        <v>0.5</v>
      </c>
      <c r="H163" s="107"/>
      <c r="I163" s="110">
        <v>0.4</v>
      </c>
      <c r="J163" s="109">
        <f t="shared" si="7"/>
        <v>252</v>
      </c>
      <c r="K163" s="110">
        <f t="shared" si="8"/>
        <v>0.16666666666666663</v>
      </c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spans="1:26" ht="12.75" customHeight="1" x14ac:dyDescent="0.3">
      <c r="A164" s="107" t="s">
        <v>2027</v>
      </c>
      <c r="B164" s="107" t="s">
        <v>2328</v>
      </c>
      <c r="C164" s="107" t="s">
        <v>2329</v>
      </c>
      <c r="D164" s="108" t="s">
        <v>13</v>
      </c>
      <c r="E164" s="109">
        <v>660</v>
      </c>
      <c r="F164" s="109">
        <v>330</v>
      </c>
      <c r="G164" s="110">
        <f t="shared" si="6"/>
        <v>0.5</v>
      </c>
      <c r="H164" s="107"/>
      <c r="I164" s="110">
        <v>0.4</v>
      </c>
      <c r="J164" s="109">
        <f t="shared" si="7"/>
        <v>396</v>
      </c>
      <c r="K164" s="110">
        <f t="shared" si="8"/>
        <v>0.16666666666666663</v>
      </c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spans="1:26" ht="12.75" customHeight="1" x14ac:dyDescent="0.3">
      <c r="A165" s="107" t="s">
        <v>2027</v>
      </c>
      <c r="B165" s="107" t="s">
        <v>2330</v>
      </c>
      <c r="C165" s="107" t="s">
        <v>2331</v>
      </c>
      <c r="D165" s="108" t="s">
        <v>13</v>
      </c>
      <c r="E165" s="109">
        <v>420</v>
      </c>
      <c r="F165" s="109">
        <v>210</v>
      </c>
      <c r="G165" s="110">
        <f t="shared" si="6"/>
        <v>0.5</v>
      </c>
      <c r="H165" s="107"/>
      <c r="I165" s="110">
        <v>0.4</v>
      </c>
      <c r="J165" s="109">
        <f t="shared" si="7"/>
        <v>252</v>
      </c>
      <c r="K165" s="110">
        <f t="shared" si="8"/>
        <v>0.16666666666666663</v>
      </c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spans="1:26" ht="12.75" customHeight="1" x14ac:dyDescent="0.3">
      <c r="A166" s="107" t="s">
        <v>2027</v>
      </c>
      <c r="B166" s="107" t="s">
        <v>2332</v>
      </c>
      <c r="C166" s="107" t="s">
        <v>2333</v>
      </c>
      <c r="D166" s="108" t="s">
        <v>13</v>
      </c>
      <c r="E166" s="109">
        <v>660</v>
      </c>
      <c r="F166" s="109">
        <v>330</v>
      </c>
      <c r="G166" s="110">
        <f t="shared" si="6"/>
        <v>0.5</v>
      </c>
      <c r="H166" s="107"/>
      <c r="I166" s="110">
        <v>0.4</v>
      </c>
      <c r="J166" s="109">
        <f t="shared" si="7"/>
        <v>396</v>
      </c>
      <c r="K166" s="110">
        <f t="shared" si="8"/>
        <v>0.16666666666666663</v>
      </c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spans="1:26" ht="12.75" customHeight="1" x14ac:dyDescent="0.3">
      <c r="A167" s="107" t="s">
        <v>2027</v>
      </c>
      <c r="B167" s="107" t="s">
        <v>2334</v>
      </c>
      <c r="C167" s="107" t="s">
        <v>2335</v>
      </c>
      <c r="D167" s="108" t="s">
        <v>13</v>
      </c>
      <c r="E167" s="109">
        <v>380</v>
      </c>
      <c r="F167" s="109">
        <v>190</v>
      </c>
      <c r="G167" s="110">
        <f t="shared" si="6"/>
        <v>0.5</v>
      </c>
      <c r="H167" s="107"/>
      <c r="I167" s="110">
        <v>0.4</v>
      </c>
      <c r="J167" s="109">
        <f t="shared" si="7"/>
        <v>228</v>
      </c>
      <c r="K167" s="110">
        <f t="shared" si="8"/>
        <v>0.16666666666666663</v>
      </c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spans="1:26" ht="12.75" customHeight="1" x14ac:dyDescent="0.3">
      <c r="A168" s="107" t="s">
        <v>2027</v>
      </c>
      <c r="B168" s="107" t="s">
        <v>2336</v>
      </c>
      <c r="C168" s="107" t="s">
        <v>2337</v>
      </c>
      <c r="D168" s="108" t="s">
        <v>13</v>
      </c>
      <c r="E168" s="109">
        <v>620</v>
      </c>
      <c r="F168" s="109">
        <v>310</v>
      </c>
      <c r="G168" s="110">
        <f t="shared" si="6"/>
        <v>0.5</v>
      </c>
      <c r="H168" s="107"/>
      <c r="I168" s="110">
        <v>0.4</v>
      </c>
      <c r="J168" s="109">
        <f t="shared" si="7"/>
        <v>372</v>
      </c>
      <c r="K168" s="110">
        <f t="shared" si="8"/>
        <v>0.16666666666666663</v>
      </c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spans="1:26" ht="12.75" customHeight="1" x14ac:dyDescent="0.3">
      <c r="A169" s="117" t="s">
        <v>2027</v>
      </c>
      <c r="B169" s="117" t="s">
        <v>2338</v>
      </c>
      <c r="C169" s="117" t="s">
        <v>2339</v>
      </c>
      <c r="D169" s="118" t="s">
        <v>13</v>
      </c>
      <c r="E169" s="119">
        <v>420</v>
      </c>
      <c r="F169" s="119">
        <v>210</v>
      </c>
      <c r="G169" s="120">
        <f t="shared" si="6"/>
        <v>0.5</v>
      </c>
      <c r="H169" s="117"/>
      <c r="I169" s="120">
        <v>0.4</v>
      </c>
      <c r="J169" s="119">
        <f t="shared" si="7"/>
        <v>252</v>
      </c>
      <c r="K169" s="120">
        <f t="shared" si="8"/>
        <v>0.16666666666666663</v>
      </c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spans="1:26" ht="12.75" customHeight="1" x14ac:dyDescent="0.3">
      <c r="A170" s="107" t="s">
        <v>2027</v>
      </c>
      <c r="B170" s="107" t="s">
        <v>2340</v>
      </c>
      <c r="C170" s="107" t="s">
        <v>2341</v>
      </c>
      <c r="D170" s="108" t="s">
        <v>13</v>
      </c>
      <c r="E170" s="109">
        <v>798</v>
      </c>
      <c r="F170" s="109">
        <v>648.30999999999995</v>
      </c>
      <c r="G170" s="110">
        <f t="shared" si="6"/>
        <v>0.18758145363408529</v>
      </c>
      <c r="H170" s="107"/>
      <c r="I170" s="110">
        <v>0.4</v>
      </c>
      <c r="J170" s="109">
        <f t="shared" si="7"/>
        <v>478.79999999999995</v>
      </c>
      <c r="K170" s="110">
        <f t="shared" si="8"/>
        <v>-0.35403091060985803</v>
      </c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spans="1:26" ht="12.75" customHeight="1" x14ac:dyDescent="0.3">
      <c r="A171" s="107" t="s">
        <v>2027</v>
      </c>
      <c r="B171" s="107" t="s">
        <v>2342</v>
      </c>
      <c r="C171" s="107" t="s">
        <v>2343</v>
      </c>
      <c r="D171" s="108" t="s">
        <v>13</v>
      </c>
      <c r="E171" s="109">
        <v>1038</v>
      </c>
      <c r="F171" s="109">
        <v>519</v>
      </c>
      <c r="G171" s="110">
        <f t="shared" si="6"/>
        <v>0.5</v>
      </c>
      <c r="H171" s="107"/>
      <c r="I171" s="110">
        <v>0.4</v>
      </c>
      <c r="J171" s="109">
        <f t="shared" si="7"/>
        <v>622.79999999999995</v>
      </c>
      <c r="K171" s="110">
        <f t="shared" si="8"/>
        <v>0.16666666666666663</v>
      </c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spans="1:26" ht="12.75" customHeight="1" x14ac:dyDescent="0.3">
      <c r="A172" s="107" t="s">
        <v>2027</v>
      </c>
      <c r="B172" s="107" t="s">
        <v>2344</v>
      </c>
      <c r="C172" s="107" t="s">
        <v>2345</v>
      </c>
      <c r="D172" s="108" t="s">
        <v>13</v>
      </c>
      <c r="E172" s="109">
        <v>798</v>
      </c>
      <c r="F172" s="109">
        <v>399</v>
      </c>
      <c r="G172" s="110">
        <f t="shared" si="6"/>
        <v>0.5</v>
      </c>
      <c r="H172" s="107"/>
      <c r="I172" s="110">
        <v>0.4</v>
      </c>
      <c r="J172" s="109">
        <f t="shared" si="7"/>
        <v>478.79999999999995</v>
      </c>
      <c r="K172" s="110">
        <f t="shared" si="8"/>
        <v>0.16666666666666663</v>
      </c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spans="1:26" ht="12.75" customHeight="1" x14ac:dyDescent="0.3">
      <c r="A173" s="107" t="s">
        <v>2027</v>
      </c>
      <c r="B173" s="107" t="s">
        <v>2346</v>
      </c>
      <c r="C173" s="107" t="s">
        <v>2347</v>
      </c>
      <c r="D173" s="108" t="s">
        <v>13</v>
      </c>
      <c r="E173" s="109">
        <v>1038</v>
      </c>
      <c r="F173" s="109">
        <v>519</v>
      </c>
      <c r="G173" s="110">
        <f t="shared" si="6"/>
        <v>0.5</v>
      </c>
      <c r="H173" s="107"/>
      <c r="I173" s="110">
        <v>0.4</v>
      </c>
      <c r="J173" s="109">
        <f t="shared" si="7"/>
        <v>622.79999999999995</v>
      </c>
      <c r="K173" s="110">
        <f t="shared" si="8"/>
        <v>0.16666666666666663</v>
      </c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spans="1:26" ht="12.75" customHeight="1" x14ac:dyDescent="0.3">
      <c r="A174" s="107" t="s">
        <v>2027</v>
      </c>
      <c r="B174" s="107" t="s">
        <v>2348</v>
      </c>
      <c r="C174" s="107" t="s">
        <v>2349</v>
      </c>
      <c r="D174" s="108" t="s">
        <v>13</v>
      </c>
      <c r="E174" s="109">
        <v>758</v>
      </c>
      <c r="F174" s="109">
        <v>379</v>
      </c>
      <c r="G174" s="110">
        <f t="shared" si="6"/>
        <v>0.5</v>
      </c>
      <c r="H174" s="107"/>
      <c r="I174" s="110">
        <v>0.4</v>
      </c>
      <c r="J174" s="109">
        <f t="shared" si="7"/>
        <v>454.8</v>
      </c>
      <c r="K174" s="110">
        <f t="shared" si="8"/>
        <v>0.16666666666666674</v>
      </c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spans="1:26" ht="12.75" customHeight="1" x14ac:dyDescent="0.3">
      <c r="A175" s="107" t="s">
        <v>2027</v>
      </c>
      <c r="B175" s="107" t="s">
        <v>2350</v>
      </c>
      <c r="C175" s="111" t="s">
        <v>2351</v>
      </c>
      <c r="D175" s="108" t="s">
        <v>13</v>
      </c>
      <c r="E175" s="109">
        <v>998</v>
      </c>
      <c r="F175" s="109">
        <v>499</v>
      </c>
      <c r="G175" s="110">
        <f t="shared" si="6"/>
        <v>0.5</v>
      </c>
      <c r="H175" s="107"/>
      <c r="I175" s="110">
        <v>0.4</v>
      </c>
      <c r="J175" s="109">
        <f t="shared" si="7"/>
        <v>598.79999999999995</v>
      </c>
      <c r="K175" s="110">
        <f t="shared" si="8"/>
        <v>0.16666666666666663</v>
      </c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spans="1:26" ht="12.75" customHeight="1" x14ac:dyDescent="0.3">
      <c r="A176" s="107" t="s">
        <v>2027</v>
      </c>
      <c r="B176" s="107" t="s">
        <v>2352</v>
      </c>
      <c r="C176" s="107" t="s">
        <v>2353</v>
      </c>
      <c r="D176" s="108" t="s">
        <v>13</v>
      </c>
      <c r="E176" s="109">
        <v>798</v>
      </c>
      <c r="F176" s="109">
        <v>399</v>
      </c>
      <c r="G176" s="110">
        <f t="shared" si="6"/>
        <v>0.5</v>
      </c>
      <c r="H176" s="107"/>
      <c r="I176" s="110">
        <v>0.4</v>
      </c>
      <c r="J176" s="109">
        <f t="shared" si="7"/>
        <v>478.79999999999995</v>
      </c>
      <c r="K176" s="110">
        <f t="shared" si="8"/>
        <v>0.16666666666666663</v>
      </c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spans="1:26" ht="12.75" customHeight="1" x14ac:dyDescent="0.3">
      <c r="A177" s="117" t="s">
        <v>2027</v>
      </c>
      <c r="B177" s="117" t="s">
        <v>2354</v>
      </c>
      <c r="C177" s="117" t="s">
        <v>2355</v>
      </c>
      <c r="D177" s="118" t="s">
        <v>13</v>
      </c>
      <c r="E177" s="119">
        <v>1038</v>
      </c>
      <c r="F177" s="119">
        <v>519</v>
      </c>
      <c r="G177" s="120">
        <f t="shared" si="6"/>
        <v>0.5</v>
      </c>
      <c r="H177" s="117"/>
      <c r="I177" s="120">
        <v>0.4</v>
      </c>
      <c r="J177" s="119">
        <f t="shared" si="7"/>
        <v>622.79999999999995</v>
      </c>
      <c r="K177" s="120">
        <f t="shared" si="8"/>
        <v>0.16666666666666663</v>
      </c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spans="1:26" ht="12.75" customHeight="1" x14ac:dyDescent="0.3">
      <c r="A178" s="107" t="s">
        <v>2027</v>
      </c>
      <c r="B178" s="107" t="s">
        <v>2356</v>
      </c>
      <c r="C178" s="107" t="s">
        <v>2357</v>
      </c>
      <c r="D178" s="108" t="s">
        <v>13</v>
      </c>
      <c r="E178" s="109">
        <v>460</v>
      </c>
      <c r="F178" s="109">
        <v>230</v>
      </c>
      <c r="G178" s="110">
        <f t="shared" si="6"/>
        <v>0.5</v>
      </c>
      <c r="H178" s="107"/>
      <c r="I178" s="110">
        <v>0.4</v>
      </c>
      <c r="J178" s="109">
        <f t="shared" si="7"/>
        <v>276</v>
      </c>
      <c r="K178" s="110">
        <f t="shared" si="8"/>
        <v>0.16666666666666663</v>
      </c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spans="1:26" ht="12.75" customHeight="1" x14ac:dyDescent="0.3">
      <c r="A179" s="107" t="s">
        <v>2027</v>
      </c>
      <c r="B179" s="107" t="s">
        <v>2358</v>
      </c>
      <c r="C179" s="107" t="s">
        <v>2359</v>
      </c>
      <c r="D179" s="108" t="s">
        <v>13</v>
      </c>
      <c r="E179" s="109">
        <v>700</v>
      </c>
      <c r="F179" s="109">
        <v>350</v>
      </c>
      <c r="G179" s="110">
        <f t="shared" si="6"/>
        <v>0.5</v>
      </c>
      <c r="H179" s="107"/>
      <c r="I179" s="110">
        <v>0.4</v>
      </c>
      <c r="J179" s="109">
        <f t="shared" si="7"/>
        <v>420</v>
      </c>
      <c r="K179" s="110">
        <f t="shared" si="8"/>
        <v>0.16666666666666663</v>
      </c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spans="1:26" ht="12.75" customHeight="1" x14ac:dyDescent="0.3">
      <c r="A180" s="107" t="s">
        <v>2027</v>
      </c>
      <c r="B180" s="107" t="s">
        <v>2360</v>
      </c>
      <c r="C180" s="107" t="s">
        <v>2361</v>
      </c>
      <c r="D180" s="108" t="s">
        <v>13</v>
      </c>
      <c r="E180" s="109">
        <v>460</v>
      </c>
      <c r="F180" s="109">
        <v>230</v>
      </c>
      <c r="G180" s="110">
        <f t="shared" si="6"/>
        <v>0.5</v>
      </c>
      <c r="H180" s="107"/>
      <c r="I180" s="110">
        <v>0.4</v>
      </c>
      <c r="J180" s="109">
        <f t="shared" si="7"/>
        <v>276</v>
      </c>
      <c r="K180" s="110">
        <f t="shared" si="8"/>
        <v>0.16666666666666663</v>
      </c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spans="1:26" ht="12.75" customHeight="1" x14ac:dyDescent="0.3">
      <c r="A181" s="107" t="s">
        <v>2027</v>
      </c>
      <c r="B181" s="107" t="s">
        <v>2362</v>
      </c>
      <c r="C181" s="107" t="s">
        <v>2363</v>
      </c>
      <c r="D181" s="108" t="s">
        <v>13</v>
      </c>
      <c r="E181" s="109">
        <v>700</v>
      </c>
      <c r="F181" s="109">
        <v>350</v>
      </c>
      <c r="G181" s="110">
        <f t="shared" si="6"/>
        <v>0.5</v>
      </c>
      <c r="H181" s="107"/>
      <c r="I181" s="110">
        <v>0.4</v>
      </c>
      <c r="J181" s="109">
        <f t="shared" si="7"/>
        <v>420</v>
      </c>
      <c r="K181" s="110">
        <f t="shared" si="8"/>
        <v>0.16666666666666663</v>
      </c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spans="1:26" ht="12.75" customHeight="1" x14ac:dyDescent="0.3">
      <c r="A182" s="107" t="s">
        <v>2027</v>
      </c>
      <c r="B182" s="107" t="s">
        <v>2364</v>
      </c>
      <c r="C182" s="107" t="s">
        <v>2365</v>
      </c>
      <c r="D182" s="108" t="s">
        <v>13</v>
      </c>
      <c r="E182" s="109">
        <v>420</v>
      </c>
      <c r="F182" s="109">
        <v>210</v>
      </c>
      <c r="G182" s="110">
        <f t="shared" si="6"/>
        <v>0.5</v>
      </c>
      <c r="H182" s="107"/>
      <c r="I182" s="110">
        <v>0.4</v>
      </c>
      <c r="J182" s="109">
        <f t="shared" si="7"/>
        <v>252</v>
      </c>
      <c r="K182" s="110">
        <f t="shared" si="8"/>
        <v>0.16666666666666663</v>
      </c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spans="1:26" ht="12.75" customHeight="1" x14ac:dyDescent="0.3">
      <c r="A183" s="107" t="s">
        <v>2027</v>
      </c>
      <c r="B183" s="107" t="s">
        <v>2366</v>
      </c>
      <c r="C183" s="107" t="s">
        <v>2367</v>
      </c>
      <c r="D183" s="108" t="s">
        <v>13</v>
      </c>
      <c r="E183" s="109">
        <v>660</v>
      </c>
      <c r="F183" s="109">
        <v>330</v>
      </c>
      <c r="G183" s="110">
        <f t="shared" si="6"/>
        <v>0.5</v>
      </c>
      <c r="H183" s="107"/>
      <c r="I183" s="110">
        <v>0.4</v>
      </c>
      <c r="J183" s="109">
        <f t="shared" si="7"/>
        <v>396</v>
      </c>
      <c r="K183" s="110">
        <f t="shared" si="8"/>
        <v>0.16666666666666663</v>
      </c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spans="1:26" ht="12.75" customHeight="1" x14ac:dyDescent="0.3">
      <c r="A184" s="107" t="s">
        <v>2027</v>
      </c>
      <c r="B184" s="107" t="s">
        <v>2368</v>
      </c>
      <c r="C184" s="107" t="s">
        <v>2369</v>
      </c>
      <c r="D184" s="108" t="s">
        <v>13</v>
      </c>
      <c r="E184" s="109">
        <v>620</v>
      </c>
      <c r="F184" s="109">
        <v>310</v>
      </c>
      <c r="G184" s="110">
        <f t="shared" si="6"/>
        <v>0.5</v>
      </c>
      <c r="H184" s="107"/>
      <c r="I184" s="110">
        <v>0.4</v>
      </c>
      <c r="J184" s="109">
        <f t="shared" si="7"/>
        <v>372</v>
      </c>
      <c r="K184" s="110">
        <f t="shared" si="8"/>
        <v>0.16666666666666663</v>
      </c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spans="1:26" ht="12.75" customHeight="1" x14ac:dyDescent="0.3">
      <c r="A185" s="107" t="s">
        <v>2027</v>
      </c>
      <c r="B185" s="107" t="s">
        <v>2370</v>
      </c>
      <c r="C185" s="111" t="s">
        <v>2371</v>
      </c>
      <c r="D185" s="108" t="s">
        <v>13</v>
      </c>
      <c r="E185" s="109">
        <v>860</v>
      </c>
      <c r="F185" s="109">
        <v>430</v>
      </c>
      <c r="G185" s="110">
        <f t="shared" si="6"/>
        <v>0.5</v>
      </c>
      <c r="H185" s="107"/>
      <c r="I185" s="110">
        <v>0.4</v>
      </c>
      <c r="J185" s="109">
        <f t="shared" si="7"/>
        <v>516</v>
      </c>
      <c r="K185" s="110">
        <f t="shared" si="8"/>
        <v>0.16666666666666663</v>
      </c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spans="1:26" ht="12.75" customHeight="1" x14ac:dyDescent="0.3">
      <c r="A186" s="107" t="s">
        <v>2027</v>
      </c>
      <c r="B186" s="107" t="s">
        <v>2372</v>
      </c>
      <c r="C186" s="107" t="s">
        <v>2373</v>
      </c>
      <c r="D186" s="108" t="s">
        <v>13</v>
      </c>
      <c r="E186" s="109">
        <v>460</v>
      </c>
      <c r="F186" s="109">
        <v>230</v>
      </c>
      <c r="G186" s="110">
        <f t="shared" si="6"/>
        <v>0.5</v>
      </c>
      <c r="H186" s="107"/>
      <c r="I186" s="110">
        <v>0.4</v>
      </c>
      <c r="J186" s="109">
        <f t="shared" si="7"/>
        <v>276</v>
      </c>
      <c r="K186" s="110">
        <f t="shared" si="8"/>
        <v>0.16666666666666663</v>
      </c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spans="1:26" ht="12.75" customHeight="1" x14ac:dyDescent="0.3">
      <c r="A187" s="107" t="s">
        <v>2027</v>
      </c>
      <c r="B187" s="107" t="s">
        <v>2374</v>
      </c>
      <c r="C187" s="107" t="s">
        <v>2375</v>
      </c>
      <c r="D187" s="108" t="s">
        <v>13</v>
      </c>
      <c r="E187" s="109">
        <v>700</v>
      </c>
      <c r="F187" s="109">
        <v>350</v>
      </c>
      <c r="G187" s="110">
        <f t="shared" si="6"/>
        <v>0.5</v>
      </c>
      <c r="H187" s="107"/>
      <c r="I187" s="110">
        <v>0.4</v>
      </c>
      <c r="J187" s="109">
        <f t="shared" si="7"/>
        <v>420</v>
      </c>
      <c r="K187" s="110">
        <f t="shared" si="8"/>
        <v>0.16666666666666663</v>
      </c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spans="1:26" ht="12.75" customHeight="1" x14ac:dyDescent="0.3">
      <c r="A188" s="107" t="s">
        <v>2027</v>
      </c>
      <c r="B188" s="107" t="s">
        <v>2376</v>
      </c>
      <c r="C188" s="111" t="s">
        <v>2377</v>
      </c>
      <c r="D188" s="108" t="s">
        <v>13</v>
      </c>
      <c r="E188" s="109">
        <v>1078</v>
      </c>
      <c r="F188" s="109">
        <v>539</v>
      </c>
      <c r="G188" s="110">
        <f t="shared" si="6"/>
        <v>0.5</v>
      </c>
      <c r="H188" s="107"/>
      <c r="I188" s="110">
        <v>0.4</v>
      </c>
      <c r="J188" s="109">
        <f t="shared" si="7"/>
        <v>646.79999999999995</v>
      </c>
      <c r="K188" s="110">
        <f t="shared" si="8"/>
        <v>0.16666666666666663</v>
      </c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spans="1:26" ht="12.75" customHeight="1" x14ac:dyDescent="0.3">
      <c r="A189" s="107" t="s">
        <v>2027</v>
      </c>
      <c r="B189" s="107" t="s">
        <v>2378</v>
      </c>
      <c r="C189" s="107" t="s">
        <v>2379</v>
      </c>
      <c r="D189" s="108" t="s">
        <v>13</v>
      </c>
      <c r="E189" s="109">
        <v>798</v>
      </c>
      <c r="F189" s="109">
        <v>399</v>
      </c>
      <c r="G189" s="110">
        <f t="shared" si="6"/>
        <v>0.5</v>
      </c>
      <c r="H189" s="107"/>
      <c r="I189" s="110">
        <v>0.4</v>
      </c>
      <c r="J189" s="109">
        <f t="shared" si="7"/>
        <v>478.79999999999995</v>
      </c>
      <c r="K189" s="110">
        <f t="shared" si="8"/>
        <v>0.16666666666666663</v>
      </c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spans="1:26" ht="12.75" customHeight="1" x14ac:dyDescent="0.3">
      <c r="A190" s="107" t="s">
        <v>2027</v>
      </c>
      <c r="B190" s="107" t="s">
        <v>2380</v>
      </c>
      <c r="C190" s="111" t="s">
        <v>2381</v>
      </c>
      <c r="D190" s="108" t="s">
        <v>13</v>
      </c>
      <c r="E190" s="109">
        <v>1038</v>
      </c>
      <c r="F190" s="109">
        <v>519</v>
      </c>
      <c r="G190" s="110">
        <f t="shared" si="6"/>
        <v>0.5</v>
      </c>
      <c r="H190" s="107"/>
      <c r="I190" s="110">
        <v>0.4</v>
      </c>
      <c r="J190" s="109">
        <f t="shared" si="7"/>
        <v>622.79999999999995</v>
      </c>
      <c r="K190" s="110">
        <f t="shared" si="8"/>
        <v>0.16666666666666663</v>
      </c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spans="1:26" ht="12.75" customHeight="1" x14ac:dyDescent="0.3">
      <c r="A191" s="112" t="s">
        <v>2027</v>
      </c>
      <c r="B191" s="112" t="s">
        <v>2382</v>
      </c>
      <c r="C191" s="113" t="s">
        <v>2383</v>
      </c>
      <c r="D191" s="114" t="s">
        <v>13</v>
      </c>
      <c r="E191" s="115">
        <v>1416</v>
      </c>
      <c r="F191" s="115">
        <v>708</v>
      </c>
      <c r="G191" s="116">
        <f t="shared" si="6"/>
        <v>0.5</v>
      </c>
      <c r="H191" s="112"/>
      <c r="I191" s="116">
        <v>0.4</v>
      </c>
      <c r="J191" s="115">
        <f t="shared" si="7"/>
        <v>849.6</v>
      </c>
      <c r="K191" s="116">
        <f t="shared" si="8"/>
        <v>0.16666666666666674</v>
      </c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spans="1:26" ht="12.75" customHeight="1" x14ac:dyDescent="0.3">
      <c r="A192" s="107" t="s">
        <v>2027</v>
      </c>
      <c r="B192" s="107" t="s">
        <v>2384</v>
      </c>
      <c r="C192" s="107" t="s">
        <v>2385</v>
      </c>
      <c r="D192" s="108" t="s">
        <v>13</v>
      </c>
      <c r="E192" s="109">
        <v>92</v>
      </c>
      <c r="F192" s="109">
        <v>46</v>
      </c>
      <c r="G192" s="110">
        <f t="shared" ref="G192:G218" si="9">1-(F192/E192)</f>
        <v>0.5</v>
      </c>
      <c r="H192" s="107"/>
      <c r="I192" s="110">
        <v>0.4</v>
      </c>
      <c r="J192" s="109">
        <f t="shared" ref="J192:J218" si="10">E192*(1-I192)</f>
        <v>55.199999999999996</v>
      </c>
      <c r="K192" s="110">
        <f t="shared" ref="K192:K218" si="11">1-(F192/J192)</f>
        <v>0.16666666666666663</v>
      </c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 spans="1:26" ht="12.75" customHeight="1" x14ac:dyDescent="0.3">
      <c r="A193" s="107" t="s">
        <v>2027</v>
      </c>
      <c r="B193" s="107" t="s">
        <v>2386</v>
      </c>
      <c r="C193" s="107" t="s">
        <v>2387</v>
      </c>
      <c r="D193" s="108" t="s">
        <v>13</v>
      </c>
      <c r="E193" s="109">
        <v>186</v>
      </c>
      <c r="F193" s="109">
        <v>93</v>
      </c>
      <c r="G193" s="110">
        <f t="shared" si="9"/>
        <v>0.5</v>
      </c>
      <c r="H193" s="107"/>
      <c r="I193" s="110">
        <v>0.4</v>
      </c>
      <c r="J193" s="109">
        <f t="shared" si="10"/>
        <v>111.6</v>
      </c>
      <c r="K193" s="110">
        <f t="shared" si="11"/>
        <v>0.16666666666666663</v>
      </c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 spans="1:26" ht="12.75" customHeight="1" x14ac:dyDescent="0.3">
      <c r="A194" s="107" t="s">
        <v>2027</v>
      </c>
      <c r="B194" s="107" t="s">
        <v>2388</v>
      </c>
      <c r="C194" s="107" t="s">
        <v>2389</v>
      </c>
      <c r="D194" s="108" t="s">
        <v>13</v>
      </c>
      <c r="E194" s="109">
        <v>118</v>
      </c>
      <c r="F194" s="109">
        <v>59</v>
      </c>
      <c r="G194" s="110">
        <f t="shared" si="9"/>
        <v>0.5</v>
      </c>
      <c r="H194" s="107"/>
      <c r="I194" s="110">
        <v>0.4</v>
      </c>
      <c r="J194" s="109">
        <f t="shared" si="10"/>
        <v>70.8</v>
      </c>
      <c r="K194" s="110">
        <f t="shared" si="11"/>
        <v>0.16666666666666663</v>
      </c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 spans="1:26" ht="12.75" customHeight="1" x14ac:dyDescent="0.3">
      <c r="A195" s="107" t="s">
        <v>2027</v>
      </c>
      <c r="B195" s="107" t="s">
        <v>2390</v>
      </c>
      <c r="C195" s="107" t="s">
        <v>2391</v>
      </c>
      <c r="D195" s="108" t="s">
        <v>13</v>
      </c>
      <c r="E195" s="109">
        <v>178</v>
      </c>
      <c r="F195" s="109">
        <v>89</v>
      </c>
      <c r="G195" s="110">
        <f t="shared" si="9"/>
        <v>0.5</v>
      </c>
      <c r="H195" s="107"/>
      <c r="I195" s="110">
        <v>0.4</v>
      </c>
      <c r="J195" s="109">
        <f t="shared" si="10"/>
        <v>106.8</v>
      </c>
      <c r="K195" s="110">
        <f t="shared" si="11"/>
        <v>0.16666666666666663</v>
      </c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 spans="1:26" ht="12.75" customHeight="1" x14ac:dyDescent="0.3">
      <c r="A196" s="107" t="s">
        <v>2027</v>
      </c>
      <c r="B196" s="107" t="s">
        <v>2392</v>
      </c>
      <c r="C196" s="107" t="s">
        <v>2393</v>
      </c>
      <c r="D196" s="108" t="s">
        <v>13</v>
      </c>
      <c r="E196" s="109">
        <v>318</v>
      </c>
      <c r="F196" s="109">
        <v>159</v>
      </c>
      <c r="G196" s="110">
        <f t="shared" si="9"/>
        <v>0.5</v>
      </c>
      <c r="H196" s="107"/>
      <c r="I196" s="110">
        <v>0.4</v>
      </c>
      <c r="J196" s="109">
        <f t="shared" si="10"/>
        <v>190.79999999999998</v>
      </c>
      <c r="K196" s="110">
        <f t="shared" si="11"/>
        <v>0.16666666666666663</v>
      </c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 spans="1:26" ht="12.75" customHeight="1" x14ac:dyDescent="0.3">
      <c r="A197" s="107" t="s">
        <v>2027</v>
      </c>
      <c r="B197" s="107" t="s">
        <v>2394</v>
      </c>
      <c r="C197" s="107" t="s">
        <v>2395</v>
      </c>
      <c r="D197" s="108" t="s">
        <v>13</v>
      </c>
      <c r="E197" s="109">
        <v>130</v>
      </c>
      <c r="F197" s="109">
        <v>65</v>
      </c>
      <c r="G197" s="110">
        <f t="shared" si="9"/>
        <v>0.5</v>
      </c>
      <c r="H197" s="107"/>
      <c r="I197" s="110">
        <v>0.4</v>
      </c>
      <c r="J197" s="109">
        <f t="shared" si="10"/>
        <v>78</v>
      </c>
      <c r="K197" s="110">
        <f t="shared" si="11"/>
        <v>0.16666666666666663</v>
      </c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 spans="1:26" ht="12.75" customHeight="1" x14ac:dyDescent="0.3">
      <c r="A198" s="107" t="s">
        <v>2027</v>
      </c>
      <c r="B198" s="107" t="s">
        <v>2396</v>
      </c>
      <c r="C198" s="107" t="s">
        <v>2397</v>
      </c>
      <c r="D198" s="108" t="s">
        <v>13</v>
      </c>
      <c r="E198" s="109">
        <v>258</v>
      </c>
      <c r="F198" s="109">
        <v>129</v>
      </c>
      <c r="G198" s="110">
        <f t="shared" si="9"/>
        <v>0.5</v>
      </c>
      <c r="H198" s="107"/>
      <c r="I198" s="110">
        <v>0.4</v>
      </c>
      <c r="J198" s="109">
        <f t="shared" si="10"/>
        <v>154.79999999999998</v>
      </c>
      <c r="K198" s="110">
        <f t="shared" si="11"/>
        <v>0.16666666666666663</v>
      </c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 spans="1:26" ht="12.75" customHeight="1" x14ac:dyDescent="0.3">
      <c r="A199" s="107" t="s">
        <v>2027</v>
      </c>
      <c r="B199" s="107" t="s">
        <v>2398</v>
      </c>
      <c r="C199" s="107" t="s">
        <v>2399</v>
      </c>
      <c r="D199" s="108" t="s">
        <v>13</v>
      </c>
      <c r="E199" s="109">
        <v>118</v>
      </c>
      <c r="F199" s="109">
        <v>59</v>
      </c>
      <c r="G199" s="110">
        <f t="shared" si="9"/>
        <v>0.5</v>
      </c>
      <c r="H199" s="107"/>
      <c r="I199" s="110">
        <v>0.4</v>
      </c>
      <c r="J199" s="109">
        <f t="shared" si="10"/>
        <v>70.8</v>
      </c>
      <c r="K199" s="110">
        <f t="shared" si="11"/>
        <v>0.16666666666666663</v>
      </c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 spans="1:26" ht="12.75" customHeight="1" x14ac:dyDescent="0.3">
      <c r="A200" s="107" t="s">
        <v>2027</v>
      </c>
      <c r="B200" s="107" t="s">
        <v>2400</v>
      </c>
      <c r="C200" s="107" t="s">
        <v>2401</v>
      </c>
      <c r="D200" s="108" t="s">
        <v>13</v>
      </c>
      <c r="E200" s="109">
        <v>192</v>
      </c>
      <c r="F200" s="109">
        <v>96</v>
      </c>
      <c r="G200" s="110">
        <f t="shared" si="9"/>
        <v>0.5</v>
      </c>
      <c r="H200" s="107"/>
      <c r="I200" s="110">
        <v>0.4</v>
      </c>
      <c r="J200" s="109">
        <f t="shared" si="10"/>
        <v>115.19999999999999</v>
      </c>
      <c r="K200" s="110">
        <f t="shared" si="11"/>
        <v>0.16666666666666663</v>
      </c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 spans="1:26" ht="12.75" customHeight="1" x14ac:dyDescent="0.3">
      <c r="A201" s="107" t="s">
        <v>2027</v>
      </c>
      <c r="B201" s="107" t="s">
        <v>2402</v>
      </c>
      <c r="C201" s="107" t="s">
        <v>2403</v>
      </c>
      <c r="D201" s="108" t="s">
        <v>13</v>
      </c>
      <c r="E201" s="109">
        <v>406</v>
      </c>
      <c r="F201" s="109">
        <v>203</v>
      </c>
      <c r="G201" s="110">
        <f t="shared" si="9"/>
        <v>0.5</v>
      </c>
      <c r="H201" s="107"/>
      <c r="I201" s="110">
        <v>0.4</v>
      </c>
      <c r="J201" s="109">
        <f t="shared" si="10"/>
        <v>243.6</v>
      </c>
      <c r="K201" s="110">
        <f t="shared" si="11"/>
        <v>0.16666666666666663</v>
      </c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 spans="1:26" ht="12.75" customHeight="1" x14ac:dyDescent="0.3">
      <c r="A202" s="107" t="s">
        <v>2027</v>
      </c>
      <c r="B202" s="107" t="s">
        <v>2404</v>
      </c>
      <c r="C202" s="107" t="s">
        <v>2405</v>
      </c>
      <c r="D202" s="108" t="s">
        <v>13</v>
      </c>
      <c r="E202" s="109">
        <v>332</v>
      </c>
      <c r="F202" s="109">
        <v>166</v>
      </c>
      <c r="G202" s="110">
        <f t="shared" si="9"/>
        <v>0.5</v>
      </c>
      <c r="H202" s="107"/>
      <c r="I202" s="110">
        <v>0.4</v>
      </c>
      <c r="J202" s="109">
        <f t="shared" si="10"/>
        <v>199.2</v>
      </c>
      <c r="K202" s="110">
        <f t="shared" si="11"/>
        <v>0.16666666666666663</v>
      </c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 spans="1:26" ht="12.75" customHeight="1" x14ac:dyDescent="0.3">
      <c r="A203" s="107" t="s">
        <v>2027</v>
      </c>
      <c r="B203" s="107" t="s">
        <v>2406</v>
      </c>
      <c r="C203" s="107" t="s">
        <v>2407</v>
      </c>
      <c r="D203" s="108" t="s">
        <v>13</v>
      </c>
      <c r="E203" s="109">
        <v>560</v>
      </c>
      <c r="F203" s="109">
        <v>280</v>
      </c>
      <c r="G203" s="110">
        <f t="shared" si="9"/>
        <v>0.5</v>
      </c>
      <c r="H203" s="107"/>
      <c r="I203" s="110">
        <v>0.4</v>
      </c>
      <c r="J203" s="109">
        <f t="shared" si="10"/>
        <v>336</v>
      </c>
      <c r="K203" s="110">
        <f t="shared" si="11"/>
        <v>0.16666666666666663</v>
      </c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 spans="1:26" ht="12.75" customHeight="1" x14ac:dyDescent="0.3">
      <c r="A204" s="107" t="s">
        <v>2027</v>
      </c>
      <c r="B204" s="107" t="s">
        <v>2408</v>
      </c>
      <c r="C204" s="107" t="s">
        <v>2407</v>
      </c>
      <c r="D204" s="108" t="s">
        <v>13</v>
      </c>
      <c r="E204" s="109">
        <v>560</v>
      </c>
      <c r="F204" s="109">
        <v>280</v>
      </c>
      <c r="G204" s="110">
        <f t="shared" si="9"/>
        <v>0.5</v>
      </c>
      <c r="H204" s="107"/>
      <c r="I204" s="110">
        <v>0.4</v>
      </c>
      <c r="J204" s="109">
        <f t="shared" si="10"/>
        <v>336</v>
      </c>
      <c r="K204" s="110">
        <f t="shared" si="11"/>
        <v>0.16666666666666663</v>
      </c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 spans="1:26" ht="12.75" customHeight="1" x14ac:dyDescent="0.3">
      <c r="A205" s="107" t="s">
        <v>2027</v>
      </c>
      <c r="B205" s="107" t="s">
        <v>2409</v>
      </c>
      <c r="C205" s="107" t="s">
        <v>2410</v>
      </c>
      <c r="D205" s="108" t="s">
        <v>13</v>
      </c>
      <c r="E205" s="109">
        <v>370</v>
      </c>
      <c r="F205" s="109">
        <v>185</v>
      </c>
      <c r="G205" s="110">
        <f t="shared" si="9"/>
        <v>0.5</v>
      </c>
      <c r="H205" s="107"/>
      <c r="I205" s="110">
        <v>0.4</v>
      </c>
      <c r="J205" s="109">
        <f t="shared" si="10"/>
        <v>222</v>
      </c>
      <c r="K205" s="110">
        <f t="shared" si="11"/>
        <v>0.16666666666666663</v>
      </c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 spans="1:26" ht="12.75" customHeight="1" x14ac:dyDescent="0.3">
      <c r="A206" s="107" t="s">
        <v>2027</v>
      </c>
      <c r="B206" s="107" t="s">
        <v>2411</v>
      </c>
      <c r="C206" s="107" t="s">
        <v>2412</v>
      </c>
      <c r="D206" s="108" t="s">
        <v>13</v>
      </c>
      <c r="E206" s="109">
        <v>560</v>
      </c>
      <c r="F206" s="109">
        <v>280</v>
      </c>
      <c r="G206" s="110">
        <f t="shared" si="9"/>
        <v>0.5</v>
      </c>
      <c r="H206" s="107"/>
      <c r="I206" s="110">
        <v>0.4</v>
      </c>
      <c r="J206" s="109">
        <f t="shared" si="10"/>
        <v>336</v>
      </c>
      <c r="K206" s="110">
        <f t="shared" si="11"/>
        <v>0.16666666666666663</v>
      </c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 spans="1:26" ht="12.75" customHeight="1" x14ac:dyDescent="0.3">
      <c r="A207" s="107" t="s">
        <v>2027</v>
      </c>
      <c r="B207" s="107" t="s">
        <v>2413</v>
      </c>
      <c r="C207" s="107" t="s">
        <v>2412</v>
      </c>
      <c r="D207" s="108" t="s">
        <v>13</v>
      </c>
      <c r="E207" s="109">
        <v>560</v>
      </c>
      <c r="F207" s="109">
        <v>280</v>
      </c>
      <c r="G207" s="110">
        <f t="shared" si="9"/>
        <v>0.5</v>
      </c>
      <c r="H207" s="107"/>
      <c r="I207" s="110">
        <v>0.4</v>
      </c>
      <c r="J207" s="109">
        <f t="shared" si="10"/>
        <v>336</v>
      </c>
      <c r="K207" s="110">
        <f t="shared" si="11"/>
        <v>0.16666666666666663</v>
      </c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 spans="1:26" ht="12.75" customHeight="1" x14ac:dyDescent="0.3">
      <c r="A208" s="107" t="s">
        <v>2027</v>
      </c>
      <c r="B208" s="107" t="s">
        <v>2414</v>
      </c>
      <c r="C208" s="107" t="s">
        <v>2415</v>
      </c>
      <c r="D208" s="108" t="s">
        <v>13</v>
      </c>
      <c r="E208" s="109">
        <v>560</v>
      </c>
      <c r="F208" s="109">
        <v>280</v>
      </c>
      <c r="G208" s="110">
        <f t="shared" si="9"/>
        <v>0.5</v>
      </c>
      <c r="H208" s="107"/>
      <c r="I208" s="110">
        <v>0.4</v>
      </c>
      <c r="J208" s="109">
        <f t="shared" si="10"/>
        <v>336</v>
      </c>
      <c r="K208" s="110">
        <f t="shared" si="11"/>
        <v>0.16666666666666663</v>
      </c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 spans="1:26" ht="12.75" customHeight="1" x14ac:dyDescent="0.3">
      <c r="A209" s="107" t="s">
        <v>2027</v>
      </c>
      <c r="B209" s="107" t="s">
        <v>2416</v>
      </c>
      <c r="C209" s="107" t="s">
        <v>2415</v>
      </c>
      <c r="D209" s="108" t="s">
        <v>13</v>
      </c>
      <c r="E209" s="109">
        <v>560</v>
      </c>
      <c r="F209" s="109">
        <v>280</v>
      </c>
      <c r="G209" s="110">
        <f t="shared" si="9"/>
        <v>0.5</v>
      </c>
      <c r="H209" s="107"/>
      <c r="I209" s="110">
        <v>0.4</v>
      </c>
      <c r="J209" s="109">
        <f t="shared" si="10"/>
        <v>336</v>
      </c>
      <c r="K209" s="110">
        <f t="shared" si="11"/>
        <v>0.16666666666666663</v>
      </c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 spans="1:26" ht="12.75" customHeight="1" x14ac:dyDescent="0.3">
      <c r="A210" s="107" t="s">
        <v>2027</v>
      </c>
      <c r="B210" s="107" t="s">
        <v>2417</v>
      </c>
      <c r="C210" s="107" t="s">
        <v>2418</v>
      </c>
      <c r="D210" s="108" t="s">
        <v>13</v>
      </c>
      <c r="E210" s="109">
        <v>854</v>
      </c>
      <c r="F210" s="109">
        <v>427</v>
      </c>
      <c r="G210" s="110">
        <f t="shared" si="9"/>
        <v>0.5</v>
      </c>
      <c r="H210" s="107"/>
      <c r="I210" s="110">
        <v>0.4</v>
      </c>
      <c r="J210" s="109">
        <f t="shared" si="10"/>
        <v>512.4</v>
      </c>
      <c r="K210" s="110">
        <f t="shared" si="11"/>
        <v>0.16666666666666663</v>
      </c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 spans="1:26" ht="12.75" customHeight="1" x14ac:dyDescent="0.3">
      <c r="A211" s="117" t="s">
        <v>2027</v>
      </c>
      <c r="B211" s="117" t="s">
        <v>2419</v>
      </c>
      <c r="C211" s="117" t="s">
        <v>2420</v>
      </c>
      <c r="D211" s="118" t="s">
        <v>13</v>
      </c>
      <c r="E211" s="119">
        <v>865</v>
      </c>
      <c r="F211" s="119">
        <v>427</v>
      </c>
      <c r="G211" s="120">
        <f t="shared" si="9"/>
        <v>0.50635838150289025</v>
      </c>
      <c r="H211" s="117"/>
      <c r="I211" s="120">
        <v>0.4</v>
      </c>
      <c r="J211" s="119">
        <f t="shared" si="10"/>
        <v>519</v>
      </c>
      <c r="K211" s="120">
        <f t="shared" si="11"/>
        <v>0.17726396917148357</v>
      </c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 spans="1:26" ht="12.75" customHeight="1" x14ac:dyDescent="0.3">
      <c r="A212" s="107" t="s">
        <v>2027</v>
      </c>
      <c r="B212" s="107" t="s">
        <v>2421</v>
      </c>
      <c r="C212" s="107" t="s">
        <v>2422</v>
      </c>
      <c r="D212" s="108" t="s">
        <v>13</v>
      </c>
      <c r="E212" s="109">
        <v>234</v>
      </c>
      <c r="F212" s="109">
        <v>117</v>
      </c>
      <c r="G212" s="110">
        <f t="shared" si="9"/>
        <v>0.5</v>
      </c>
      <c r="H212" s="107"/>
      <c r="I212" s="110">
        <v>0.4</v>
      </c>
      <c r="J212" s="109">
        <f t="shared" si="10"/>
        <v>140.4</v>
      </c>
      <c r="K212" s="110">
        <f t="shared" si="11"/>
        <v>0.16666666666666674</v>
      </c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 spans="1:26" ht="12.75" customHeight="1" x14ac:dyDescent="0.3">
      <c r="A213" s="107" t="s">
        <v>2027</v>
      </c>
      <c r="B213" s="107" t="s">
        <v>2423</v>
      </c>
      <c r="C213" s="107" t="s">
        <v>2424</v>
      </c>
      <c r="D213" s="108" t="s">
        <v>13</v>
      </c>
      <c r="E213" s="109">
        <v>590</v>
      </c>
      <c r="F213" s="109">
        <v>295</v>
      </c>
      <c r="G213" s="110">
        <f t="shared" si="9"/>
        <v>0.5</v>
      </c>
      <c r="H213" s="107"/>
      <c r="I213" s="110">
        <v>0.4</v>
      </c>
      <c r="J213" s="109">
        <f t="shared" si="10"/>
        <v>354</v>
      </c>
      <c r="K213" s="110">
        <f t="shared" si="11"/>
        <v>0.16666666666666663</v>
      </c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 spans="1:26" ht="12.75" customHeight="1" x14ac:dyDescent="0.3">
      <c r="A214" s="107" t="s">
        <v>2027</v>
      </c>
      <c r="B214" s="107" t="s">
        <v>2425</v>
      </c>
      <c r="C214" s="107" t="s">
        <v>2426</v>
      </c>
      <c r="D214" s="108" t="s">
        <v>13</v>
      </c>
      <c r="E214" s="109">
        <v>234</v>
      </c>
      <c r="F214" s="109">
        <v>117</v>
      </c>
      <c r="G214" s="110">
        <f t="shared" si="9"/>
        <v>0.5</v>
      </c>
      <c r="H214" s="107"/>
      <c r="I214" s="110">
        <v>0.4</v>
      </c>
      <c r="J214" s="109">
        <f t="shared" si="10"/>
        <v>140.4</v>
      </c>
      <c r="K214" s="110">
        <f t="shared" si="11"/>
        <v>0.16666666666666674</v>
      </c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 spans="1:26" ht="12.75" customHeight="1" x14ac:dyDescent="0.3">
      <c r="A215" s="107" t="s">
        <v>2027</v>
      </c>
      <c r="B215" s="107" t="s">
        <v>2427</v>
      </c>
      <c r="C215" s="107" t="s">
        <v>2428</v>
      </c>
      <c r="D215" s="108" t="s">
        <v>13</v>
      </c>
      <c r="E215" s="109">
        <v>96</v>
      </c>
      <c r="F215" s="109">
        <v>46</v>
      </c>
      <c r="G215" s="110">
        <f t="shared" si="9"/>
        <v>0.52083333333333326</v>
      </c>
      <c r="H215" s="107"/>
      <c r="I215" s="110">
        <v>0.4</v>
      </c>
      <c r="J215" s="109">
        <f t="shared" si="10"/>
        <v>57.599999999999994</v>
      </c>
      <c r="K215" s="110">
        <f t="shared" si="11"/>
        <v>0.20138888888888884</v>
      </c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 spans="1:26" ht="12.75" customHeight="1" x14ac:dyDescent="0.3">
      <c r="A216" s="107" t="s">
        <v>2027</v>
      </c>
      <c r="B216" s="107" t="s">
        <v>2429</v>
      </c>
      <c r="C216" s="107" t="s">
        <v>2430</v>
      </c>
      <c r="D216" s="108" t="s">
        <v>13</v>
      </c>
      <c r="E216" s="109">
        <v>20</v>
      </c>
      <c r="F216" s="109">
        <v>10</v>
      </c>
      <c r="G216" s="110">
        <f t="shared" si="9"/>
        <v>0.5</v>
      </c>
      <c r="H216" s="107"/>
      <c r="I216" s="110">
        <v>0.4</v>
      </c>
      <c r="J216" s="109">
        <f t="shared" si="10"/>
        <v>12</v>
      </c>
      <c r="K216" s="110">
        <f t="shared" si="11"/>
        <v>0.16666666666666663</v>
      </c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 spans="1:26" ht="12.75" customHeight="1" x14ac:dyDescent="0.3">
      <c r="A217" s="107" t="s">
        <v>2027</v>
      </c>
      <c r="B217" s="107" t="s">
        <v>2431</v>
      </c>
      <c r="C217" s="107" t="s">
        <v>2432</v>
      </c>
      <c r="D217" s="108" t="s">
        <v>13</v>
      </c>
      <c r="E217" s="109">
        <v>48</v>
      </c>
      <c r="F217" s="109">
        <v>24</v>
      </c>
      <c r="G217" s="110">
        <f t="shared" si="9"/>
        <v>0.5</v>
      </c>
      <c r="H217" s="107"/>
      <c r="I217" s="110">
        <v>0.4</v>
      </c>
      <c r="J217" s="109">
        <f t="shared" si="10"/>
        <v>28.799999999999997</v>
      </c>
      <c r="K217" s="110">
        <f t="shared" si="11"/>
        <v>0.16666666666666663</v>
      </c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 spans="1:26" ht="12.75" customHeight="1" x14ac:dyDescent="0.3">
      <c r="A218" s="112" t="s">
        <v>2027</v>
      </c>
      <c r="B218" s="112" t="s">
        <v>2433</v>
      </c>
      <c r="C218" s="112" t="s">
        <v>2434</v>
      </c>
      <c r="D218" s="114" t="s">
        <v>13</v>
      </c>
      <c r="E218" s="115">
        <v>20</v>
      </c>
      <c r="F218" s="115">
        <v>10</v>
      </c>
      <c r="G218" s="116">
        <f t="shared" si="9"/>
        <v>0.5</v>
      </c>
      <c r="H218" s="112"/>
      <c r="I218" s="116">
        <v>0.4</v>
      </c>
      <c r="J218" s="115">
        <f t="shared" si="10"/>
        <v>12</v>
      </c>
      <c r="K218" s="116">
        <f t="shared" si="11"/>
        <v>0.16666666666666663</v>
      </c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 spans="1:26" ht="12.75" customHeight="1" x14ac:dyDescent="0.3">
      <c r="A219" s="107" t="s">
        <v>2027</v>
      </c>
      <c r="B219" s="107" t="s">
        <v>2435</v>
      </c>
      <c r="C219" s="107" t="s">
        <v>2436</v>
      </c>
      <c r="D219" s="108" t="s">
        <v>13</v>
      </c>
      <c r="E219" s="109">
        <v>318</v>
      </c>
      <c r="F219" s="109">
        <v>159</v>
      </c>
      <c r="G219" s="110">
        <f t="shared" ref="G219:G245" si="12">1-(F219/E219)</f>
        <v>0.5</v>
      </c>
      <c r="H219" s="107"/>
      <c r="I219" s="110">
        <v>0.4</v>
      </c>
      <c r="J219" s="109">
        <f t="shared" ref="J219:J245" si="13">E219*(1-I219)</f>
        <v>190.79999999999998</v>
      </c>
      <c r="K219" s="110">
        <f t="shared" ref="K219:K245" si="14">1-(F219/J219)</f>
        <v>0.16666666666666663</v>
      </c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 spans="1:26" ht="12.75" customHeight="1" x14ac:dyDescent="0.3">
      <c r="A220" s="107" t="s">
        <v>2027</v>
      </c>
      <c r="B220" s="107" t="s">
        <v>2437</v>
      </c>
      <c r="C220" s="107" t="s">
        <v>2438</v>
      </c>
      <c r="D220" s="108" t="s">
        <v>13</v>
      </c>
      <c r="E220" s="109">
        <v>188</v>
      </c>
      <c r="F220" s="109">
        <v>94</v>
      </c>
      <c r="G220" s="110">
        <f t="shared" si="12"/>
        <v>0.5</v>
      </c>
      <c r="H220" s="107"/>
      <c r="I220" s="110">
        <v>0.4</v>
      </c>
      <c r="J220" s="109">
        <f t="shared" si="13"/>
        <v>112.8</v>
      </c>
      <c r="K220" s="110">
        <f t="shared" si="14"/>
        <v>0.16666666666666663</v>
      </c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 spans="1:26" ht="12.75" customHeight="1" x14ac:dyDescent="0.3">
      <c r="A221" s="107" t="s">
        <v>2027</v>
      </c>
      <c r="B221" s="107" t="s">
        <v>2439</v>
      </c>
      <c r="C221" s="107" t="s">
        <v>2440</v>
      </c>
      <c r="D221" s="108" t="s">
        <v>13</v>
      </c>
      <c r="E221" s="109">
        <v>390</v>
      </c>
      <c r="F221" s="109">
        <v>195</v>
      </c>
      <c r="G221" s="110">
        <f t="shared" si="12"/>
        <v>0.5</v>
      </c>
      <c r="H221" s="107"/>
      <c r="I221" s="110">
        <v>0.4</v>
      </c>
      <c r="J221" s="109">
        <f t="shared" si="13"/>
        <v>234</v>
      </c>
      <c r="K221" s="110">
        <f t="shared" si="14"/>
        <v>0.16666666666666663</v>
      </c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 spans="1:26" ht="12.75" customHeight="1" x14ac:dyDescent="0.3">
      <c r="A222" s="107" t="s">
        <v>2027</v>
      </c>
      <c r="B222" s="107" t="s">
        <v>2441</v>
      </c>
      <c r="C222" s="107" t="s">
        <v>2442</v>
      </c>
      <c r="D222" s="108" t="s">
        <v>13</v>
      </c>
      <c r="E222" s="109">
        <v>438</v>
      </c>
      <c r="F222" s="109">
        <v>219</v>
      </c>
      <c r="G222" s="110">
        <f t="shared" si="12"/>
        <v>0.5</v>
      </c>
      <c r="H222" s="107"/>
      <c r="I222" s="110">
        <v>0.4</v>
      </c>
      <c r="J222" s="109">
        <f t="shared" si="13"/>
        <v>262.8</v>
      </c>
      <c r="K222" s="110">
        <f t="shared" si="14"/>
        <v>0.16666666666666674</v>
      </c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 spans="1:26" ht="12.75" customHeight="1" x14ac:dyDescent="0.3">
      <c r="A223" s="117" t="s">
        <v>2027</v>
      </c>
      <c r="B223" s="117" t="s">
        <v>2443</v>
      </c>
      <c r="C223" s="117" t="s">
        <v>2444</v>
      </c>
      <c r="D223" s="118" t="s">
        <v>13</v>
      </c>
      <c r="E223" s="119">
        <v>538</v>
      </c>
      <c r="F223" s="119">
        <v>269</v>
      </c>
      <c r="G223" s="120">
        <f t="shared" si="12"/>
        <v>0.5</v>
      </c>
      <c r="H223" s="117"/>
      <c r="I223" s="120">
        <v>0.4</v>
      </c>
      <c r="J223" s="119">
        <f t="shared" si="13"/>
        <v>322.8</v>
      </c>
      <c r="K223" s="120">
        <f t="shared" si="14"/>
        <v>0.16666666666666674</v>
      </c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 spans="1:26" ht="12.75" customHeight="1" x14ac:dyDescent="0.3">
      <c r="A224" s="107" t="s">
        <v>2027</v>
      </c>
      <c r="B224" s="107" t="s">
        <v>2445</v>
      </c>
      <c r="C224" s="107" t="s">
        <v>2446</v>
      </c>
      <c r="D224" s="108" t="s">
        <v>13</v>
      </c>
      <c r="E224" s="109">
        <v>698</v>
      </c>
      <c r="F224" s="109">
        <v>349</v>
      </c>
      <c r="G224" s="110">
        <f t="shared" si="12"/>
        <v>0.5</v>
      </c>
      <c r="H224" s="110"/>
      <c r="I224" s="110">
        <v>0.4</v>
      </c>
      <c r="J224" s="109">
        <f t="shared" si="13"/>
        <v>418.8</v>
      </c>
      <c r="K224" s="110">
        <f t="shared" si="14"/>
        <v>0.16666666666666674</v>
      </c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 spans="1:26" ht="12.75" customHeight="1" x14ac:dyDescent="0.3">
      <c r="A225" s="107" t="s">
        <v>2027</v>
      </c>
      <c r="B225" s="111" t="s">
        <v>2447</v>
      </c>
      <c r="C225" s="111" t="s">
        <v>2448</v>
      </c>
      <c r="D225" s="108" t="s">
        <v>13</v>
      </c>
      <c r="E225" s="123">
        <v>28</v>
      </c>
      <c r="F225" s="109">
        <v>14</v>
      </c>
      <c r="G225" s="110">
        <f t="shared" si="12"/>
        <v>0.5</v>
      </c>
      <c r="H225" s="110"/>
      <c r="I225" s="110">
        <v>0.4</v>
      </c>
      <c r="J225" s="109">
        <f t="shared" si="13"/>
        <v>16.8</v>
      </c>
      <c r="K225" s="110">
        <f t="shared" si="14"/>
        <v>0.16666666666666674</v>
      </c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 spans="1:26" ht="12.75" customHeight="1" x14ac:dyDescent="0.3">
      <c r="A226" s="107" t="s">
        <v>2027</v>
      </c>
      <c r="B226" s="111" t="s">
        <v>2449</v>
      </c>
      <c r="C226" s="111" t="s">
        <v>2450</v>
      </c>
      <c r="D226" s="108" t="s">
        <v>13</v>
      </c>
      <c r="E226" s="123">
        <v>138</v>
      </c>
      <c r="F226" s="109">
        <v>69</v>
      </c>
      <c r="G226" s="110">
        <f t="shared" si="12"/>
        <v>0.5</v>
      </c>
      <c r="H226" s="110"/>
      <c r="I226" s="110">
        <v>0.4</v>
      </c>
      <c r="J226" s="109">
        <f t="shared" si="13"/>
        <v>82.8</v>
      </c>
      <c r="K226" s="110">
        <f t="shared" si="14"/>
        <v>0.16666666666666663</v>
      </c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 spans="1:26" ht="12.75" customHeight="1" x14ac:dyDescent="0.3">
      <c r="A227" s="107" t="s">
        <v>2027</v>
      </c>
      <c r="B227" s="111" t="s">
        <v>2451</v>
      </c>
      <c r="C227" s="111" t="s">
        <v>2452</v>
      </c>
      <c r="D227" s="108" t="s">
        <v>13</v>
      </c>
      <c r="E227" s="123">
        <v>38</v>
      </c>
      <c r="F227" s="109">
        <v>19</v>
      </c>
      <c r="G227" s="110">
        <f t="shared" si="12"/>
        <v>0.5</v>
      </c>
      <c r="H227" s="107"/>
      <c r="I227" s="110">
        <v>0.4</v>
      </c>
      <c r="J227" s="109">
        <f t="shared" si="13"/>
        <v>22.8</v>
      </c>
      <c r="K227" s="110">
        <f t="shared" si="14"/>
        <v>0.16666666666666674</v>
      </c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 spans="1:26" ht="12.75" customHeight="1" x14ac:dyDescent="0.3">
      <c r="A228" s="107" t="s">
        <v>2027</v>
      </c>
      <c r="B228" s="111" t="s">
        <v>2453</v>
      </c>
      <c r="C228" s="111" t="s">
        <v>2454</v>
      </c>
      <c r="D228" s="108" t="s">
        <v>13</v>
      </c>
      <c r="E228" s="123">
        <v>64</v>
      </c>
      <c r="F228" s="109">
        <v>32</v>
      </c>
      <c r="G228" s="110">
        <f t="shared" si="12"/>
        <v>0.5</v>
      </c>
      <c r="H228" s="107"/>
      <c r="I228" s="110">
        <v>0.4</v>
      </c>
      <c r="J228" s="109">
        <f t="shared" si="13"/>
        <v>38.4</v>
      </c>
      <c r="K228" s="110">
        <f t="shared" si="14"/>
        <v>0.16666666666666663</v>
      </c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 spans="1:26" ht="12.75" customHeight="1" x14ac:dyDescent="0.3">
      <c r="A229" s="107" t="s">
        <v>2027</v>
      </c>
      <c r="B229" s="111" t="s">
        <v>2455</v>
      </c>
      <c r="C229" s="111" t="s">
        <v>2456</v>
      </c>
      <c r="D229" s="108" t="s">
        <v>13</v>
      </c>
      <c r="E229" s="109">
        <v>590</v>
      </c>
      <c r="F229" s="109">
        <v>295</v>
      </c>
      <c r="G229" s="110">
        <f t="shared" si="12"/>
        <v>0.5</v>
      </c>
      <c r="H229" s="107"/>
      <c r="I229" s="110">
        <v>0.4</v>
      </c>
      <c r="J229" s="109">
        <f t="shared" si="13"/>
        <v>354</v>
      </c>
      <c r="K229" s="110">
        <f t="shared" si="14"/>
        <v>0.16666666666666663</v>
      </c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 spans="1:26" ht="12.75" customHeight="1" x14ac:dyDescent="0.3">
      <c r="A230" s="107" t="s">
        <v>2027</v>
      </c>
      <c r="B230" s="111" t="s">
        <v>2457</v>
      </c>
      <c r="C230" s="111" t="s">
        <v>2458</v>
      </c>
      <c r="D230" s="108" t="s">
        <v>13</v>
      </c>
      <c r="E230" s="123">
        <v>54</v>
      </c>
      <c r="F230" s="109">
        <v>27</v>
      </c>
      <c r="G230" s="110">
        <f t="shared" si="12"/>
        <v>0.5</v>
      </c>
      <c r="H230" s="107"/>
      <c r="I230" s="110">
        <v>0.4</v>
      </c>
      <c r="J230" s="109">
        <f t="shared" si="13"/>
        <v>32.4</v>
      </c>
      <c r="K230" s="110">
        <f t="shared" si="14"/>
        <v>0.16666666666666663</v>
      </c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 spans="1:26" ht="12.75" customHeight="1" x14ac:dyDescent="0.3">
      <c r="A231" s="117" t="s">
        <v>2027</v>
      </c>
      <c r="B231" s="121" t="s">
        <v>2459</v>
      </c>
      <c r="C231" s="121" t="s">
        <v>2460</v>
      </c>
      <c r="D231" s="122" t="s">
        <v>13</v>
      </c>
      <c r="E231" s="124">
        <v>814</v>
      </c>
      <c r="F231" s="119">
        <v>389</v>
      </c>
      <c r="G231" s="120">
        <f t="shared" si="12"/>
        <v>0.52211302211302213</v>
      </c>
      <c r="H231" s="117"/>
      <c r="I231" s="120">
        <v>0.4</v>
      </c>
      <c r="J231" s="119">
        <f t="shared" si="13"/>
        <v>488.4</v>
      </c>
      <c r="K231" s="120">
        <f t="shared" si="14"/>
        <v>0.20352170352170351</v>
      </c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 spans="1:26" ht="12.75" customHeight="1" x14ac:dyDescent="0.3">
      <c r="A232" s="107" t="s">
        <v>2027</v>
      </c>
      <c r="B232" s="107" t="s">
        <v>2461</v>
      </c>
      <c r="C232" s="107" t="s">
        <v>2462</v>
      </c>
      <c r="D232" s="108" t="s">
        <v>13</v>
      </c>
      <c r="E232" s="109">
        <v>104</v>
      </c>
      <c r="F232" s="109">
        <v>52</v>
      </c>
      <c r="G232" s="110">
        <f t="shared" si="12"/>
        <v>0.5</v>
      </c>
      <c r="H232" s="107"/>
      <c r="I232" s="110">
        <v>0.4</v>
      </c>
      <c r="J232" s="109">
        <f t="shared" si="13"/>
        <v>62.4</v>
      </c>
      <c r="K232" s="110">
        <f t="shared" si="14"/>
        <v>0.16666666666666663</v>
      </c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 spans="1:26" ht="12.75" customHeight="1" x14ac:dyDescent="0.3">
      <c r="A233" s="107" t="s">
        <v>2027</v>
      </c>
      <c r="B233" s="107" t="s">
        <v>2463</v>
      </c>
      <c r="C233" s="107" t="s">
        <v>2464</v>
      </c>
      <c r="D233" s="108" t="s">
        <v>13</v>
      </c>
      <c r="E233" s="109">
        <v>96</v>
      </c>
      <c r="F233" s="109">
        <v>48</v>
      </c>
      <c r="G233" s="110">
        <f t="shared" si="12"/>
        <v>0.5</v>
      </c>
      <c r="H233" s="107"/>
      <c r="I233" s="110">
        <v>0.4</v>
      </c>
      <c r="J233" s="109">
        <f t="shared" si="13"/>
        <v>57.599999999999994</v>
      </c>
      <c r="K233" s="110">
        <f t="shared" si="14"/>
        <v>0.16666666666666663</v>
      </c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 spans="1:26" ht="12.75" customHeight="1" x14ac:dyDescent="0.3">
      <c r="A234" s="107" t="s">
        <v>2027</v>
      </c>
      <c r="B234" s="107" t="s">
        <v>2465</v>
      </c>
      <c r="C234" s="107" t="s">
        <v>2466</v>
      </c>
      <c r="D234" s="108" t="s">
        <v>13</v>
      </c>
      <c r="E234" s="109">
        <v>478</v>
      </c>
      <c r="F234" s="109">
        <v>239</v>
      </c>
      <c r="G234" s="110">
        <f t="shared" si="12"/>
        <v>0.5</v>
      </c>
      <c r="H234" s="107"/>
      <c r="I234" s="110">
        <v>0.4</v>
      </c>
      <c r="J234" s="109">
        <f t="shared" si="13"/>
        <v>286.8</v>
      </c>
      <c r="K234" s="110">
        <f t="shared" si="14"/>
        <v>0.16666666666666674</v>
      </c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 spans="1:26" ht="12.75" customHeight="1" x14ac:dyDescent="0.3">
      <c r="A235" s="107" t="s">
        <v>2027</v>
      </c>
      <c r="B235" s="107" t="s">
        <v>2467</v>
      </c>
      <c r="C235" s="107" t="s">
        <v>2468</v>
      </c>
      <c r="D235" s="108" t="s">
        <v>13</v>
      </c>
      <c r="E235" s="109">
        <v>30</v>
      </c>
      <c r="F235" s="109">
        <v>15</v>
      </c>
      <c r="G235" s="110">
        <f t="shared" si="12"/>
        <v>0.5</v>
      </c>
      <c r="H235" s="107"/>
      <c r="I235" s="110">
        <v>0.4</v>
      </c>
      <c r="J235" s="109">
        <f t="shared" si="13"/>
        <v>18</v>
      </c>
      <c r="K235" s="110">
        <f t="shared" si="14"/>
        <v>0.16666666666666663</v>
      </c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 spans="1:26" ht="12.75" customHeight="1" x14ac:dyDescent="0.3">
      <c r="A236" s="107" t="s">
        <v>2027</v>
      </c>
      <c r="B236" s="107" t="s">
        <v>2469</v>
      </c>
      <c r="C236" s="107" t="s">
        <v>2470</v>
      </c>
      <c r="D236" s="108" t="s">
        <v>13</v>
      </c>
      <c r="E236" s="109">
        <v>42</v>
      </c>
      <c r="F236" s="109">
        <v>21</v>
      </c>
      <c r="G236" s="110">
        <f t="shared" si="12"/>
        <v>0.5</v>
      </c>
      <c r="H236" s="107"/>
      <c r="I236" s="110">
        <v>0.4</v>
      </c>
      <c r="J236" s="109">
        <f t="shared" si="13"/>
        <v>25.2</v>
      </c>
      <c r="K236" s="110">
        <f t="shared" si="14"/>
        <v>0.16666666666666663</v>
      </c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 spans="1:26" ht="12.75" customHeight="1" x14ac:dyDescent="0.3">
      <c r="A237" s="107" t="s">
        <v>2027</v>
      </c>
      <c r="B237" s="107" t="s">
        <v>2471</v>
      </c>
      <c r="C237" s="107" t="s">
        <v>2472</v>
      </c>
      <c r="D237" s="108" t="s">
        <v>13</v>
      </c>
      <c r="E237" s="109">
        <v>158</v>
      </c>
      <c r="F237" s="109">
        <v>79</v>
      </c>
      <c r="G237" s="110">
        <f t="shared" si="12"/>
        <v>0.5</v>
      </c>
      <c r="H237" s="107"/>
      <c r="I237" s="110">
        <v>0.4</v>
      </c>
      <c r="J237" s="109">
        <f t="shared" si="13"/>
        <v>94.8</v>
      </c>
      <c r="K237" s="110">
        <f t="shared" si="14"/>
        <v>0.16666666666666663</v>
      </c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 spans="1:26" ht="12.75" customHeight="1" x14ac:dyDescent="0.3">
      <c r="A238" s="107" t="s">
        <v>2027</v>
      </c>
      <c r="B238" s="107" t="s">
        <v>2473</v>
      </c>
      <c r="C238" s="107" t="s">
        <v>2474</v>
      </c>
      <c r="D238" s="108" t="s">
        <v>13</v>
      </c>
      <c r="E238" s="109">
        <v>190</v>
      </c>
      <c r="F238" s="109">
        <v>95</v>
      </c>
      <c r="G238" s="110">
        <f t="shared" si="12"/>
        <v>0.5</v>
      </c>
      <c r="H238" s="107"/>
      <c r="I238" s="110">
        <v>0.4</v>
      </c>
      <c r="J238" s="109">
        <f t="shared" si="13"/>
        <v>114</v>
      </c>
      <c r="K238" s="110">
        <f t="shared" si="14"/>
        <v>0.16666666666666663</v>
      </c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 spans="1:26" ht="12.75" customHeight="1" x14ac:dyDescent="0.3">
      <c r="A239" s="107" t="s">
        <v>2027</v>
      </c>
      <c r="B239" s="107" t="s">
        <v>2475</v>
      </c>
      <c r="C239" s="107" t="s">
        <v>2476</v>
      </c>
      <c r="D239" s="108" t="s">
        <v>13</v>
      </c>
      <c r="E239" s="109">
        <v>330</v>
      </c>
      <c r="F239" s="109">
        <v>165</v>
      </c>
      <c r="G239" s="110">
        <f t="shared" si="12"/>
        <v>0.5</v>
      </c>
      <c r="H239" s="107"/>
      <c r="I239" s="110">
        <v>0.4</v>
      </c>
      <c r="J239" s="109">
        <f t="shared" si="13"/>
        <v>198</v>
      </c>
      <c r="K239" s="110">
        <f t="shared" si="14"/>
        <v>0.16666666666666663</v>
      </c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 spans="1:26" ht="12.75" customHeight="1" x14ac:dyDescent="0.3">
      <c r="A240" s="107" t="s">
        <v>2027</v>
      </c>
      <c r="B240" s="107" t="s">
        <v>2477</v>
      </c>
      <c r="C240" s="107" t="s">
        <v>2478</v>
      </c>
      <c r="D240" s="108" t="s">
        <v>13</v>
      </c>
      <c r="E240" s="109">
        <v>778</v>
      </c>
      <c r="F240" s="109">
        <v>389</v>
      </c>
      <c r="G240" s="110">
        <f t="shared" si="12"/>
        <v>0.5</v>
      </c>
      <c r="H240" s="107"/>
      <c r="I240" s="110">
        <v>0.4</v>
      </c>
      <c r="J240" s="109">
        <f t="shared" si="13"/>
        <v>466.79999999999995</v>
      </c>
      <c r="K240" s="110">
        <f t="shared" si="14"/>
        <v>0.16666666666666663</v>
      </c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 spans="1:26" ht="12.75" customHeight="1" x14ac:dyDescent="0.3">
      <c r="A241" s="107" t="s">
        <v>2027</v>
      </c>
      <c r="B241" s="107" t="s">
        <v>2479</v>
      </c>
      <c r="C241" s="107" t="s">
        <v>2480</v>
      </c>
      <c r="D241" s="108" t="s">
        <v>13</v>
      </c>
      <c r="E241" s="109">
        <v>804</v>
      </c>
      <c r="F241" s="109">
        <v>402</v>
      </c>
      <c r="G241" s="110">
        <f t="shared" si="12"/>
        <v>0.5</v>
      </c>
      <c r="H241" s="107"/>
      <c r="I241" s="110">
        <v>0.4</v>
      </c>
      <c r="J241" s="109">
        <f t="shared" si="13"/>
        <v>482.4</v>
      </c>
      <c r="K241" s="110">
        <f t="shared" si="14"/>
        <v>0.16666666666666663</v>
      </c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 spans="1:26" ht="12.75" customHeight="1" x14ac:dyDescent="0.3">
      <c r="A242" s="107" t="s">
        <v>2027</v>
      </c>
      <c r="B242" s="107" t="s">
        <v>2481</v>
      </c>
      <c r="C242" s="107" t="s">
        <v>2482</v>
      </c>
      <c r="D242" s="108" t="s">
        <v>13</v>
      </c>
      <c r="E242" s="109">
        <v>148</v>
      </c>
      <c r="F242" s="109">
        <v>74</v>
      </c>
      <c r="G242" s="110">
        <f t="shared" si="12"/>
        <v>0.5</v>
      </c>
      <c r="H242" s="107"/>
      <c r="I242" s="110">
        <v>0.4</v>
      </c>
      <c r="J242" s="109">
        <f t="shared" si="13"/>
        <v>88.8</v>
      </c>
      <c r="K242" s="110">
        <f t="shared" si="14"/>
        <v>0.16666666666666663</v>
      </c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 spans="1:26" ht="12.75" customHeight="1" x14ac:dyDescent="0.3">
      <c r="A243" s="107" t="s">
        <v>2027</v>
      </c>
      <c r="B243" s="107" t="s">
        <v>2483</v>
      </c>
      <c r="C243" s="107" t="s">
        <v>2484</v>
      </c>
      <c r="D243" s="108" t="s">
        <v>13</v>
      </c>
      <c r="E243" s="109">
        <v>506</v>
      </c>
      <c r="F243" s="109">
        <v>253</v>
      </c>
      <c r="G243" s="110">
        <f t="shared" si="12"/>
        <v>0.5</v>
      </c>
      <c r="H243" s="107"/>
      <c r="I243" s="110">
        <v>0.4</v>
      </c>
      <c r="J243" s="109">
        <f t="shared" si="13"/>
        <v>303.59999999999997</v>
      </c>
      <c r="K243" s="110">
        <f t="shared" si="14"/>
        <v>0.16666666666666652</v>
      </c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 spans="1:26" ht="12.75" customHeight="1" x14ac:dyDescent="0.3">
      <c r="A244" s="107" t="s">
        <v>2027</v>
      </c>
      <c r="B244" s="107" t="s">
        <v>2485</v>
      </c>
      <c r="C244" s="107" t="s">
        <v>2486</v>
      </c>
      <c r="D244" s="108" t="s">
        <v>13</v>
      </c>
      <c r="E244" s="109">
        <v>290</v>
      </c>
      <c r="F244" s="109">
        <v>145</v>
      </c>
      <c r="G244" s="110">
        <f t="shared" si="12"/>
        <v>0.5</v>
      </c>
      <c r="H244" s="107"/>
      <c r="I244" s="110">
        <v>0.4</v>
      </c>
      <c r="J244" s="109">
        <f t="shared" si="13"/>
        <v>174</v>
      </c>
      <c r="K244" s="110">
        <f t="shared" si="14"/>
        <v>0.16666666666666663</v>
      </c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 spans="1:26" ht="12.75" customHeight="1" x14ac:dyDescent="0.3">
      <c r="A245" s="112" t="s">
        <v>2027</v>
      </c>
      <c r="B245" s="112" t="s">
        <v>2487</v>
      </c>
      <c r="C245" s="112" t="s">
        <v>2488</v>
      </c>
      <c r="D245" s="114" t="s">
        <v>13</v>
      </c>
      <c r="E245" s="115">
        <v>44</v>
      </c>
      <c r="F245" s="115">
        <v>22</v>
      </c>
      <c r="G245" s="116">
        <f t="shared" si="12"/>
        <v>0.5</v>
      </c>
      <c r="H245" s="112"/>
      <c r="I245" s="116">
        <v>0.4</v>
      </c>
      <c r="J245" s="115">
        <f t="shared" si="13"/>
        <v>26.4</v>
      </c>
      <c r="K245" s="116">
        <f t="shared" si="14"/>
        <v>0.16666666666666663</v>
      </c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 spans="1:26" ht="12.75" customHeight="1" x14ac:dyDescent="0.3">
      <c r="A246" s="107" t="s">
        <v>2027</v>
      </c>
      <c r="B246" s="107" t="s">
        <v>2489</v>
      </c>
      <c r="C246" s="107" t="s">
        <v>2490</v>
      </c>
      <c r="D246" s="108" t="s">
        <v>13</v>
      </c>
      <c r="E246" s="109">
        <v>336</v>
      </c>
      <c r="F246" s="109">
        <v>168</v>
      </c>
      <c r="G246" s="110">
        <f t="shared" ref="G246:G248" si="15">1-(F246/E246)</f>
        <v>0.5</v>
      </c>
      <c r="H246" s="107"/>
      <c r="I246" s="110">
        <v>0.4</v>
      </c>
      <c r="J246" s="109">
        <f t="shared" ref="J246:J248" si="16">E246*(1-I246)</f>
        <v>201.6</v>
      </c>
      <c r="K246" s="110">
        <f t="shared" ref="K246:K248" si="17">1-(F246/J246)</f>
        <v>0.16666666666666663</v>
      </c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 spans="1:26" ht="12.75" customHeight="1" x14ac:dyDescent="0.3">
      <c r="A247" s="107" t="s">
        <v>2027</v>
      </c>
      <c r="B247" s="107" t="s">
        <v>2491</v>
      </c>
      <c r="C247" s="107" t="s">
        <v>2492</v>
      </c>
      <c r="D247" s="108" t="s">
        <v>13</v>
      </c>
      <c r="E247" s="109">
        <v>396</v>
      </c>
      <c r="F247" s="109">
        <v>198</v>
      </c>
      <c r="G247" s="110">
        <f t="shared" si="15"/>
        <v>0.5</v>
      </c>
      <c r="H247" s="107"/>
      <c r="I247" s="110">
        <v>0.4</v>
      </c>
      <c r="J247" s="109">
        <f t="shared" si="16"/>
        <v>237.6</v>
      </c>
      <c r="K247" s="110">
        <f t="shared" si="17"/>
        <v>0.16666666666666663</v>
      </c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 spans="1:26" ht="12.75" customHeight="1" x14ac:dyDescent="0.3">
      <c r="A248" s="112" t="s">
        <v>2027</v>
      </c>
      <c r="B248" s="112" t="s">
        <v>2493</v>
      </c>
      <c r="C248" s="112" t="s">
        <v>2494</v>
      </c>
      <c r="D248" s="114" t="s">
        <v>13</v>
      </c>
      <c r="E248" s="115">
        <v>1526</v>
      </c>
      <c r="F248" s="115">
        <v>763</v>
      </c>
      <c r="G248" s="116">
        <f t="shared" si="15"/>
        <v>0.5</v>
      </c>
      <c r="H248" s="112"/>
      <c r="I248" s="116">
        <v>0.4</v>
      </c>
      <c r="J248" s="115">
        <f t="shared" si="16"/>
        <v>915.6</v>
      </c>
      <c r="K248" s="116">
        <f t="shared" si="17"/>
        <v>0.16666666666666674</v>
      </c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 spans="1:26" ht="12.75" customHeight="1" x14ac:dyDescent="0.3">
      <c r="A249" s="107" t="s">
        <v>2027</v>
      </c>
      <c r="B249" s="107" t="s">
        <v>2495</v>
      </c>
      <c r="C249" s="107" t="s">
        <v>2496</v>
      </c>
      <c r="D249" s="108" t="s">
        <v>13</v>
      </c>
      <c r="E249" s="109">
        <v>204</v>
      </c>
      <c r="F249" s="109">
        <v>102</v>
      </c>
      <c r="G249" s="110">
        <f t="shared" ref="G249:G256" si="18">1-(F249/E249)</f>
        <v>0.5</v>
      </c>
      <c r="H249" s="107"/>
      <c r="I249" s="110">
        <v>0.4</v>
      </c>
      <c r="J249" s="109">
        <f t="shared" ref="J249:J256" si="19">E249*(1-I249)</f>
        <v>122.39999999999999</v>
      </c>
      <c r="K249" s="110">
        <f t="shared" ref="K249:K256" si="20">1-(F249/J249)</f>
        <v>0.16666666666666663</v>
      </c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 spans="1:26" ht="12.75" customHeight="1" x14ac:dyDescent="0.3">
      <c r="A250" s="107" t="s">
        <v>2027</v>
      </c>
      <c r="B250" s="107" t="s">
        <v>2497</v>
      </c>
      <c r="C250" s="107" t="s">
        <v>2498</v>
      </c>
      <c r="D250" s="108" t="s">
        <v>13</v>
      </c>
      <c r="E250" s="109">
        <v>518</v>
      </c>
      <c r="F250" s="109">
        <v>159</v>
      </c>
      <c r="G250" s="110">
        <f t="shared" si="18"/>
        <v>0.69305019305019311</v>
      </c>
      <c r="H250" s="107"/>
      <c r="I250" s="110">
        <v>0.4</v>
      </c>
      <c r="J250" s="109">
        <f t="shared" si="19"/>
        <v>310.8</v>
      </c>
      <c r="K250" s="110">
        <f t="shared" si="20"/>
        <v>0.48841698841698844</v>
      </c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 spans="1:26" ht="12.75" customHeight="1" x14ac:dyDescent="0.3">
      <c r="A251" s="107" t="s">
        <v>2027</v>
      </c>
      <c r="B251" s="107" t="s">
        <v>2499</v>
      </c>
      <c r="C251" s="107" t="s">
        <v>2500</v>
      </c>
      <c r="D251" s="108" t="s">
        <v>13</v>
      </c>
      <c r="E251" s="109">
        <v>518</v>
      </c>
      <c r="F251" s="109">
        <v>259</v>
      </c>
      <c r="G251" s="110">
        <f t="shared" si="18"/>
        <v>0.5</v>
      </c>
      <c r="H251" s="107"/>
      <c r="I251" s="110">
        <v>0.4</v>
      </c>
      <c r="J251" s="109">
        <f t="shared" si="19"/>
        <v>310.8</v>
      </c>
      <c r="K251" s="110">
        <f t="shared" si="20"/>
        <v>0.16666666666666674</v>
      </c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 spans="1:26" ht="12.75" customHeight="1" x14ac:dyDescent="0.3">
      <c r="A252" s="107" t="s">
        <v>2027</v>
      </c>
      <c r="B252" s="107" t="s">
        <v>2499</v>
      </c>
      <c r="C252" s="107" t="s">
        <v>2501</v>
      </c>
      <c r="D252" s="108" t="s">
        <v>13</v>
      </c>
      <c r="E252" s="109">
        <v>98</v>
      </c>
      <c r="F252" s="109">
        <v>49</v>
      </c>
      <c r="G252" s="110">
        <f t="shared" si="18"/>
        <v>0.5</v>
      </c>
      <c r="H252" s="107"/>
      <c r="I252" s="110">
        <v>0.4</v>
      </c>
      <c r="J252" s="109">
        <f t="shared" si="19"/>
        <v>58.8</v>
      </c>
      <c r="K252" s="110">
        <f t="shared" si="20"/>
        <v>0.16666666666666663</v>
      </c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 spans="1:26" ht="12.75" customHeight="1" x14ac:dyDescent="0.3">
      <c r="A253" s="107" t="s">
        <v>2027</v>
      </c>
      <c r="B253" s="107" t="s">
        <v>2502</v>
      </c>
      <c r="C253" s="107" t="s">
        <v>2503</v>
      </c>
      <c r="D253" s="108" t="s">
        <v>13</v>
      </c>
      <c r="E253" s="109">
        <v>398</v>
      </c>
      <c r="F253" s="109">
        <v>199</v>
      </c>
      <c r="G253" s="110">
        <f t="shared" si="18"/>
        <v>0.5</v>
      </c>
      <c r="H253" s="107"/>
      <c r="I253" s="110">
        <v>0.4</v>
      </c>
      <c r="J253" s="109">
        <f t="shared" si="19"/>
        <v>238.79999999999998</v>
      </c>
      <c r="K253" s="110">
        <f t="shared" si="20"/>
        <v>0.16666666666666663</v>
      </c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 spans="1:26" ht="12.75" customHeight="1" x14ac:dyDescent="0.3">
      <c r="A254" s="107" t="s">
        <v>2027</v>
      </c>
      <c r="B254" s="107" t="s">
        <v>2504</v>
      </c>
      <c r="C254" s="107" t="s">
        <v>2505</v>
      </c>
      <c r="D254" s="108" t="s">
        <v>13</v>
      </c>
      <c r="E254" s="109">
        <v>10</v>
      </c>
      <c r="F254" s="109">
        <v>5</v>
      </c>
      <c r="G254" s="110">
        <f t="shared" si="18"/>
        <v>0.5</v>
      </c>
      <c r="H254" s="107"/>
      <c r="I254" s="110">
        <v>0.4</v>
      </c>
      <c r="J254" s="109">
        <f t="shared" si="19"/>
        <v>6</v>
      </c>
      <c r="K254" s="110">
        <f t="shared" si="20"/>
        <v>0.16666666666666663</v>
      </c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 spans="1:26" ht="12.75" customHeight="1" x14ac:dyDescent="0.3">
      <c r="A255" s="107" t="s">
        <v>2027</v>
      </c>
      <c r="B255" s="107" t="s">
        <v>2504</v>
      </c>
      <c r="C255" s="107" t="s">
        <v>2506</v>
      </c>
      <c r="D255" s="108" t="s">
        <v>13</v>
      </c>
      <c r="E255" s="109">
        <v>14</v>
      </c>
      <c r="F255" s="109">
        <v>7</v>
      </c>
      <c r="G255" s="110">
        <f t="shared" si="18"/>
        <v>0.5</v>
      </c>
      <c r="H255" s="107"/>
      <c r="I255" s="110">
        <v>0.4</v>
      </c>
      <c r="J255" s="109">
        <f t="shared" si="19"/>
        <v>8.4</v>
      </c>
      <c r="K255" s="110">
        <f t="shared" si="20"/>
        <v>0.16666666666666674</v>
      </c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 spans="1:26" ht="12.75" customHeight="1" x14ac:dyDescent="0.3">
      <c r="A256" s="112" t="s">
        <v>2027</v>
      </c>
      <c r="B256" s="112" t="s">
        <v>2507</v>
      </c>
      <c r="C256" s="112" t="s">
        <v>2508</v>
      </c>
      <c r="D256" s="114" t="s">
        <v>13</v>
      </c>
      <c r="E256" s="115">
        <v>17</v>
      </c>
      <c r="F256" s="115">
        <v>8.5</v>
      </c>
      <c r="G256" s="116">
        <f t="shared" si="18"/>
        <v>0.5</v>
      </c>
      <c r="H256" s="112"/>
      <c r="I256" s="116">
        <v>0.4</v>
      </c>
      <c r="J256" s="115">
        <f t="shared" si="19"/>
        <v>10.199999999999999</v>
      </c>
      <c r="K256" s="116">
        <f t="shared" si="20"/>
        <v>0.16666666666666663</v>
      </c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 spans="1:26" ht="12.75" customHeight="1" x14ac:dyDescent="0.3">
      <c r="A257" s="107" t="s">
        <v>2027</v>
      </c>
      <c r="B257" s="107" t="s">
        <v>2509</v>
      </c>
      <c r="C257" s="107" t="s">
        <v>2510</v>
      </c>
      <c r="D257" s="108" t="s">
        <v>13</v>
      </c>
      <c r="E257" s="109">
        <v>814</v>
      </c>
      <c r="F257" s="109">
        <v>407</v>
      </c>
      <c r="G257" s="110">
        <f t="shared" ref="G257:G350" si="21">1-(F257/E257)</f>
        <v>0.5</v>
      </c>
      <c r="H257" s="107"/>
      <c r="I257" s="110">
        <v>0.4</v>
      </c>
      <c r="J257" s="109">
        <f t="shared" ref="J257:J350" si="22">E257*(1-I257)</f>
        <v>488.4</v>
      </c>
      <c r="K257" s="110">
        <f t="shared" ref="K257:K350" si="23">1-(F257/J257)</f>
        <v>0.16666666666666663</v>
      </c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 spans="1:26" ht="12.75" customHeight="1" x14ac:dyDescent="0.3">
      <c r="A258" s="107" t="s">
        <v>2027</v>
      </c>
      <c r="B258" s="107" t="s">
        <v>2511</v>
      </c>
      <c r="C258" s="107" t="s">
        <v>2512</v>
      </c>
      <c r="D258" s="108" t="s">
        <v>13</v>
      </c>
      <c r="E258" s="109">
        <v>4390</v>
      </c>
      <c r="F258" s="109">
        <v>2195</v>
      </c>
      <c r="G258" s="110">
        <f t="shared" si="21"/>
        <v>0.5</v>
      </c>
      <c r="H258" s="107"/>
      <c r="I258" s="110">
        <v>0.4</v>
      </c>
      <c r="J258" s="109">
        <f t="shared" si="22"/>
        <v>2634</v>
      </c>
      <c r="K258" s="110">
        <f t="shared" si="23"/>
        <v>0.16666666666666663</v>
      </c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 spans="1:26" ht="12.75" customHeight="1" x14ac:dyDescent="0.3">
      <c r="A259" s="107" t="s">
        <v>2027</v>
      </c>
      <c r="B259" s="107" t="s">
        <v>2513</v>
      </c>
      <c r="C259" s="107" t="s">
        <v>2514</v>
      </c>
      <c r="D259" s="108" t="s">
        <v>13</v>
      </c>
      <c r="E259" s="109">
        <v>5190</v>
      </c>
      <c r="F259" s="109">
        <v>2595</v>
      </c>
      <c r="G259" s="110">
        <f t="shared" si="21"/>
        <v>0.5</v>
      </c>
      <c r="H259" s="107"/>
      <c r="I259" s="110">
        <v>0.4</v>
      </c>
      <c r="J259" s="109">
        <f t="shared" si="22"/>
        <v>3114</v>
      </c>
      <c r="K259" s="110">
        <f t="shared" si="23"/>
        <v>0.16666666666666663</v>
      </c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 spans="1:26" ht="12.75" customHeight="1" x14ac:dyDescent="0.3">
      <c r="A260" s="107" t="s">
        <v>2027</v>
      </c>
      <c r="B260" s="107" t="s">
        <v>2515</v>
      </c>
      <c r="C260" s="107" t="s">
        <v>2516</v>
      </c>
      <c r="D260" s="108" t="s">
        <v>13</v>
      </c>
      <c r="E260" s="109">
        <v>390</v>
      </c>
      <c r="F260" s="109">
        <v>195</v>
      </c>
      <c r="G260" s="110">
        <f t="shared" si="21"/>
        <v>0.5</v>
      </c>
      <c r="H260" s="107"/>
      <c r="I260" s="110">
        <v>0.4</v>
      </c>
      <c r="J260" s="109">
        <f t="shared" si="22"/>
        <v>234</v>
      </c>
      <c r="K260" s="110">
        <f t="shared" si="23"/>
        <v>0.16666666666666663</v>
      </c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 spans="1:26" ht="12.75" customHeight="1" x14ac:dyDescent="0.3">
      <c r="A261" s="107" t="s">
        <v>2027</v>
      </c>
      <c r="B261" s="107" t="s">
        <v>2517</v>
      </c>
      <c r="C261" s="107" t="s">
        <v>2518</v>
      </c>
      <c r="D261" s="108" t="s">
        <v>13</v>
      </c>
      <c r="E261" s="109">
        <v>300</v>
      </c>
      <c r="F261" s="109">
        <v>150</v>
      </c>
      <c r="G261" s="110">
        <f t="shared" si="21"/>
        <v>0.5</v>
      </c>
      <c r="H261" s="107"/>
      <c r="I261" s="110">
        <v>0.4</v>
      </c>
      <c r="J261" s="109">
        <f t="shared" si="22"/>
        <v>180</v>
      </c>
      <c r="K261" s="110">
        <f t="shared" si="23"/>
        <v>0.16666666666666663</v>
      </c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 spans="1:26" ht="12.75" customHeight="1" x14ac:dyDescent="0.3">
      <c r="A262" s="107" t="s">
        <v>2027</v>
      </c>
      <c r="B262" s="107" t="s">
        <v>2519</v>
      </c>
      <c r="C262" s="107" t="s">
        <v>2518</v>
      </c>
      <c r="D262" s="108" t="s">
        <v>13</v>
      </c>
      <c r="E262" s="109">
        <v>380</v>
      </c>
      <c r="F262" s="109">
        <v>190</v>
      </c>
      <c r="G262" s="110">
        <f t="shared" si="21"/>
        <v>0.5</v>
      </c>
      <c r="H262" s="107"/>
      <c r="I262" s="110">
        <v>0.4</v>
      </c>
      <c r="J262" s="109">
        <f t="shared" si="22"/>
        <v>228</v>
      </c>
      <c r="K262" s="110">
        <f t="shared" si="23"/>
        <v>0.16666666666666663</v>
      </c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 spans="1:26" ht="12.75" customHeight="1" x14ac:dyDescent="0.3">
      <c r="A263" s="107" t="s">
        <v>2027</v>
      </c>
      <c r="B263" s="107" t="s">
        <v>2520</v>
      </c>
      <c r="C263" s="107" t="s">
        <v>2521</v>
      </c>
      <c r="D263" s="108" t="s">
        <v>13</v>
      </c>
      <c r="E263" s="109">
        <v>118</v>
      </c>
      <c r="F263" s="109">
        <v>59</v>
      </c>
      <c r="G263" s="110">
        <f t="shared" si="21"/>
        <v>0.5</v>
      </c>
      <c r="H263" s="107"/>
      <c r="I263" s="110">
        <v>0.4</v>
      </c>
      <c r="J263" s="109">
        <f t="shared" si="22"/>
        <v>70.8</v>
      </c>
      <c r="K263" s="110">
        <f t="shared" si="23"/>
        <v>0.16666666666666663</v>
      </c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 spans="1:26" ht="12.75" customHeight="1" x14ac:dyDescent="0.3">
      <c r="A264" s="107" t="s">
        <v>2027</v>
      </c>
      <c r="B264" s="107" t="s">
        <v>2522</v>
      </c>
      <c r="C264" s="107" t="s">
        <v>2523</v>
      </c>
      <c r="D264" s="108" t="s">
        <v>13</v>
      </c>
      <c r="E264" s="109">
        <v>330</v>
      </c>
      <c r="F264" s="109">
        <v>165</v>
      </c>
      <c r="G264" s="110">
        <f t="shared" si="21"/>
        <v>0.5</v>
      </c>
      <c r="H264" s="107"/>
      <c r="I264" s="110">
        <v>0.4</v>
      </c>
      <c r="J264" s="109">
        <f t="shared" si="22"/>
        <v>198</v>
      </c>
      <c r="K264" s="110">
        <f t="shared" si="23"/>
        <v>0.16666666666666663</v>
      </c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 spans="1:26" ht="12.75" customHeight="1" x14ac:dyDescent="0.3">
      <c r="A265" s="107" t="s">
        <v>2027</v>
      </c>
      <c r="B265" s="107" t="s">
        <v>2524</v>
      </c>
      <c r="C265" s="107" t="s">
        <v>2525</v>
      </c>
      <c r="D265" s="108" t="s">
        <v>13</v>
      </c>
      <c r="E265" s="109">
        <v>298</v>
      </c>
      <c r="F265" s="109">
        <v>149</v>
      </c>
      <c r="G265" s="110">
        <f t="shared" si="21"/>
        <v>0.5</v>
      </c>
      <c r="H265" s="107"/>
      <c r="I265" s="110">
        <v>0.4</v>
      </c>
      <c r="J265" s="109">
        <f t="shared" si="22"/>
        <v>178.79999999999998</v>
      </c>
      <c r="K265" s="110">
        <f t="shared" si="23"/>
        <v>0.16666666666666663</v>
      </c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 spans="1:26" ht="12.75" customHeight="1" x14ac:dyDescent="0.3">
      <c r="A266" s="107" t="s">
        <v>2027</v>
      </c>
      <c r="B266" s="107" t="s">
        <v>2526</v>
      </c>
      <c r="C266" s="107" t="s">
        <v>2527</v>
      </c>
      <c r="D266" s="108" t="s">
        <v>13</v>
      </c>
      <c r="E266" s="109">
        <v>616</v>
      </c>
      <c r="F266" s="109">
        <v>308</v>
      </c>
      <c r="G266" s="110">
        <f t="shared" si="21"/>
        <v>0.5</v>
      </c>
      <c r="H266" s="107"/>
      <c r="I266" s="110">
        <v>0.4</v>
      </c>
      <c r="J266" s="109">
        <f t="shared" si="22"/>
        <v>369.59999999999997</v>
      </c>
      <c r="K266" s="110">
        <f t="shared" si="23"/>
        <v>0.16666666666666663</v>
      </c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 spans="1:26" ht="12.75" customHeight="1" x14ac:dyDescent="0.3">
      <c r="A267" s="107" t="s">
        <v>2027</v>
      </c>
      <c r="B267" s="107" t="s">
        <v>2528</v>
      </c>
      <c r="C267" s="107" t="s">
        <v>2529</v>
      </c>
      <c r="D267" s="108" t="s">
        <v>13</v>
      </c>
      <c r="E267" s="109">
        <v>458</v>
      </c>
      <c r="F267" s="109">
        <v>229</v>
      </c>
      <c r="G267" s="110">
        <f t="shared" si="21"/>
        <v>0.5</v>
      </c>
      <c r="H267" s="107"/>
      <c r="I267" s="110">
        <v>0.4</v>
      </c>
      <c r="J267" s="109">
        <f t="shared" si="22"/>
        <v>274.8</v>
      </c>
      <c r="K267" s="110">
        <f t="shared" si="23"/>
        <v>0.16666666666666674</v>
      </c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 spans="1:26" ht="12.75" customHeight="1" x14ac:dyDescent="0.3">
      <c r="A268" s="107" t="s">
        <v>2027</v>
      </c>
      <c r="B268" s="107" t="s">
        <v>2530</v>
      </c>
      <c r="C268" s="107" t="s">
        <v>2531</v>
      </c>
      <c r="D268" s="108" t="s">
        <v>13</v>
      </c>
      <c r="E268" s="109">
        <v>558</v>
      </c>
      <c r="F268" s="109">
        <v>279</v>
      </c>
      <c r="G268" s="110">
        <f t="shared" si="21"/>
        <v>0.5</v>
      </c>
      <c r="H268" s="107"/>
      <c r="I268" s="110">
        <v>0.4</v>
      </c>
      <c r="J268" s="109">
        <f t="shared" si="22"/>
        <v>334.8</v>
      </c>
      <c r="K268" s="110">
        <f t="shared" si="23"/>
        <v>0.16666666666666674</v>
      </c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 spans="1:26" ht="12.75" customHeight="1" x14ac:dyDescent="0.3">
      <c r="A269" s="107" t="s">
        <v>2027</v>
      </c>
      <c r="B269" s="107" t="s">
        <v>2532</v>
      </c>
      <c r="C269" s="107" t="s">
        <v>2533</v>
      </c>
      <c r="D269" s="108" t="s">
        <v>13</v>
      </c>
      <c r="E269" s="109">
        <v>990</v>
      </c>
      <c r="F269" s="109">
        <v>495</v>
      </c>
      <c r="G269" s="110">
        <f t="shared" si="21"/>
        <v>0.5</v>
      </c>
      <c r="H269" s="107"/>
      <c r="I269" s="110">
        <v>0.4</v>
      </c>
      <c r="J269" s="109">
        <f t="shared" si="22"/>
        <v>594</v>
      </c>
      <c r="K269" s="110">
        <f t="shared" si="23"/>
        <v>0.16666666666666663</v>
      </c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 spans="1:26" ht="12.75" customHeight="1" x14ac:dyDescent="0.3">
      <c r="A270" s="107" t="s">
        <v>2027</v>
      </c>
      <c r="B270" s="107" t="s">
        <v>2534</v>
      </c>
      <c r="C270" s="107" t="s">
        <v>2535</v>
      </c>
      <c r="D270" s="108" t="s">
        <v>13</v>
      </c>
      <c r="E270" s="109">
        <v>1190</v>
      </c>
      <c r="F270" s="109">
        <v>595</v>
      </c>
      <c r="G270" s="110">
        <f t="shared" si="21"/>
        <v>0.5</v>
      </c>
      <c r="H270" s="107"/>
      <c r="I270" s="110">
        <v>0.4</v>
      </c>
      <c r="J270" s="109">
        <f t="shared" si="22"/>
        <v>714</v>
      </c>
      <c r="K270" s="110">
        <f t="shared" si="23"/>
        <v>0.16666666666666663</v>
      </c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 spans="1:26" ht="12.75" customHeight="1" x14ac:dyDescent="0.3">
      <c r="A271" s="107" t="s">
        <v>2027</v>
      </c>
      <c r="B271" s="107" t="s">
        <v>2536</v>
      </c>
      <c r="C271" s="107" t="s">
        <v>2537</v>
      </c>
      <c r="D271" s="108" t="s">
        <v>13</v>
      </c>
      <c r="E271" s="109">
        <v>138</v>
      </c>
      <c r="F271" s="109">
        <v>69</v>
      </c>
      <c r="G271" s="110">
        <f t="shared" si="21"/>
        <v>0.5</v>
      </c>
      <c r="H271" s="107"/>
      <c r="I271" s="110">
        <v>0.4</v>
      </c>
      <c r="J271" s="109">
        <f t="shared" si="22"/>
        <v>82.8</v>
      </c>
      <c r="K271" s="110">
        <f t="shared" si="23"/>
        <v>0.16666666666666663</v>
      </c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 spans="1:26" ht="12.75" customHeight="1" x14ac:dyDescent="0.3">
      <c r="A272" s="107" t="s">
        <v>2027</v>
      </c>
      <c r="B272" s="107" t="s">
        <v>2538</v>
      </c>
      <c r="C272" s="107" t="s">
        <v>2539</v>
      </c>
      <c r="D272" s="108" t="s">
        <v>13</v>
      </c>
      <c r="E272" s="109">
        <v>470</v>
      </c>
      <c r="F272" s="109">
        <v>235</v>
      </c>
      <c r="G272" s="110">
        <f t="shared" si="21"/>
        <v>0.5</v>
      </c>
      <c r="H272" s="107"/>
      <c r="I272" s="110">
        <v>0.4</v>
      </c>
      <c r="J272" s="109">
        <f t="shared" si="22"/>
        <v>282</v>
      </c>
      <c r="K272" s="110">
        <f t="shared" si="23"/>
        <v>0.16666666666666663</v>
      </c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 spans="1:26" ht="12.75" customHeight="1" x14ac:dyDescent="0.3">
      <c r="A273" s="107" t="s">
        <v>2027</v>
      </c>
      <c r="B273" s="107" t="s">
        <v>2540</v>
      </c>
      <c r="C273" s="107" t="s">
        <v>2541</v>
      </c>
      <c r="D273" s="108" t="s">
        <v>13</v>
      </c>
      <c r="E273" s="109">
        <v>472</v>
      </c>
      <c r="F273" s="109">
        <v>236</v>
      </c>
      <c r="G273" s="110">
        <f t="shared" si="21"/>
        <v>0.5</v>
      </c>
      <c r="H273" s="107"/>
      <c r="I273" s="110">
        <v>0.4</v>
      </c>
      <c r="J273" s="109">
        <f t="shared" si="22"/>
        <v>283.2</v>
      </c>
      <c r="K273" s="110">
        <f t="shared" si="23"/>
        <v>0.16666666666666663</v>
      </c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 spans="1:26" ht="12.75" customHeight="1" x14ac:dyDescent="0.3">
      <c r="A274" s="107" t="s">
        <v>2027</v>
      </c>
      <c r="B274" s="107" t="s">
        <v>2542</v>
      </c>
      <c r="C274" s="107" t="s">
        <v>2543</v>
      </c>
      <c r="D274" s="108" t="s">
        <v>13</v>
      </c>
      <c r="E274" s="109">
        <v>1190</v>
      </c>
      <c r="F274" s="109">
        <v>595</v>
      </c>
      <c r="G274" s="110">
        <f t="shared" si="21"/>
        <v>0.5</v>
      </c>
      <c r="H274" s="107"/>
      <c r="I274" s="110">
        <v>0.4</v>
      </c>
      <c r="J274" s="109">
        <f t="shared" si="22"/>
        <v>714</v>
      </c>
      <c r="K274" s="110">
        <f t="shared" si="23"/>
        <v>0.16666666666666663</v>
      </c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 spans="1:26" ht="12.75" customHeight="1" x14ac:dyDescent="0.3">
      <c r="A275" s="107" t="s">
        <v>2027</v>
      </c>
      <c r="B275" s="107" t="s">
        <v>2544</v>
      </c>
      <c r="C275" s="107" t="s">
        <v>2545</v>
      </c>
      <c r="D275" s="108" t="s">
        <v>13</v>
      </c>
      <c r="E275" s="109">
        <v>72</v>
      </c>
      <c r="F275" s="109">
        <v>36</v>
      </c>
      <c r="G275" s="110">
        <f t="shared" si="21"/>
        <v>0.5</v>
      </c>
      <c r="H275" s="107"/>
      <c r="I275" s="110">
        <v>0.4</v>
      </c>
      <c r="J275" s="109">
        <f t="shared" si="22"/>
        <v>43.199999999999996</v>
      </c>
      <c r="K275" s="110">
        <f t="shared" si="23"/>
        <v>0.16666666666666663</v>
      </c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 spans="1:26" ht="12.75" customHeight="1" x14ac:dyDescent="0.3">
      <c r="A276" s="107" t="s">
        <v>2027</v>
      </c>
      <c r="B276" s="107" t="s">
        <v>2546</v>
      </c>
      <c r="C276" s="107" t="s">
        <v>2547</v>
      </c>
      <c r="D276" s="108" t="s">
        <v>13</v>
      </c>
      <c r="E276" s="109">
        <v>90</v>
      </c>
      <c r="F276" s="109">
        <v>45</v>
      </c>
      <c r="G276" s="110">
        <f t="shared" si="21"/>
        <v>0.5</v>
      </c>
      <c r="H276" s="107"/>
      <c r="I276" s="110">
        <v>0.4</v>
      </c>
      <c r="J276" s="109">
        <f t="shared" si="22"/>
        <v>54</v>
      </c>
      <c r="K276" s="110">
        <f t="shared" si="23"/>
        <v>0.16666666666666663</v>
      </c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 spans="1:26" ht="12.75" customHeight="1" x14ac:dyDescent="0.3">
      <c r="A277" s="107" t="s">
        <v>2027</v>
      </c>
      <c r="B277" s="107" t="s">
        <v>2548</v>
      </c>
      <c r="C277" s="107" t="s">
        <v>2549</v>
      </c>
      <c r="D277" s="108" t="s">
        <v>13</v>
      </c>
      <c r="E277" s="109">
        <v>108</v>
      </c>
      <c r="F277" s="109">
        <v>54</v>
      </c>
      <c r="G277" s="110">
        <f t="shared" si="21"/>
        <v>0.5</v>
      </c>
      <c r="H277" s="107"/>
      <c r="I277" s="110">
        <v>0.4</v>
      </c>
      <c r="J277" s="109">
        <f t="shared" si="22"/>
        <v>64.8</v>
      </c>
      <c r="K277" s="110">
        <f t="shared" si="23"/>
        <v>0.16666666666666663</v>
      </c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 spans="1:26" ht="12.75" customHeight="1" x14ac:dyDescent="0.3">
      <c r="A278" s="107" t="s">
        <v>2027</v>
      </c>
      <c r="B278" s="107" t="s">
        <v>2550</v>
      </c>
      <c r="C278" s="107" t="s">
        <v>2551</v>
      </c>
      <c r="D278" s="108" t="s">
        <v>13</v>
      </c>
      <c r="E278" s="109">
        <v>20</v>
      </c>
      <c r="F278" s="109">
        <v>10</v>
      </c>
      <c r="G278" s="110">
        <f t="shared" si="21"/>
        <v>0.5</v>
      </c>
      <c r="H278" s="107"/>
      <c r="I278" s="110">
        <v>0.4</v>
      </c>
      <c r="J278" s="109">
        <f t="shared" si="22"/>
        <v>12</v>
      </c>
      <c r="K278" s="110">
        <f t="shared" si="23"/>
        <v>0.16666666666666663</v>
      </c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 spans="1:26" ht="12.75" customHeight="1" x14ac:dyDescent="0.3">
      <c r="A279" s="107" t="s">
        <v>2027</v>
      </c>
      <c r="B279" s="107" t="s">
        <v>2552</v>
      </c>
      <c r="C279" s="107" t="s">
        <v>2553</v>
      </c>
      <c r="D279" s="108" t="s">
        <v>13</v>
      </c>
      <c r="E279" s="109">
        <v>212</v>
      </c>
      <c r="F279" s="109">
        <v>106</v>
      </c>
      <c r="G279" s="110">
        <f t="shared" si="21"/>
        <v>0.5</v>
      </c>
      <c r="H279" s="107"/>
      <c r="I279" s="110">
        <v>0.4</v>
      </c>
      <c r="J279" s="109">
        <f t="shared" si="22"/>
        <v>127.19999999999999</v>
      </c>
      <c r="K279" s="110">
        <f t="shared" si="23"/>
        <v>0.16666666666666663</v>
      </c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 spans="1:26" ht="12.75" customHeight="1" x14ac:dyDescent="0.3">
      <c r="A280" s="107" t="s">
        <v>2027</v>
      </c>
      <c r="B280" s="107" t="s">
        <v>2554</v>
      </c>
      <c r="C280" s="107" t="s">
        <v>2555</v>
      </c>
      <c r="D280" s="108" t="s">
        <v>13</v>
      </c>
      <c r="E280" s="109">
        <v>402</v>
      </c>
      <c r="F280" s="109">
        <v>201</v>
      </c>
      <c r="G280" s="110">
        <f t="shared" si="21"/>
        <v>0.5</v>
      </c>
      <c r="H280" s="107"/>
      <c r="I280" s="110">
        <v>0.4</v>
      </c>
      <c r="J280" s="109">
        <f t="shared" si="22"/>
        <v>241.2</v>
      </c>
      <c r="K280" s="110">
        <f t="shared" si="23"/>
        <v>0.16666666666666663</v>
      </c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 spans="1:26" ht="12.75" customHeight="1" x14ac:dyDescent="0.3">
      <c r="A281" s="107" t="s">
        <v>2027</v>
      </c>
      <c r="B281" s="107" t="s">
        <v>2556</v>
      </c>
      <c r="C281" s="107" t="s">
        <v>2557</v>
      </c>
      <c r="D281" s="108" t="s">
        <v>13</v>
      </c>
      <c r="E281" s="109">
        <v>498</v>
      </c>
      <c r="F281" s="109">
        <v>249</v>
      </c>
      <c r="G281" s="110">
        <f t="shared" si="21"/>
        <v>0.5</v>
      </c>
      <c r="H281" s="107"/>
      <c r="I281" s="110">
        <v>0.4</v>
      </c>
      <c r="J281" s="109">
        <f t="shared" si="22"/>
        <v>298.8</v>
      </c>
      <c r="K281" s="110">
        <f t="shared" si="23"/>
        <v>0.16666666666666674</v>
      </c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 spans="1:26" ht="12.75" customHeight="1" x14ac:dyDescent="0.3">
      <c r="A282" s="107" t="s">
        <v>2027</v>
      </c>
      <c r="B282" s="107" t="s">
        <v>2558</v>
      </c>
      <c r="C282" s="107" t="s">
        <v>2559</v>
      </c>
      <c r="D282" s="108" t="s">
        <v>13</v>
      </c>
      <c r="E282" s="109">
        <v>1534</v>
      </c>
      <c r="F282" s="109">
        <v>767</v>
      </c>
      <c r="G282" s="110">
        <f t="shared" si="21"/>
        <v>0.5</v>
      </c>
      <c r="H282" s="107"/>
      <c r="I282" s="110">
        <v>0.4</v>
      </c>
      <c r="J282" s="109">
        <f t="shared" si="22"/>
        <v>920.4</v>
      </c>
      <c r="K282" s="110">
        <f t="shared" si="23"/>
        <v>0.16666666666666663</v>
      </c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 spans="1:26" ht="12.75" customHeight="1" x14ac:dyDescent="0.3">
      <c r="A283" s="107" t="s">
        <v>2027</v>
      </c>
      <c r="B283" s="107" t="s">
        <v>2560</v>
      </c>
      <c r="C283" s="107" t="s">
        <v>2561</v>
      </c>
      <c r="D283" s="108" t="s">
        <v>13</v>
      </c>
      <c r="E283" s="109">
        <v>276</v>
      </c>
      <c r="F283" s="109">
        <v>138</v>
      </c>
      <c r="G283" s="110">
        <f t="shared" si="21"/>
        <v>0.5</v>
      </c>
      <c r="H283" s="107"/>
      <c r="I283" s="110">
        <v>0.4</v>
      </c>
      <c r="J283" s="109">
        <f t="shared" si="22"/>
        <v>165.6</v>
      </c>
      <c r="K283" s="110">
        <f t="shared" si="23"/>
        <v>0.16666666666666663</v>
      </c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 spans="1:26" ht="12.75" customHeight="1" x14ac:dyDescent="0.3">
      <c r="A284" s="107" t="s">
        <v>2027</v>
      </c>
      <c r="B284" s="107" t="s">
        <v>2562</v>
      </c>
      <c r="C284" s="107" t="s">
        <v>2563</v>
      </c>
      <c r="D284" s="108" t="s">
        <v>13</v>
      </c>
      <c r="E284" s="109">
        <v>502</v>
      </c>
      <c r="F284" s="109">
        <v>251</v>
      </c>
      <c r="G284" s="110">
        <f t="shared" si="21"/>
        <v>0.5</v>
      </c>
      <c r="H284" s="107"/>
      <c r="I284" s="110">
        <v>0.4</v>
      </c>
      <c r="J284" s="109">
        <f t="shared" si="22"/>
        <v>301.2</v>
      </c>
      <c r="K284" s="110">
        <f t="shared" si="23"/>
        <v>0.16666666666666663</v>
      </c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 spans="1:26" ht="12.75" customHeight="1" x14ac:dyDescent="0.3">
      <c r="A285" s="107" t="s">
        <v>2027</v>
      </c>
      <c r="B285" s="107" t="s">
        <v>2564</v>
      </c>
      <c r="C285" s="107" t="s">
        <v>2565</v>
      </c>
      <c r="D285" s="108" t="s">
        <v>13</v>
      </c>
      <c r="E285" s="109">
        <v>204</v>
      </c>
      <c r="F285" s="109">
        <v>102</v>
      </c>
      <c r="G285" s="110">
        <f t="shared" si="21"/>
        <v>0.5</v>
      </c>
      <c r="H285" s="107"/>
      <c r="I285" s="110">
        <v>0.4</v>
      </c>
      <c r="J285" s="109">
        <f t="shared" si="22"/>
        <v>122.39999999999999</v>
      </c>
      <c r="K285" s="110">
        <f t="shared" si="23"/>
        <v>0.16666666666666663</v>
      </c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 spans="1:26" ht="12.75" customHeight="1" x14ac:dyDescent="0.3">
      <c r="A286" s="107" t="s">
        <v>2027</v>
      </c>
      <c r="B286" s="107" t="s">
        <v>2566</v>
      </c>
      <c r="C286" s="107" t="s">
        <v>2567</v>
      </c>
      <c r="D286" s="108" t="s">
        <v>13</v>
      </c>
      <c r="E286" s="109">
        <v>698</v>
      </c>
      <c r="F286" s="109">
        <v>349</v>
      </c>
      <c r="G286" s="110">
        <f t="shared" si="21"/>
        <v>0.5</v>
      </c>
      <c r="H286" s="107"/>
      <c r="I286" s="110">
        <v>0.4</v>
      </c>
      <c r="J286" s="109">
        <f t="shared" si="22"/>
        <v>418.8</v>
      </c>
      <c r="K286" s="110">
        <f t="shared" si="23"/>
        <v>0.16666666666666674</v>
      </c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 spans="1:26" ht="12.75" customHeight="1" x14ac:dyDescent="0.3">
      <c r="A287" s="107" t="s">
        <v>2027</v>
      </c>
      <c r="B287" s="107" t="s">
        <v>2568</v>
      </c>
      <c r="C287" s="107" t="s">
        <v>2569</v>
      </c>
      <c r="D287" s="108" t="s">
        <v>13</v>
      </c>
      <c r="E287" s="109">
        <v>52</v>
      </c>
      <c r="F287" s="109">
        <v>26</v>
      </c>
      <c r="G287" s="110">
        <f t="shared" si="21"/>
        <v>0.5</v>
      </c>
      <c r="H287" s="107"/>
      <c r="I287" s="110">
        <v>0.4</v>
      </c>
      <c r="J287" s="109">
        <f t="shared" si="22"/>
        <v>31.2</v>
      </c>
      <c r="K287" s="110">
        <f t="shared" si="23"/>
        <v>0.16666666666666663</v>
      </c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 spans="1:26" ht="12.75" customHeight="1" x14ac:dyDescent="0.3">
      <c r="A288" s="107" t="s">
        <v>2027</v>
      </c>
      <c r="B288" s="107" t="s">
        <v>2570</v>
      </c>
      <c r="C288" s="107" t="s">
        <v>2571</v>
      </c>
      <c r="D288" s="108" t="s">
        <v>13</v>
      </c>
      <c r="E288" s="109">
        <v>240</v>
      </c>
      <c r="F288" s="109">
        <v>120</v>
      </c>
      <c r="G288" s="110">
        <f t="shared" si="21"/>
        <v>0.5</v>
      </c>
      <c r="H288" s="107"/>
      <c r="I288" s="110">
        <v>0.4</v>
      </c>
      <c r="J288" s="109">
        <f t="shared" si="22"/>
        <v>144</v>
      </c>
      <c r="K288" s="110">
        <f t="shared" si="23"/>
        <v>0.16666666666666663</v>
      </c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 spans="1:26" ht="12.75" customHeight="1" x14ac:dyDescent="0.3">
      <c r="A289" s="107" t="s">
        <v>2027</v>
      </c>
      <c r="B289" s="107" t="s">
        <v>2572</v>
      </c>
      <c r="C289" s="107" t="s">
        <v>2573</v>
      </c>
      <c r="D289" s="108" t="s">
        <v>13</v>
      </c>
      <c r="E289" s="109">
        <v>350</v>
      </c>
      <c r="F289" s="109">
        <v>175</v>
      </c>
      <c r="G289" s="110">
        <f t="shared" si="21"/>
        <v>0.5</v>
      </c>
      <c r="H289" s="107"/>
      <c r="I289" s="110">
        <v>0.4</v>
      </c>
      <c r="J289" s="109">
        <f t="shared" si="22"/>
        <v>210</v>
      </c>
      <c r="K289" s="110">
        <f t="shared" si="23"/>
        <v>0.16666666666666663</v>
      </c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 spans="1:26" ht="12.75" customHeight="1" x14ac:dyDescent="0.3">
      <c r="A290" s="107" t="s">
        <v>2027</v>
      </c>
      <c r="B290" s="107" t="s">
        <v>2574</v>
      </c>
      <c r="C290" s="107" t="s">
        <v>2575</v>
      </c>
      <c r="D290" s="108" t="s">
        <v>13</v>
      </c>
      <c r="E290" s="109">
        <v>278</v>
      </c>
      <c r="F290" s="109">
        <v>139</v>
      </c>
      <c r="G290" s="110">
        <f t="shared" si="21"/>
        <v>0.5</v>
      </c>
      <c r="H290" s="107"/>
      <c r="I290" s="110">
        <v>0.4</v>
      </c>
      <c r="J290" s="109">
        <f t="shared" si="22"/>
        <v>166.79999999999998</v>
      </c>
      <c r="K290" s="110">
        <f t="shared" si="23"/>
        <v>0.16666666666666663</v>
      </c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 spans="1:26" ht="12.75" customHeight="1" x14ac:dyDescent="0.3">
      <c r="A291" s="107" t="s">
        <v>2027</v>
      </c>
      <c r="B291" s="107" t="s">
        <v>2576</v>
      </c>
      <c r="C291" s="107" t="s">
        <v>2577</v>
      </c>
      <c r="D291" s="108" t="s">
        <v>13</v>
      </c>
      <c r="E291" s="109">
        <v>5.7</v>
      </c>
      <c r="F291" s="109">
        <v>2.85</v>
      </c>
      <c r="G291" s="110">
        <f t="shared" si="21"/>
        <v>0.5</v>
      </c>
      <c r="H291" s="107"/>
      <c r="I291" s="110">
        <v>0.4</v>
      </c>
      <c r="J291" s="109">
        <f t="shared" si="22"/>
        <v>3.42</v>
      </c>
      <c r="K291" s="110">
        <f t="shared" si="23"/>
        <v>0.16666666666666663</v>
      </c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 spans="1:26" ht="12.75" customHeight="1" x14ac:dyDescent="0.3">
      <c r="A292" s="107" t="s">
        <v>2027</v>
      </c>
      <c r="B292" s="107" t="s">
        <v>2578</v>
      </c>
      <c r="C292" s="107" t="s">
        <v>2579</v>
      </c>
      <c r="D292" s="108" t="s">
        <v>13</v>
      </c>
      <c r="E292" s="109">
        <v>278</v>
      </c>
      <c r="F292" s="109">
        <v>139</v>
      </c>
      <c r="G292" s="110">
        <f t="shared" si="21"/>
        <v>0.5</v>
      </c>
      <c r="H292" s="107"/>
      <c r="I292" s="110">
        <v>0.4</v>
      </c>
      <c r="J292" s="109">
        <f t="shared" si="22"/>
        <v>166.79999999999998</v>
      </c>
      <c r="K292" s="110">
        <f t="shared" si="23"/>
        <v>0.16666666666666663</v>
      </c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 spans="1:26" ht="12.75" customHeight="1" x14ac:dyDescent="0.3">
      <c r="A293" s="107" t="s">
        <v>2027</v>
      </c>
      <c r="B293" s="107" t="s">
        <v>2580</v>
      </c>
      <c r="C293" s="107" t="s">
        <v>2581</v>
      </c>
      <c r="D293" s="108" t="s">
        <v>13</v>
      </c>
      <c r="E293" s="109">
        <v>420</v>
      </c>
      <c r="F293" s="109">
        <v>210</v>
      </c>
      <c r="G293" s="110">
        <f t="shared" si="21"/>
        <v>0.5</v>
      </c>
      <c r="H293" s="107"/>
      <c r="I293" s="110">
        <v>0.4</v>
      </c>
      <c r="J293" s="109">
        <f t="shared" si="22"/>
        <v>252</v>
      </c>
      <c r="K293" s="110">
        <f t="shared" si="23"/>
        <v>0.16666666666666663</v>
      </c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 spans="1:26" ht="12.75" customHeight="1" x14ac:dyDescent="0.3">
      <c r="A294" s="107" t="s">
        <v>2027</v>
      </c>
      <c r="B294" s="107" t="s">
        <v>2582</v>
      </c>
      <c r="C294" s="107" t="s">
        <v>2583</v>
      </c>
      <c r="D294" s="108" t="s">
        <v>13</v>
      </c>
      <c r="E294" s="109">
        <v>200</v>
      </c>
      <c r="F294" s="109">
        <v>100</v>
      </c>
      <c r="G294" s="110">
        <f t="shared" si="21"/>
        <v>0.5</v>
      </c>
      <c r="H294" s="107"/>
      <c r="I294" s="110">
        <v>0.4</v>
      </c>
      <c r="J294" s="109">
        <f t="shared" si="22"/>
        <v>120</v>
      </c>
      <c r="K294" s="110">
        <f t="shared" si="23"/>
        <v>0.16666666666666663</v>
      </c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 spans="1:26" ht="12.75" customHeight="1" x14ac:dyDescent="0.3">
      <c r="A295" s="107" t="s">
        <v>2027</v>
      </c>
      <c r="B295" s="107" t="s">
        <v>2584</v>
      </c>
      <c r="C295" s="107" t="s">
        <v>2585</v>
      </c>
      <c r="D295" s="108" t="s">
        <v>13</v>
      </c>
      <c r="E295" s="109">
        <v>390</v>
      </c>
      <c r="F295" s="109">
        <v>195</v>
      </c>
      <c r="G295" s="110">
        <f t="shared" si="21"/>
        <v>0.5</v>
      </c>
      <c r="H295" s="107"/>
      <c r="I295" s="110">
        <v>0.4</v>
      </c>
      <c r="J295" s="109">
        <f t="shared" si="22"/>
        <v>234</v>
      </c>
      <c r="K295" s="110">
        <f t="shared" si="23"/>
        <v>0.16666666666666663</v>
      </c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 spans="1:26" ht="12.75" customHeight="1" x14ac:dyDescent="0.3">
      <c r="A296" s="107" t="s">
        <v>2027</v>
      </c>
      <c r="B296" s="107" t="s">
        <v>2586</v>
      </c>
      <c r="C296" s="107" t="s">
        <v>2587</v>
      </c>
      <c r="D296" s="108" t="s">
        <v>13</v>
      </c>
      <c r="E296" s="109">
        <v>206</v>
      </c>
      <c r="F296" s="109">
        <v>103</v>
      </c>
      <c r="G296" s="110">
        <f t="shared" si="21"/>
        <v>0.5</v>
      </c>
      <c r="H296" s="107"/>
      <c r="I296" s="110">
        <v>0.4</v>
      </c>
      <c r="J296" s="109">
        <f t="shared" si="22"/>
        <v>123.6</v>
      </c>
      <c r="K296" s="110">
        <f t="shared" si="23"/>
        <v>0.16666666666666663</v>
      </c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 spans="1:26" ht="12.75" customHeight="1" x14ac:dyDescent="0.3">
      <c r="A297" s="107" t="s">
        <v>2027</v>
      </c>
      <c r="B297" s="107" t="s">
        <v>2588</v>
      </c>
      <c r="C297" s="107" t="s">
        <v>2589</v>
      </c>
      <c r="D297" s="108" t="s">
        <v>13</v>
      </c>
      <c r="E297" s="109">
        <v>242</v>
      </c>
      <c r="F297" s="109">
        <v>121</v>
      </c>
      <c r="G297" s="110">
        <f t="shared" si="21"/>
        <v>0.5</v>
      </c>
      <c r="H297" s="107"/>
      <c r="I297" s="110">
        <v>0.4</v>
      </c>
      <c r="J297" s="109">
        <f t="shared" si="22"/>
        <v>145.19999999999999</v>
      </c>
      <c r="K297" s="110">
        <f t="shared" si="23"/>
        <v>0.16666666666666663</v>
      </c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 spans="1:26" ht="12.75" customHeight="1" x14ac:dyDescent="0.3">
      <c r="A298" s="107" t="s">
        <v>2027</v>
      </c>
      <c r="B298" s="107" t="s">
        <v>2590</v>
      </c>
      <c r="C298" s="107" t="s">
        <v>2591</v>
      </c>
      <c r="D298" s="108" t="s">
        <v>13</v>
      </c>
      <c r="E298" s="109">
        <v>608</v>
      </c>
      <c r="F298" s="109">
        <v>304</v>
      </c>
      <c r="G298" s="110">
        <f t="shared" si="21"/>
        <v>0.5</v>
      </c>
      <c r="H298" s="107"/>
      <c r="I298" s="110">
        <v>0.4</v>
      </c>
      <c r="J298" s="109">
        <f t="shared" si="22"/>
        <v>364.8</v>
      </c>
      <c r="K298" s="110">
        <f t="shared" si="23"/>
        <v>0.16666666666666674</v>
      </c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 spans="1:26" ht="12.75" customHeight="1" x14ac:dyDescent="0.3">
      <c r="A299" s="107" t="s">
        <v>2027</v>
      </c>
      <c r="B299" s="107" t="s">
        <v>2592</v>
      </c>
      <c r="C299" s="107" t="s">
        <v>2593</v>
      </c>
      <c r="D299" s="108" t="s">
        <v>13</v>
      </c>
      <c r="E299" s="109">
        <v>318</v>
      </c>
      <c r="F299" s="109">
        <v>159</v>
      </c>
      <c r="G299" s="110">
        <f t="shared" si="21"/>
        <v>0.5</v>
      </c>
      <c r="H299" s="107"/>
      <c r="I299" s="110">
        <v>0.4</v>
      </c>
      <c r="J299" s="109">
        <f t="shared" si="22"/>
        <v>190.79999999999998</v>
      </c>
      <c r="K299" s="110">
        <f t="shared" si="23"/>
        <v>0.16666666666666663</v>
      </c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 spans="1:26" ht="12.75" customHeight="1" x14ac:dyDescent="0.3">
      <c r="A300" s="107" t="s">
        <v>2027</v>
      </c>
      <c r="B300" s="107" t="s">
        <v>2594</v>
      </c>
      <c r="C300" s="107" t="s">
        <v>2595</v>
      </c>
      <c r="D300" s="108" t="s">
        <v>13</v>
      </c>
      <c r="E300" s="109">
        <v>132</v>
      </c>
      <c r="F300" s="109">
        <v>66</v>
      </c>
      <c r="G300" s="110">
        <f t="shared" si="21"/>
        <v>0.5</v>
      </c>
      <c r="H300" s="107"/>
      <c r="I300" s="110">
        <v>0.4</v>
      </c>
      <c r="J300" s="109">
        <f t="shared" si="22"/>
        <v>79.2</v>
      </c>
      <c r="K300" s="110">
        <f t="shared" si="23"/>
        <v>0.16666666666666674</v>
      </c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 spans="1:26" ht="12.75" customHeight="1" x14ac:dyDescent="0.3">
      <c r="A301" s="107" t="s">
        <v>2027</v>
      </c>
      <c r="B301" s="107" t="s">
        <v>2596</v>
      </c>
      <c r="C301" s="107" t="s">
        <v>2597</v>
      </c>
      <c r="D301" s="108" t="s">
        <v>13</v>
      </c>
      <c r="E301" s="109">
        <v>450</v>
      </c>
      <c r="F301" s="109">
        <v>225</v>
      </c>
      <c r="G301" s="110">
        <f t="shared" si="21"/>
        <v>0.5</v>
      </c>
      <c r="H301" s="107"/>
      <c r="I301" s="110">
        <v>0.4</v>
      </c>
      <c r="J301" s="109">
        <f t="shared" si="22"/>
        <v>270</v>
      </c>
      <c r="K301" s="110">
        <f t="shared" si="23"/>
        <v>0.16666666666666663</v>
      </c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 spans="1:26" ht="12.75" customHeight="1" x14ac:dyDescent="0.3">
      <c r="A302" s="107" t="s">
        <v>2027</v>
      </c>
      <c r="B302" s="107" t="s">
        <v>2598</v>
      </c>
      <c r="C302" s="107" t="s">
        <v>2599</v>
      </c>
      <c r="D302" s="108" t="s">
        <v>13</v>
      </c>
      <c r="E302" s="109">
        <v>752</v>
      </c>
      <c r="F302" s="109">
        <v>376</v>
      </c>
      <c r="G302" s="110">
        <f t="shared" si="21"/>
        <v>0.5</v>
      </c>
      <c r="H302" s="107"/>
      <c r="I302" s="110">
        <v>0.4</v>
      </c>
      <c r="J302" s="109">
        <f t="shared" si="22"/>
        <v>451.2</v>
      </c>
      <c r="K302" s="110">
        <f t="shared" si="23"/>
        <v>0.16666666666666663</v>
      </c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 spans="1:26" ht="12.75" customHeight="1" x14ac:dyDescent="0.3">
      <c r="A303" s="107" t="s">
        <v>2027</v>
      </c>
      <c r="B303" s="107" t="s">
        <v>2600</v>
      </c>
      <c r="C303" s="107" t="s">
        <v>2597</v>
      </c>
      <c r="D303" s="108" t="s">
        <v>13</v>
      </c>
      <c r="E303" s="109">
        <v>1028</v>
      </c>
      <c r="F303" s="109">
        <v>514</v>
      </c>
      <c r="G303" s="110">
        <f t="shared" si="21"/>
        <v>0.5</v>
      </c>
      <c r="H303" s="107"/>
      <c r="I303" s="110">
        <v>0.4</v>
      </c>
      <c r="J303" s="109">
        <f t="shared" si="22"/>
        <v>616.79999999999995</v>
      </c>
      <c r="K303" s="110">
        <f t="shared" si="23"/>
        <v>0.16666666666666663</v>
      </c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 spans="1:26" ht="12.75" customHeight="1" x14ac:dyDescent="0.3">
      <c r="A304" s="107" t="s">
        <v>2027</v>
      </c>
      <c r="B304" s="107" t="s">
        <v>2601</v>
      </c>
      <c r="C304" s="107" t="s">
        <v>2602</v>
      </c>
      <c r="D304" s="108" t="s">
        <v>13</v>
      </c>
      <c r="E304" s="109">
        <v>72</v>
      </c>
      <c r="F304" s="109">
        <v>36</v>
      </c>
      <c r="G304" s="110">
        <f t="shared" si="21"/>
        <v>0.5</v>
      </c>
      <c r="H304" s="107"/>
      <c r="I304" s="110">
        <v>0.4</v>
      </c>
      <c r="J304" s="109">
        <f t="shared" si="22"/>
        <v>43.199999999999996</v>
      </c>
      <c r="K304" s="110">
        <f t="shared" si="23"/>
        <v>0.16666666666666663</v>
      </c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 spans="1:26" ht="12.75" customHeight="1" x14ac:dyDescent="0.3">
      <c r="A305" s="107" t="s">
        <v>2027</v>
      </c>
      <c r="B305" s="107" t="s">
        <v>2603</v>
      </c>
      <c r="C305" s="107" t="s">
        <v>2604</v>
      </c>
      <c r="D305" s="108" t="s">
        <v>13</v>
      </c>
      <c r="E305" s="109">
        <v>94</v>
      </c>
      <c r="F305" s="109">
        <v>47</v>
      </c>
      <c r="G305" s="110">
        <f t="shared" si="21"/>
        <v>0.5</v>
      </c>
      <c r="H305" s="107"/>
      <c r="I305" s="110">
        <v>0.4</v>
      </c>
      <c r="J305" s="109">
        <f t="shared" si="22"/>
        <v>56.4</v>
      </c>
      <c r="K305" s="110">
        <f t="shared" si="23"/>
        <v>0.16666666666666663</v>
      </c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 spans="1:26" ht="12.75" customHeight="1" x14ac:dyDescent="0.3">
      <c r="A306" s="107" t="s">
        <v>2027</v>
      </c>
      <c r="B306" s="107" t="s">
        <v>2605</v>
      </c>
      <c r="C306" s="107" t="s">
        <v>2606</v>
      </c>
      <c r="D306" s="108" t="s">
        <v>13</v>
      </c>
      <c r="E306" s="109">
        <v>102</v>
      </c>
      <c r="F306" s="109">
        <v>51</v>
      </c>
      <c r="G306" s="110">
        <f t="shared" si="21"/>
        <v>0.5</v>
      </c>
      <c r="H306" s="107"/>
      <c r="I306" s="110">
        <v>0.4</v>
      </c>
      <c r="J306" s="109">
        <f t="shared" si="22"/>
        <v>61.199999999999996</v>
      </c>
      <c r="K306" s="110">
        <f t="shared" si="23"/>
        <v>0.16666666666666663</v>
      </c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 spans="1:26" ht="12.75" customHeight="1" x14ac:dyDescent="0.3">
      <c r="A307" s="107" t="s">
        <v>2027</v>
      </c>
      <c r="B307" s="107" t="s">
        <v>2607</v>
      </c>
      <c r="C307" s="107" t="s">
        <v>2608</v>
      </c>
      <c r="D307" s="108" t="s">
        <v>13</v>
      </c>
      <c r="E307" s="109">
        <v>590</v>
      </c>
      <c r="F307" s="109">
        <v>295</v>
      </c>
      <c r="G307" s="110">
        <f t="shared" si="21"/>
        <v>0.5</v>
      </c>
      <c r="H307" s="107"/>
      <c r="I307" s="110">
        <v>0.4</v>
      </c>
      <c r="J307" s="109">
        <f t="shared" si="22"/>
        <v>354</v>
      </c>
      <c r="K307" s="110">
        <f t="shared" si="23"/>
        <v>0.16666666666666663</v>
      </c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 spans="1:26" ht="12.75" customHeight="1" x14ac:dyDescent="0.3">
      <c r="A308" s="107" t="s">
        <v>2027</v>
      </c>
      <c r="B308" s="107" t="s">
        <v>2609</v>
      </c>
      <c r="C308" s="107" t="s">
        <v>2610</v>
      </c>
      <c r="D308" s="108" t="s">
        <v>13</v>
      </c>
      <c r="E308" s="109">
        <v>1990</v>
      </c>
      <c r="F308" s="109">
        <v>995</v>
      </c>
      <c r="G308" s="110">
        <f t="shared" si="21"/>
        <v>0.5</v>
      </c>
      <c r="H308" s="107"/>
      <c r="I308" s="110">
        <v>0.4</v>
      </c>
      <c r="J308" s="109">
        <f t="shared" si="22"/>
        <v>1194</v>
      </c>
      <c r="K308" s="110">
        <f t="shared" si="23"/>
        <v>0.16666666666666663</v>
      </c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 spans="1:26" ht="12.75" customHeight="1" x14ac:dyDescent="0.3">
      <c r="A309" s="107" t="s">
        <v>2027</v>
      </c>
      <c r="B309" s="107" t="s">
        <v>2611</v>
      </c>
      <c r="C309" s="107" t="s">
        <v>2612</v>
      </c>
      <c r="D309" s="108" t="s">
        <v>13</v>
      </c>
      <c r="E309" s="109">
        <v>30</v>
      </c>
      <c r="F309" s="109">
        <v>15</v>
      </c>
      <c r="G309" s="110">
        <f t="shared" si="21"/>
        <v>0.5</v>
      </c>
      <c r="H309" s="107"/>
      <c r="I309" s="110">
        <v>0.4</v>
      </c>
      <c r="J309" s="109">
        <f t="shared" si="22"/>
        <v>18</v>
      </c>
      <c r="K309" s="110">
        <f t="shared" si="23"/>
        <v>0.16666666666666663</v>
      </c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 spans="1:26" ht="12.75" customHeight="1" x14ac:dyDescent="0.3">
      <c r="A310" s="107" t="s">
        <v>2027</v>
      </c>
      <c r="B310" s="107" t="s">
        <v>2613</v>
      </c>
      <c r="C310" s="107" t="s">
        <v>2614</v>
      </c>
      <c r="D310" s="108" t="s">
        <v>13</v>
      </c>
      <c r="E310" s="109">
        <v>328</v>
      </c>
      <c r="F310" s="109">
        <v>164</v>
      </c>
      <c r="G310" s="110">
        <f t="shared" si="21"/>
        <v>0.5</v>
      </c>
      <c r="H310" s="107"/>
      <c r="I310" s="110">
        <v>0.4</v>
      </c>
      <c r="J310" s="109">
        <f t="shared" si="22"/>
        <v>196.79999999999998</v>
      </c>
      <c r="K310" s="110">
        <f t="shared" si="23"/>
        <v>0.16666666666666663</v>
      </c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 spans="1:26" ht="12.75" customHeight="1" x14ac:dyDescent="0.3">
      <c r="A311" s="107" t="s">
        <v>2027</v>
      </c>
      <c r="B311" s="107" t="s">
        <v>2615</v>
      </c>
      <c r="C311" s="107" t="s">
        <v>2616</v>
      </c>
      <c r="D311" s="108" t="s">
        <v>13</v>
      </c>
      <c r="E311" s="109">
        <v>78</v>
      </c>
      <c r="F311" s="109">
        <v>39</v>
      </c>
      <c r="G311" s="110">
        <f t="shared" si="21"/>
        <v>0.5</v>
      </c>
      <c r="H311" s="107"/>
      <c r="I311" s="110">
        <v>0.4</v>
      </c>
      <c r="J311" s="109">
        <f t="shared" si="22"/>
        <v>46.8</v>
      </c>
      <c r="K311" s="110">
        <f t="shared" si="23"/>
        <v>0.16666666666666663</v>
      </c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 spans="1:26" ht="12.75" customHeight="1" x14ac:dyDescent="0.3">
      <c r="A312" s="107" t="s">
        <v>2027</v>
      </c>
      <c r="B312" s="107" t="s">
        <v>2617</v>
      </c>
      <c r="C312" s="107" t="s">
        <v>2618</v>
      </c>
      <c r="D312" s="108" t="s">
        <v>13</v>
      </c>
      <c r="E312" s="109">
        <v>78</v>
      </c>
      <c r="F312" s="109">
        <v>39</v>
      </c>
      <c r="G312" s="110">
        <f t="shared" si="21"/>
        <v>0.5</v>
      </c>
      <c r="H312" s="107"/>
      <c r="I312" s="110">
        <v>0.4</v>
      </c>
      <c r="J312" s="109">
        <f t="shared" si="22"/>
        <v>46.8</v>
      </c>
      <c r="K312" s="110">
        <f t="shared" si="23"/>
        <v>0.16666666666666663</v>
      </c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 spans="1:26" ht="12.75" customHeight="1" x14ac:dyDescent="0.3">
      <c r="A313" s="107" t="s">
        <v>2027</v>
      </c>
      <c r="B313" s="107" t="s">
        <v>2619</v>
      </c>
      <c r="C313" s="107" t="s">
        <v>2620</v>
      </c>
      <c r="D313" s="108" t="s">
        <v>13</v>
      </c>
      <c r="E313" s="109">
        <v>778</v>
      </c>
      <c r="F313" s="109">
        <v>389</v>
      </c>
      <c r="G313" s="110">
        <f t="shared" si="21"/>
        <v>0.5</v>
      </c>
      <c r="H313" s="107"/>
      <c r="I313" s="110">
        <v>0.4</v>
      </c>
      <c r="J313" s="109">
        <f t="shared" si="22"/>
        <v>466.79999999999995</v>
      </c>
      <c r="K313" s="110">
        <f t="shared" si="23"/>
        <v>0.16666666666666663</v>
      </c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 spans="1:26" ht="12.75" customHeight="1" x14ac:dyDescent="0.3">
      <c r="A314" s="107" t="s">
        <v>2027</v>
      </c>
      <c r="B314" s="107" t="s">
        <v>2621</v>
      </c>
      <c r="C314" s="107" t="s">
        <v>2622</v>
      </c>
      <c r="D314" s="108" t="s">
        <v>13</v>
      </c>
      <c r="E314" s="109">
        <v>62</v>
      </c>
      <c r="F314" s="109">
        <v>31</v>
      </c>
      <c r="G314" s="110">
        <f t="shared" si="21"/>
        <v>0.5</v>
      </c>
      <c r="H314" s="107"/>
      <c r="I314" s="110">
        <v>0.4</v>
      </c>
      <c r="J314" s="109">
        <f t="shared" si="22"/>
        <v>37.199999999999996</v>
      </c>
      <c r="K314" s="110">
        <f t="shared" si="23"/>
        <v>0.16666666666666652</v>
      </c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 spans="1:26" ht="12.75" customHeight="1" x14ac:dyDescent="0.3">
      <c r="A315" s="107" t="s">
        <v>2027</v>
      </c>
      <c r="B315" s="107" t="s">
        <v>2623</v>
      </c>
      <c r="C315" s="107" t="s">
        <v>2624</v>
      </c>
      <c r="D315" s="108" t="s">
        <v>13</v>
      </c>
      <c r="E315" s="109">
        <v>298</v>
      </c>
      <c r="F315" s="109">
        <v>149</v>
      </c>
      <c r="G315" s="110">
        <f t="shared" si="21"/>
        <v>0.5</v>
      </c>
      <c r="H315" s="107"/>
      <c r="I315" s="110">
        <v>0.4</v>
      </c>
      <c r="J315" s="109">
        <f t="shared" si="22"/>
        <v>178.79999999999998</v>
      </c>
      <c r="K315" s="110">
        <f t="shared" si="23"/>
        <v>0.16666666666666663</v>
      </c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 spans="1:26" ht="12.75" customHeight="1" x14ac:dyDescent="0.3">
      <c r="A316" s="107" t="s">
        <v>2027</v>
      </c>
      <c r="B316" s="107" t="s">
        <v>2625</v>
      </c>
      <c r="C316" s="107" t="s">
        <v>2626</v>
      </c>
      <c r="D316" s="108" t="s">
        <v>13</v>
      </c>
      <c r="E316" s="109">
        <v>258</v>
      </c>
      <c r="F316" s="109">
        <v>129</v>
      </c>
      <c r="G316" s="110">
        <f t="shared" si="21"/>
        <v>0.5</v>
      </c>
      <c r="H316" s="107"/>
      <c r="I316" s="110">
        <v>0.4</v>
      </c>
      <c r="J316" s="109">
        <f t="shared" si="22"/>
        <v>154.79999999999998</v>
      </c>
      <c r="K316" s="110">
        <f t="shared" si="23"/>
        <v>0.16666666666666663</v>
      </c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 spans="1:26" ht="12.75" customHeight="1" x14ac:dyDescent="0.3">
      <c r="A317" s="107" t="s">
        <v>2027</v>
      </c>
      <c r="B317" s="107" t="s">
        <v>2627</v>
      </c>
      <c r="C317" s="107" t="s">
        <v>2628</v>
      </c>
      <c r="D317" s="108" t="s">
        <v>13</v>
      </c>
      <c r="E317" s="109">
        <v>190</v>
      </c>
      <c r="F317" s="109">
        <v>95</v>
      </c>
      <c r="G317" s="110">
        <f t="shared" si="21"/>
        <v>0.5</v>
      </c>
      <c r="H317" s="107"/>
      <c r="I317" s="110">
        <v>0.4</v>
      </c>
      <c r="J317" s="109">
        <f t="shared" si="22"/>
        <v>114</v>
      </c>
      <c r="K317" s="110">
        <f t="shared" si="23"/>
        <v>0.16666666666666663</v>
      </c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 spans="1:26" ht="12.75" customHeight="1" x14ac:dyDescent="0.3">
      <c r="A318" s="107" t="s">
        <v>2027</v>
      </c>
      <c r="B318" s="107" t="s">
        <v>2629</v>
      </c>
      <c r="C318" s="107" t="s">
        <v>2630</v>
      </c>
      <c r="D318" s="108" t="s">
        <v>13</v>
      </c>
      <c r="E318" s="109">
        <v>196</v>
      </c>
      <c r="F318" s="109">
        <v>98</v>
      </c>
      <c r="G318" s="110">
        <f t="shared" si="21"/>
        <v>0.5</v>
      </c>
      <c r="H318" s="107"/>
      <c r="I318" s="110">
        <v>0.4</v>
      </c>
      <c r="J318" s="109">
        <f t="shared" si="22"/>
        <v>117.6</v>
      </c>
      <c r="K318" s="110">
        <f t="shared" si="23"/>
        <v>0.16666666666666663</v>
      </c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 spans="1:26" ht="12.75" customHeight="1" x14ac:dyDescent="0.3">
      <c r="A319" s="107" t="s">
        <v>2027</v>
      </c>
      <c r="B319" s="107" t="s">
        <v>2631</v>
      </c>
      <c r="C319" s="107" t="s">
        <v>2632</v>
      </c>
      <c r="D319" s="108" t="s">
        <v>13</v>
      </c>
      <c r="E319" s="109">
        <v>128</v>
      </c>
      <c r="F319" s="109">
        <v>64</v>
      </c>
      <c r="G319" s="110">
        <f t="shared" si="21"/>
        <v>0.5</v>
      </c>
      <c r="H319" s="107"/>
      <c r="I319" s="110">
        <v>0.4</v>
      </c>
      <c r="J319" s="109">
        <f t="shared" si="22"/>
        <v>76.8</v>
      </c>
      <c r="K319" s="110">
        <f t="shared" si="23"/>
        <v>0.16666666666666663</v>
      </c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 spans="1:26" ht="12.75" customHeight="1" x14ac:dyDescent="0.3">
      <c r="A320" s="107" t="s">
        <v>2027</v>
      </c>
      <c r="B320" s="107" t="s">
        <v>2633</v>
      </c>
      <c r="C320" s="107" t="s">
        <v>2634</v>
      </c>
      <c r="D320" s="108" t="s">
        <v>13</v>
      </c>
      <c r="E320" s="109">
        <v>318</v>
      </c>
      <c r="F320" s="109">
        <v>159</v>
      </c>
      <c r="G320" s="110">
        <f t="shared" si="21"/>
        <v>0.5</v>
      </c>
      <c r="H320" s="107"/>
      <c r="I320" s="110">
        <v>0.4</v>
      </c>
      <c r="J320" s="109">
        <f t="shared" si="22"/>
        <v>190.79999999999998</v>
      </c>
      <c r="K320" s="110">
        <f t="shared" si="23"/>
        <v>0.16666666666666663</v>
      </c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 spans="1:26" ht="12.75" customHeight="1" x14ac:dyDescent="0.3">
      <c r="A321" s="107" t="s">
        <v>2027</v>
      </c>
      <c r="B321" s="107" t="s">
        <v>2635</v>
      </c>
      <c r="C321" s="107" t="s">
        <v>2636</v>
      </c>
      <c r="D321" s="108" t="s">
        <v>13</v>
      </c>
      <c r="E321" s="109">
        <v>104</v>
      </c>
      <c r="F321" s="109">
        <v>52</v>
      </c>
      <c r="G321" s="110">
        <f t="shared" si="21"/>
        <v>0.5</v>
      </c>
      <c r="H321" s="107"/>
      <c r="I321" s="110">
        <v>0.4</v>
      </c>
      <c r="J321" s="109">
        <f t="shared" si="22"/>
        <v>62.4</v>
      </c>
      <c r="K321" s="110">
        <f t="shared" si="23"/>
        <v>0.16666666666666663</v>
      </c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 spans="1:26" ht="12.75" customHeight="1" x14ac:dyDescent="0.3">
      <c r="A322" s="107" t="s">
        <v>2027</v>
      </c>
      <c r="B322" s="107" t="s">
        <v>2637</v>
      </c>
      <c r="C322" s="107" t="s">
        <v>2638</v>
      </c>
      <c r="D322" s="108" t="s">
        <v>13</v>
      </c>
      <c r="E322" s="109">
        <v>40</v>
      </c>
      <c r="F322" s="109">
        <v>20</v>
      </c>
      <c r="G322" s="110">
        <f t="shared" si="21"/>
        <v>0.5</v>
      </c>
      <c r="H322" s="107"/>
      <c r="I322" s="110">
        <v>0.4</v>
      </c>
      <c r="J322" s="109">
        <f t="shared" si="22"/>
        <v>24</v>
      </c>
      <c r="K322" s="110">
        <f t="shared" si="23"/>
        <v>0.16666666666666663</v>
      </c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 spans="1:26" ht="12.75" customHeight="1" x14ac:dyDescent="0.3">
      <c r="A323" s="107" t="s">
        <v>2027</v>
      </c>
      <c r="B323" s="107" t="s">
        <v>2639</v>
      </c>
      <c r="C323" s="107" t="s">
        <v>2640</v>
      </c>
      <c r="D323" s="108" t="s">
        <v>13</v>
      </c>
      <c r="E323" s="109">
        <v>130</v>
      </c>
      <c r="F323" s="109">
        <v>65</v>
      </c>
      <c r="G323" s="110">
        <f t="shared" si="21"/>
        <v>0.5</v>
      </c>
      <c r="H323" s="107"/>
      <c r="I323" s="110">
        <v>0.4</v>
      </c>
      <c r="J323" s="109">
        <f t="shared" si="22"/>
        <v>78</v>
      </c>
      <c r="K323" s="110">
        <f t="shared" si="23"/>
        <v>0.16666666666666663</v>
      </c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 spans="1:26" ht="12.75" customHeight="1" x14ac:dyDescent="0.3">
      <c r="A324" s="107" t="s">
        <v>2027</v>
      </c>
      <c r="B324" s="107" t="s">
        <v>2641</v>
      </c>
      <c r="C324" s="107" t="s">
        <v>2642</v>
      </c>
      <c r="D324" s="108" t="s">
        <v>13</v>
      </c>
      <c r="E324" s="109">
        <v>40</v>
      </c>
      <c r="F324" s="109">
        <v>20</v>
      </c>
      <c r="G324" s="110">
        <f t="shared" si="21"/>
        <v>0.5</v>
      </c>
      <c r="H324" s="107"/>
      <c r="I324" s="110">
        <v>0.4</v>
      </c>
      <c r="J324" s="109">
        <f t="shared" si="22"/>
        <v>24</v>
      </c>
      <c r="K324" s="110">
        <f t="shared" si="23"/>
        <v>0.16666666666666663</v>
      </c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 spans="1:26" ht="12.75" customHeight="1" x14ac:dyDescent="0.3">
      <c r="A325" s="107" t="s">
        <v>2027</v>
      </c>
      <c r="B325" s="107" t="s">
        <v>2641</v>
      </c>
      <c r="C325" s="107" t="s">
        <v>2643</v>
      </c>
      <c r="D325" s="108" t="s">
        <v>13</v>
      </c>
      <c r="E325" s="109">
        <v>590</v>
      </c>
      <c r="F325" s="109">
        <v>295</v>
      </c>
      <c r="G325" s="110">
        <f t="shared" si="21"/>
        <v>0.5</v>
      </c>
      <c r="H325" s="107"/>
      <c r="I325" s="110">
        <v>0.4</v>
      </c>
      <c r="J325" s="109">
        <f t="shared" si="22"/>
        <v>354</v>
      </c>
      <c r="K325" s="110">
        <f t="shared" si="23"/>
        <v>0.16666666666666663</v>
      </c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 spans="1:26" ht="12.75" customHeight="1" x14ac:dyDescent="0.3">
      <c r="A326" s="107" t="s">
        <v>2027</v>
      </c>
      <c r="B326" s="107" t="s">
        <v>2644</v>
      </c>
      <c r="C326" s="107" t="s">
        <v>2645</v>
      </c>
      <c r="D326" s="108" t="s">
        <v>13</v>
      </c>
      <c r="E326" s="109">
        <v>530</v>
      </c>
      <c r="F326" s="109">
        <v>265</v>
      </c>
      <c r="G326" s="110">
        <f t="shared" si="21"/>
        <v>0.5</v>
      </c>
      <c r="H326" s="107"/>
      <c r="I326" s="110">
        <v>0.4</v>
      </c>
      <c r="J326" s="109">
        <f t="shared" si="22"/>
        <v>318</v>
      </c>
      <c r="K326" s="110">
        <f t="shared" si="23"/>
        <v>0.16666666666666663</v>
      </c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 spans="1:26" ht="12.75" customHeight="1" x14ac:dyDescent="0.3">
      <c r="A327" s="107" t="s">
        <v>2027</v>
      </c>
      <c r="B327" s="107" t="s">
        <v>2646</v>
      </c>
      <c r="C327" s="107" t="s">
        <v>2647</v>
      </c>
      <c r="D327" s="108" t="s">
        <v>13</v>
      </c>
      <c r="E327" s="109">
        <v>28</v>
      </c>
      <c r="F327" s="109">
        <v>15</v>
      </c>
      <c r="G327" s="110">
        <f t="shared" si="21"/>
        <v>0.4642857142857143</v>
      </c>
      <c r="H327" s="107"/>
      <c r="I327" s="110">
        <v>0.4</v>
      </c>
      <c r="J327" s="109">
        <f t="shared" si="22"/>
        <v>16.8</v>
      </c>
      <c r="K327" s="110">
        <f t="shared" si="23"/>
        <v>0.10714285714285721</v>
      </c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 spans="1:26" ht="12.75" customHeight="1" x14ac:dyDescent="0.3">
      <c r="A328" s="107" t="s">
        <v>2027</v>
      </c>
      <c r="B328" s="107" t="s">
        <v>2648</v>
      </c>
      <c r="C328" s="107" t="s">
        <v>2649</v>
      </c>
      <c r="D328" s="108" t="s">
        <v>13</v>
      </c>
      <c r="E328" s="109">
        <v>300</v>
      </c>
      <c r="F328" s="109">
        <v>150</v>
      </c>
      <c r="G328" s="110">
        <f t="shared" si="21"/>
        <v>0.5</v>
      </c>
      <c r="H328" s="107"/>
      <c r="I328" s="110">
        <v>0.4</v>
      </c>
      <c r="J328" s="109">
        <f t="shared" si="22"/>
        <v>180</v>
      </c>
      <c r="K328" s="110">
        <f t="shared" si="23"/>
        <v>0.16666666666666663</v>
      </c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 spans="1:26" ht="12.75" customHeight="1" x14ac:dyDescent="0.3">
      <c r="A329" s="107" t="s">
        <v>2027</v>
      </c>
      <c r="B329" s="107" t="s">
        <v>2650</v>
      </c>
      <c r="C329" s="107" t="s">
        <v>2651</v>
      </c>
      <c r="D329" s="108" t="s">
        <v>13</v>
      </c>
      <c r="E329" s="109">
        <v>170</v>
      </c>
      <c r="F329" s="109">
        <v>85</v>
      </c>
      <c r="G329" s="110">
        <f t="shared" si="21"/>
        <v>0.5</v>
      </c>
      <c r="H329" s="107"/>
      <c r="I329" s="110">
        <v>0.4</v>
      </c>
      <c r="J329" s="109">
        <f t="shared" si="22"/>
        <v>102</v>
      </c>
      <c r="K329" s="110">
        <f t="shared" si="23"/>
        <v>0.16666666666666663</v>
      </c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 spans="1:26" ht="12.75" customHeight="1" x14ac:dyDescent="0.3">
      <c r="A330" s="107" t="s">
        <v>2027</v>
      </c>
      <c r="B330" s="107" t="s">
        <v>2652</v>
      </c>
      <c r="C330" s="107" t="s">
        <v>2647</v>
      </c>
      <c r="D330" s="108" t="s">
        <v>13</v>
      </c>
      <c r="E330" s="109">
        <v>28</v>
      </c>
      <c r="F330" s="109">
        <v>14</v>
      </c>
      <c r="G330" s="110">
        <f t="shared" si="21"/>
        <v>0.5</v>
      </c>
      <c r="H330" s="107"/>
      <c r="I330" s="110">
        <v>0.4</v>
      </c>
      <c r="J330" s="109">
        <f t="shared" si="22"/>
        <v>16.8</v>
      </c>
      <c r="K330" s="110">
        <f t="shared" si="23"/>
        <v>0.16666666666666674</v>
      </c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 spans="1:26" ht="12.75" customHeight="1" x14ac:dyDescent="0.3">
      <c r="A331" s="107" t="s">
        <v>2027</v>
      </c>
      <c r="B331" s="107" t="s">
        <v>2653</v>
      </c>
      <c r="C331" s="107" t="s">
        <v>2654</v>
      </c>
      <c r="D331" s="108" t="s">
        <v>13</v>
      </c>
      <c r="E331" s="109">
        <v>70</v>
      </c>
      <c r="F331" s="109">
        <v>35</v>
      </c>
      <c r="G331" s="110">
        <f t="shared" si="21"/>
        <v>0.5</v>
      </c>
      <c r="H331" s="107"/>
      <c r="I331" s="110">
        <v>0.4</v>
      </c>
      <c r="J331" s="109">
        <f t="shared" si="22"/>
        <v>42</v>
      </c>
      <c r="K331" s="110">
        <f t="shared" si="23"/>
        <v>0.16666666666666663</v>
      </c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 spans="1:26" ht="12.75" customHeight="1" x14ac:dyDescent="0.3">
      <c r="A332" s="107" t="s">
        <v>2027</v>
      </c>
      <c r="B332" s="107" t="s">
        <v>2655</v>
      </c>
      <c r="C332" s="107" t="s">
        <v>2656</v>
      </c>
      <c r="D332" s="108" t="s">
        <v>13</v>
      </c>
      <c r="E332" s="109">
        <v>70</v>
      </c>
      <c r="F332" s="109">
        <v>35</v>
      </c>
      <c r="G332" s="110">
        <f t="shared" si="21"/>
        <v>0.5</v>
      </c>
      <c r="H332" s="107"/>
      <c r="I332" s="110">
        <v>0.4</v>
      </c>
      <c r="J332" s="109">
        <f t="shared" si="22"/>
        <v>42</v>
      </c>
      <c r="K332" s="110">
        <f t="shared" si="23"/>
        <v>0.16666666666666663</v>
      </c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 spans="1:26" ht="12.75" customHeight="1" x14ac:dyDescent="0.3">
      <c r="A333" s="107" t="s">
        <v>2027</v>
      </c>
      <c r="B333" s="107" t="s">
        <v>2657</v>
      </c>
      <c r="C333" s="107" t="s">
        <v>2658</v>
      </c>
      <c r="D333" s="108" t="s">
        <v>13</v>
      </c>
      <c r="E333" s="109">
        <v>24</v>
      </c>
      <c r="F333" s="109">
        <v>12</v>
      </c>
      <c r="G333" s="110">
        <f t="shared" si="21"/>
        <v>0.5</v>
      </c>
      <c r="H333" s="107"/>
      <c r="I333" s="110">
        <v>0.4</v>
      </c>
      <c r="J333" s="109">
        <f t="shared" si="22"/>
        <v>14.399999999999999</v>
      </c>
      <c r="K333" s="110">
        <f t="shared" si="23"/>
        <v>0.16666666666666663</v>
      </c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 spans="1:26" ht="12.75" customHeight="1" x14ac:dyDescent="0.3">
      <c r="A334" s="107" t="s">
        <v>2027</v>
      </c>
      <c r="B334" s="107" t="s">
        <v>2659</v>
      </c>
      <c r="C334" s="107" t="s">
        <v>2660</v>
      </c>
      <c r="D334" s="108" t="s">
        <v>13</v>
      </c>
      <c r="E334" s="109">
        <v>24</v>
      </c>
      <c r="F334" s="109">
        <v>12</v>
      </c>
      <c r="G334" s="110">
        <f t="shared" si="21"/>
        <v>0.5</v>
      </c>
      <c r="H334" s="107"/>
      <c r="I334" s="110">
        <v>0.4</v>
      </c>
      <c r="J334" s="109">
        <f t="shared" si="22"/>
        <v>14.399999999999999</v>
      </c>
      <c r="K334" s="110">
        <f t="shared" si="23"/>
        <v>0.16666666666666663</v>
      </c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 spans="1:26" ht="12.75" customHeight="1" x14ac:dyDescent="0.3">
      <c r="A335" s="107" t="s">
        <v>2027</v>
      </c>
      <c r="B335" s="107" t="s">
        <v>2661</v>
      </c>
      <c r="C335" s="107" t="s">
        <v>2662</v>
      </c>
      <c r="D335" s="108" t="s">
        <v>13</v>
      </c>
      <c r="E335" s="109">
        <v>214</v>
      </c>
      <c r="F335" s="109">
        <v>107</v>
      </c>
      <c r="G335" s="110">
        <f t="shared" si="21"/>
        <v>0.5</v>
      </c>
      <c r="H335" s="107"/>
      <c r="I335" s="110">
        <v>0.4</v>
      </c>
      <c r="J335" s="109">
        <f t="shared" si="22"/>
        <v>128.4</v>
      </c>
      <c r="K335" s="110">
        <f t="shared" si="23"/>
        <v>0.16666666666666674</v>
      </c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 spans="1:26" ht="12.75" customHeight="1" x14ac:dyDescent="0.3">
      <c r="A336" s="107" t="s">
        <v>2027</v>
      </c>
      <c r="B336" s="107" t="s">
        <v>2663</v>
      </c>
      <c r="C336" s="107" t="s">
        <v>2664</v>
      </c>
      <c r="D336" s="108" t="s">
        <v>13</v>
      </c>
      <c r="E336" s="109">
        <v>72</v>
      </c>
      <c r="F336" s="109">
        <v>36</v>
      </c>
      <c r="G336" s="110">
        <f t="shared" si="21"/>
        <v>0.5</v>
      </c>
      <c r="H336" s="107"/>
      <c r="I336" s="110">
        <v>0.4</v>
      </c>
      <c r="J336" s="109">
        <f t="shared" si="22"/>
        <v>43.199999999999996</v>
      </c>
      <c r="K336" s="110">
        <f t="shared" si="23"/>
        <v>0.16666666666666663</v>
      </c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 spans="1:26" ht="12.75" customHeight="1" x14ac:dyDescent="0.3">
      <c r="A337" s="107" t="s">
        <v>2027</v>
      </c>
      <c r="B337" s="107" t="s">
        <v>2665</v>
      </c>
      <c r="C337" s="107" t="s">
        <v>2666</v>
      </c>
      <c r="D337" s="108" t="s">
        <v>13</v>
      </c>
      <c r="E337" s="109">
        <v>234</v>
      </c>
      <c r="F337" s="109">
        <v>117</v>
      </c>
      <c r="G337" s="110">
        <f t="shared" si="21"/>
        <v>0.5</v>
      </c>
      <c r="H337" s="107"/>
      <c r="I337" s="110">
        <v>0.4</v>
      </c>
      <c r="J337" s="109">
        <f t="shared" si="22"/>
        <v>140.4</v>
      </c>
      <c r="K337" s="110">
        <f t="shared" si="23"/>
        <v>0.16666666666666674</v>
      </c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 spans="1:26" ht="12.75" customHeight="1" x14ac:dyDescent="0.3">
      <c r="A338" s="107" t="s">
        <v>2027</v>
      </c>
      <c r="B338" s="107" t="s">
        <v>2667</v>
      </c>
      <c r="C338" s="107" t="s">
        <v>2668</v>
      </c>
      <c r="D338" s="108" t="s">
        <v>13</v>
      </c>
      <c r="E338" s="109">
        <v>492</v>
      </c>
      <c r="F338" s="109">
        <v>246</v>
      </c>
      <c r="G338" s="110">
        <f t="shared" si="21"/>
        <v>0.5</v>
      </c>
      <c r="H338" s="107"/>
      <c r="I338" s="110">
        <v>0.4</v>
      </c>
      <c r="J338" s="109">
        <f t="shared" si="22"/>
        <v>295.2</v>
      </c>
      <c r="K338" s="110">
        <f t="shared" si="23"/>
        <v>0.16666666666666663</v>
      </c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 spans="1:26" ht="12.75" customHeight="1" x14ac:dyDescent="0.3">
      <c r="A339" s="107" t="s">
        <v>2027</v>
      </c>
      <c r="B339" s="107" t="s">
        <v>2669</v>
      </c>
      <c r="C339" s="107" t="s">
        <v>2670</v>
      </c>
      <c r="D339" s="108" t="s">
        <v>13</v>
      </c>
      <c r="E339" s="109">
        <v>274</v>
      </c>
      <c r="F339" s="109">
        <v>137</v>
      </c>
      <c r="G339" s="110">
        <f t="shared" si="21"/>
        <v>0.5</v>
      </c>
      <c r="H339" s="107"/>
      <c r="I339" s="110">
        <v>0.4</v>
      </c>
      <c r="J339" s="109">
        <f t="shared" si="22"/>
        <v>164.4</v>
      </c>
      <c r="K339" s="110">
        <f t="shared" si="23"/>
        <v>0.16666666666666674</v>
      </c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 spans="1:26" ht="12.75" customHeight="1" x14ac:dyDescent="0.3">
      <c r="A340" s="107" t="s">
        <v>2027</v>
      </c>
      <c r="B340" s="107" t="s">
        <v>2671</v>
      </c>
      <c r="C340" s="107" t="s">
        <v>2672</v>
      </c>
      <c r="D340" s="108" t="s">
        <v>13</v>
      </c>
      <c r="E340" s="109">
        <v>320</v>
      </c>
      <c r="F340" s="109">
        <v>160</v>
      </c>
      <c r="G340" s="110">
        <f t="shared" si="21"/>
        <v>0.5</v>
      </c>
      <c r="H340" s="107"/>
      <c r="I340" s="110">
        <v>0.4</v>
      </c>
      <c r="J340" s="109">
        <f t="shared" si="22"/>
        <v>192</v>
      </c>
      <c r="K340" s="110">
        <f t="shared" si="23"/>
        <v>0.16666666666666663</v>
      </c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 spans="1:26" ht="12.75" customHeight="1" x14ac:dyDescent="0.3">
      <c r="A341" s="107" t="s">
        <v>2027</v>
      </c>
      <c r="B341" s="107" t="s">
        <v>2673</v>
      </c>
      <c r="C341" s="107" t="s">
        <v>2674</v>
      </c>
      <c r="D341" s="108" t="s">
        <v>13</v>
      </c>
      <c r="E341" s="109">
        <v>380</v>
      </c>
      <c r="F341" s="109">
        <v>190</v>
      </c>
      <c r="G341" s="110">
        <f t="shared" si="21"/>
        <v>0.5</v>
      </c>
      <c r="H341" s="107"/>
      <c r="I341" s="110">
        <v>0.4</v>
      </c>
      <c r="J341" s="109">
        <f t="shared" si="22"/>
        <v>228</v>
      </c>
      <c r="K341" s="110">
        <f t="shared" si="23"/>
        <v>0.16666666666666663</v>
      </c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 spans="1:26" ht="12.75" customHeight="1" x14ac:dyDescent="0.3">
      <c r="A342" s="107" t="s">
        <v>2027</v>
      </c>
      <c r="B342" s="107" t="s">
        <v>2675</v>
      </c>
      <c r="C342" s="107" t="s">
        <v>2676</v>
      </c>
      <c r="D342" s="108" t="s">
        <v>13</v>
      </c>
      <c r="E342" s="109">
        <v>300</v>
      </c>
      <c r="F342" s="109">
        <v>150</v>
      </c>
      <c r="G342" s="110">
        <f t="shared" si="21"/>
        <v>0.5</v>
      </c>
      <c r="H342" s="107"/>
      <c r="I342" s="110">
        <v>0.4</v>
      </c>
      <c r="J342" s="109">
        <f t="shared" si="22"/>
        <v>180</v>
      </c>
      <c r="K342" s="110">
        <f t="shared" si="23"/>
        <v>0.16666666666666663</v>
      </c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 spans="1:26" ht="12.75" customHeight="1" x14ac:dyDescent="0.3">
      <c r="A343" s="107" t="s">
        <v>2027</v>
      </c>
      <c r="B343" s="107" t="s">
        <v>2677</v>
      </c>
      <c r="C343" s="107" t="s">
        <v>2678</v>
      </c>
      <c r="D343" s="108" t="s">
        <v>13</v>
      </c>
      <c r="E343" s="109">
        <v>786</v>
      </c>
      <c r="F343" s="109">
        <v>393</v>
      </c>
      <c r="G343" s="110">
        <f t="shared" si="21"/>
        <v>0.5</v>
      </c>
      <c r="H343" s="107"/>
      <c r="I343" s="110">
        <v>0.4</v>
      </c>
      <c r="J343" s="109">
        <f t="shared" si="22"/>
        <v>471.59999999999997</v>
      </c>
      <c r="K343" s="110">
        <f t="shared" si="23"/>
        <v>0.16666666666666663</v>
      </c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 spans="1:26" ht="12.75" customHeight="1" x14ac:dyDescent="0.3">
      <c r="A344" s="107" t="s">
        <v>2027</v>
      </c>
      <c r="B344" s="107" t="s">
        <v>2679</v>
      </c>
      <c r="C344" s="107" t="s">
        <v>2680</v>
      </c>
      <c r="D344" s="108" t="s">
        <v>13</v>
      </c>
      <c r="E344" s="109">
        <v>160</v>
      </c>
      <c r="F344" s="109">
        <v>80</v>
      </c>
      <c r="G344" s="110">
        <f t="shared" si="21"/>
        <v>0.5</v>
      </c>
      <c r="H344" s="107"/>
      <c r="I344" s="110">
        <v>0.4</v>
      </c>
      <c r="J344" s="109">
        <f t="shared" si="22"/>
        <v>96</v>
      </c>
      <c r="K344" s="110">
        <f t="shared" si="23"/>
        <v>0.16666666666666663</v>
      </c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 spans="1:26" ht="12.75" customHeight="1" x14ac:dyDescent="0.3">
      <c r="A345" s="107" t="s">
        <v>2027</v>
      </c>
      <c r="B345" s="107" t="s">
        <v>2681</v>
      </c>
      <c r="C345" s="107" t="s">
        <v>2682</v>
      </c>
      <c r="D345" s="108" t="s">
        <v>13</v>
      </c>
      <c r="E345" s="109">
        <v>90</v>
      </c>
      <c r="F345" s="109">
        <v>45</v>
      </c>
      <c r="G345" s="110">
        <f t="shared" si="21"/>
        <v>0.5</v>
      </c>
      <c r="H345" s="107"/>
      <c r="I345" s="110">
        <v>0.4</v>
      </c>
      <c r="J345" s="109">
        <f t="shared" si="22"/>
        <v>54</v>
      </c>
      <c r="K345" s="110">
        <f t="shared" si="23"/>
        <v>0.16666666666666663</v>
      </c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 spans="1:26" ht="12.75" customHeight="1" x14ac:dyDescent="0.3">
      <c r="A346" s="107" t="s">
        <v>2027</v>
      </c>
      <c r="B346" s="107" t="s">
        <v>2683</v>
      </c>
      <c r="C346" s="107" t="s">
        <v>2647</v>
      </c>
      <c r="D346" s="108" t="s">
        <v>13</v>
      </c>
      <c r="E346" s="109">
        <v>22</v>
      </c>
      <c r="F346" s="109">
        <v>11</v>
      </c>
      <c r="G346" s="110">
        <f t="shared" si="21"/>
        <v>0.5</v>
      </c>
      <c r="H346" s="107"/>
      <c r="I346" s="110">
        <v>0.4</v>
      </c>
      <c r="J346" s="109">
        <f t="shared" si="22"/>
        <v>13.2</v>
      </c>
      <c r="K346" s="110">
        <f t="shared" si="23"/>
        <v>0.16666666666666663</v>
      </c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 spans="1:26" ht="12.75" customHeight="1" x14ac:dyDescent="0.3">
      <c r="A347" s="107" t="s">
        <v>2027</v>
      </c>
      <c r="B347" s="107" t="s">
        <v>2684</v>
      </c>
      <c r="C347" s="107" t="s">
        <v>2685</v>
      </c>
      <c r="D347" s="108" t="s">
        <v>13</v>
      </c>
      <c r="E347" s="109">
        <v>150</v>
      </c>
      <c r="F347" s="109">
        <v>75</v>
      </c>
      <c r="G347" s="110">
        <f t="shared" si="21"/>
        <v>0.5</v>
      </c>
      <c r="H347" s="107"/>
      <c r="I347" s="110">
        <v>0.4</v>
      </c>
      <c r="J347" s="109">
        <f t="shared" si="22"/>
        <v>90</v>
      </c>
      <c r="K347" s="110">
        <f t="shared" si="23"/>
        <v>0.16666666666666663</v>
      </c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 spans="1:26" ht="12.75" customHeight="1" x14ac:dyDescent="0.3">
      <c r="A348" s="107" t="s">
        <v>2027</v>
      </c>
      <c r="B348" s="107" t="s">
        <v>2686</v>
      </c>
      <c r="C348" s="107" t="s">
        <v>2687</v>
      </c>
      <c r="D348" s="108" t="s">
        <v>13</v>
      </c>
      <c r="E348" s="109">
        <v>470</v>
      </c>
      <c r="F348" s="109">
        <v>235</v>
      </c>
      <c r="G348" s="110">
        <f t="shared" si="21"/>
        <v>0.5</v>
      </c>
      <c r="H348" s="107"/>
      <c r="I348" s="110">
        <v>0.4</v>
      </c>
      <c r="J348" s="109">
        <f t="shared" si="22"/>
        <v>282</v>
      </c>
      <c r="K348" s="110">
        <f t="shared" si="23"/>
        <v>0.16666666666666663</v>
      </c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 spans="1:26" ht="12.75" customHeight="1" x14ac:dyDescent="0.3">
      <c r="A349" s="107" t="s">
        <v>2027</v>
      </c>
      <c r="B349" s="107" t="s">
        <v>2688</v>
      </c>
      <c r="C349" s="107" t="s">
        <v>2689</v>
      </c>
      <c r="D349" s="108" t="s">
        <v>13</v>
      </c>
      <c r="E349" s="109">
        <v>120</v>
      </c>
      <c r="F349" s="109">
        <v>60</v>
      </c>
      <c r="G349" s="110">
        <f t="shared" si="21"/>
        <v>0.5</v>
      </c>
      <c r="H349" s="107"/>
      <c r="I349" s="110">
        <v>0.4</v>
      </c>
      <c r="J349" s="109">
        <f t="shared" si="22"/>
        <v>72</v>
      </c>
      <c r="K349" s="110">
        <f t="shared" si="23"/>
        <v>0.16666666666666663</v>
      </c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 spans="1:26" ht="12.75" customHeight="1" x14ac:dyDescent="0.3">
      <c r="A350" s="112" t="s">
        <v>2027</v>
      </c>
      <c r="B350" s="112" t="s">
        <v>2690</v>
      </c>
      <c r="C350" s="112" t="s">
        <v>2691</v>
      </c>
      <c r="D350" s="114" t="s">
        <v>13</v>
      </c>
      <c r="E350" s="115">
        <v>598</v>
      </c>
      <c r="F350" s="115">
        <v>299</v>
      </c>
      <c r="G350" s="116">
        <f t="shared" si="21"/>
        <v>0.5</v>
      </c>
      <c r="H350" s="112"/>
      <c r="I350" s="116">
        <v>0.4</v>
      </c>
      <c r="J350" s="115">
        <f t="shared" si="22"/>
        <v>358.8</v>
      </c>
      <c r="K350" s="116">
        <f t="shared" si="23"/>
        <v>0.16666666666666674</v>
      </c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 spans="1:26" ht="12.75" customHeight="1" x14ac:dyDescent="0.3">
      <c r="A351" s="107"/>
      <c r="B351" s="107"/>
      <c r="C351" s="107"/>
      <c r="D351" s="108"/>
      <c r="E351" s="109"/>
      <c r="F351" s="109"/>
      <c r="G351" s="110"/>
      <c r="H351" s="107"/>
      <c r="I351" s="107"/>
      <c r="J351" s="107"/>
      <c r="K351" s="110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 spans="1:26" ht="12.75" customHeight="1" x14ac:dyDescent="0.3">
      <c r="A352" s="107"/>
      <c r="B352" s="107"/>
      <c r="C352" s="107"/>
      <c r="D352" s="108"/>
      <c r="E352" s="109"/>
      <c r="F352" s="109"/>
      <c r="G352" s="110"/>
      <c r="H352" s="107"/>
      <c r="I352" s="107"/>
      <c r="J352" s="107"/>
      <c r="K352" s="110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 spans="1:26" ht="12.75" customHeight="1" x14ac:dyDescent="0.3">
      <c r="A353" s="107"/>
      <c r="B353" s="107"/>
      <c r="C353" s="107"/>
      <c r="D353" s="108"/>
      <c r="E353" s="109"/>
      <c r="F353" s="109"/>
      <c r="G353" s="110"/>
      <c r="H353" s="107"/>
      <c r="I353" s="107"/>
      <c r="J353" s="107"/>
      <c r="K353" s="110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 spans="1:26" ht="12.75" customHeight="1" x14ac:dyDescent="0.3">
      <c r="A354" s="107"/>
      <c r="B354" s="107"/>
      <c r="C354" s="107"/>
      <c r="D354" s="108"/>
      <c r="E354" s="109"/>
      <c r="F354" s="109"/>
      <c r="G354" s="110"/>
      <c r="H354" s="107"/>
      <c r="I354" s="107"/>
      <c r="J354" s="107"/>
      <c r="K354" s="110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 spans="1:26" ht="12.75" customHeight="1" x14ac:dyDescent="0.3">
      <c r="A355" s="107"/>
      <c r="B355" s="107"/>
      <c r="C355" s="107"/>
      <c r="D355" s="108"/>
      <c r="E355" s="109"/>
      <c r="F355" s="109"/>
      <c r="G355" s="110"/>
      <c r="H355" s="107"/>
      <c r="I355" s="107"/>
      <c r="J355" s="107"/>
      <c r="K355" s="110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 spans="1:26" ht="12.75" customHeight="1" x14ac:dyDescent="0.3">
      <c r="A356" s="107"/>
      <c r="B356" s="107"/>
      <c r="C356" s="107"/>
      <c r="D356" s="108"/>
      <c r="E356" s="109"/>
      <c r="F356" s="109"/>
      <c r="G356" s="110"/>
      <c r="H356" s="107"/>
      <c r="I356" s="107"/>
      <c r="J356" s="107"/>
      <c r="K356" s="110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 spans="1:26" ht="12.75" customHeight="1" x14ac:dyDescent="0.3">
      <c r="A357" s="107"/>
      <c r="B357" s="107"/>
      <c r="C357" s="107"/>
      <c r="D357" s="108"/>
      <c r="E357" s="109"/>
      <c r="F357" s="109"/>
      <c r="G357" s="110"/>
      <c r="H357" s="107"/>
      <c r="I357" s="107"/>
      <c r="J357" s="107"/>
      <c r="K357" s="110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 spans="1:26" ht="12.75" customHeight="1" x14ac:dyDescent="0.3">
      <c r="A358" s="107"/>
      <c r="B358" s="107"/>
      <c r="C358" s="107"/>
      <c r="D358" s="108"/>
      <c r="E358" s="109"/>
      <c r="F358" s="109"/>
      <c r="G358" s="110"/>
      <c r="H358" s="107"/>
      <c r="I358" s="107"/>
      <c r="J358" s="107"/>
      <c r="K358" s="110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 spans="1:26" ht="12.75" customHeight="1" x14ac:dyDescent="0.3">
      <c r="A359" s="107"/>
      <c r="B359" s="107"/>
      <c r="C359" s="107"/>
      <c r="D359" s="108"/>
      <c r="E359" s="109"/>
      <c r="F359" s="109"/>
      <c r="G359" s="110"/>
      <c r="H359" s="107"/>
      <c r="I359" s="107"/>
      <c r="J359" s="107"/>
      <c r="K359" s="110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 spans="1:26" ht="12.75" customHeight="1" x14ac:dyDescent="0.3">
      <c r="A360" s="107"/>
      <c r="B360" s="107"/>
      <c r="C360" s="107"/>
      <c r="D360" s="108"/>
      <c r="E360" s="109"/>
      <c r="F360" s="109"/>
      <c r="G360" s="110"/>
      <c r="H360" s="107"/>
      <c r="I360" s="107"/>
      <c r="J360" s="107"/>
      <c r="K360" s="110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 spans="1:26" ht="12.75" customHeight="1" x14ac:dyDescent="0.3">
      <c r="A361" s="107"/>
      <c r="B361" s="107"/>
      <c r="C361" s="107"/>
      <c r="D361" s="108"/>
      <c r="E361" s="109"/>
      <c r="F361" s="109"/>
      <c r="G361" s="110"/>
      <c r="H361" s="107"/>
      <c r="I361" s="107"/>
      <c r="J361" s="107"/>
      <c r="K361" s="110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 spans="1:26" ht="12.75" customHeight="1" x14ac:dyDescent="0.3">
      <c r="A362" s="107"/>
      <c r="B362" s="107"/>
      <c r="C362" s="107"/>
      <c r="D362" s="108"/>
      <c r="E362" s="109"/>
      <c r="F362" s="109"/>
      <c r="G362" s="110"/>
      <c r="H362" s="107"/>
      <c r="I362" s="107"/>
      <c r="J362" s="107"/>
      <c r="K362" s="110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 spans="1:26" ht="12.75" customHeight="1" x14ac:dyDescent="0.3">
      <c r="A363" s="107"/>
      <c r="B363" s="107"/>
      <c r="C363" s="107"/>
      <c r="D363" s="108"/>
      <c r="E363" s="109"/>
      <c r="F363" s="109"/>
      <c r="G363" s="110"/>
      <c r="H363" s="107"/>
      <c r="I363" s="107"/>
      <c r="J363" s="107"/>
      <c r="K363" s="110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 spans="1:26" ht="12.75" customHeight="1" x14ac:dyDescent="0.3">
      <c r="A364" s="107"/>
      <c r="B364" s="107"/>
      <c r="C364" s="107"/>
      <c r="D364" s="108"/>
      <c r="E364" s="109"/>
      <c r="F364" s="109"/>
      <c r="G364" s="110"/>
      <c r="H364" s="107"/>
      <c r="I364" s="107"/>
      <c r="J364" s="107"/>
      <c r="K364" s="110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 spans="1:26" ht="12.75" customHeight="1" x14ac:dyDescent="0.3">
      <c r="A365" s="107"/>
      <c r="B365" s="107"/>
      <c r="C365" s="107"/>
      <c r="D365" s="108"/>
      <c r="E365" s="109"/>
      <c r="F365" s="109"/>
      <c r="G365" s="110"/>
      <c r="H365" s="107"/>
      <c r="I365" s="107"/>
      <c r="J365" s="107"/>
      <c r="K365" s="110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 spans="1:26" ht="12.75" customHeight="1" x14ac:dyDescent="0.3">
      <c r="A366" s="107"/>
      <c r="B366" s="107"/>
      <c r="C366" s="107"/>
      <c r="D366" s="108"/>
      <c r="E366" s="109"/>
      <c r="F366" s="109"/>
      <c r="G366" s="110"/>
      <c r="H366" s="107"/>
      <c r="I366" s="107"/>
      <c r="J366" s="107"/>
      <c r="K366" s="110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 spans="1:26" ht="12.75" customHeight="1" x14ac:dyDescent="0.3">
      <c r="A367" s="107"/>
      <c r="B367" s="107"/>
      <c r="C367" s="107"/>
      <c r="D367" s="108"/>
      <c r="E367" s="109"/>
      <c r="F367" s="109"/>
      <c r="G367" s="110"/>
      <c r="H367" s="107"/>
      <c r="I367" s="107"/>
      <c r="J367" s="107"/>
      <c r="K367" s="110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 spans="1:26" ht="12.75" customHeight="1" x14ac:dyDescent="0.3">
      <c r="A368" s="107"/>
      <c r="B368" s="107"/>
      <c r="C368" s="107"/>
      <c r="D368" s="108"/>
      <c r="E368" s="109"/>
      <c r="F368" s="109"/>
      <c r="G368" s="110"/>
      <c r="H368" s="107"/>
      <c r="I368" s="107"/>
      <c r="J368" s="107"/>
      <c r="K368" s="110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 spans="1:26" ht="12.75" customHeight="1" x14ac:dyDescent="0.3">
      <c r="A369" s="107"/>
      <c r="B369" s="107"/>
      <c r="C369" s="107"/>
      <c r="D369" s="108"/>
      <c r="E369" s="109"/>
      <c r="F369" s="109"/>
      <c r="G369" s="110"/>
      <c r="H369" s="107"/>
      <c r="I369" s="107"/>
      <c r="J369" s="107"/>
      <c r="K369" s="110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 spans="1:26" ht="12.75" customHeight="1" x14ac:dyDescent="0.3">
      <c r="A370" s="107"/>
      <c r="B370" s="107"/>
      <c r="C370" s="107"/>
      <c r="D370" s="108"/>
      <c r="E370" s="109"/>
      <c r="F370" s="109"/>
      <c r="G370" s="110"/>
      <c r="H370" s="107"/>
      <c r="I370" s="107"/>
      <c r="J370" s="107"/>
      <c r="K370" s="110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 spans="1:26" ht="12.75" customHeight="1" x14ac:dyDescent="0.3">
      <c r="A371" s="107"/>
      <c r="B371" s="107"/>
      <c r="C371" s="107"/>
      <c r="D371" s="108"/>
      <c r="E371" s="109"/>
      <c r="F371" s="109"/>
      <c r="G371" s="110"/>
      <c r="H371" s="107"/>
      <c r="I371" s="107"/>
      <c r="J371" s="107"/>
      <c r="K371" s="110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 spans="1:26" ht="12.75" customHeight="1" x14ac:dyDescent="0.3">
      <c r="A372" s="107"/>
      <c r="B372" s="107"/>
      <c r="C372" s="107"/>
      <c r="D372" s="108"/>
      <c r="E372" s="109"/>
      <c r="F372" s="109"/>
      <c r="G372" s="110"/>
      <c r="H372" s="107"/>
      <c r="I372" s="107"/>
      <c r="J372" s="107"/>
      <c r="K372" s="110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 spans="1:26" ht="12.75" customHeight="1" x14ac:dyDescent="0.3">
      <c r="A373" s="107"/>
      <c r="B373" s="107"/>
      <c r="C373" s="107"/>
      <c r="D373" s="108"/>
      <c r="E373" s="109"/>
      <c r="F373" s="109"/>
      <c r="G373" s="110"/>
      <c r="H373" s="107"/>
      <c r="I373" s="107"/>
      <c r="J373" s="107"/>
      <c r="K373" s="110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 spans="1:26" ht="12.75" customHeight="1" x14ac:dyDescent="0.3">
      <c r="A374" s="107"/>
      <c r="B374" s="107"/>
      <c r="C374" s="107"/>
      <c r="D374" s="108"/>
      <c r="E374" s="109"/>
      <c r="F374" s="109"/>
      <c r="G374" s="110"/>
      <c r="H374" s="107"/>
      <c r="I374" s="107"/>
      <c r="J374" s="107"/>
      <c r="K374" s="110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 spans="1:26" ht="12.75" customHeight="1" x14ac:dyDescent="0.3">
      <c r="A375" s="107"/>
      <c r="B375" s="107"/>
      <c r="C375" s="107"/>
      <c r="D375" s="108"/>
      <c r="E375" s="109"/>
      <c r="F375" s="109"/>
      <c r="G375" s="110"/>
      <c r="H375" s="107"/>
      <c r="I375" s="107"/>
      <c r="J375" s="107"/>
      <c r="K375" s="110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 spans="1:26" ht="12.75" customHeight="1" x14ac:dyDescent="0.3">
      <c r="A376" s="107"/>
      <c r="B376" s="107"/>
      <c r="C376" s="107"/>
      <c r="D376" s="108"/>
      <c r="E376" s="109"/>
      <c r="F376" s="109"/>
      <c r="G376" s="110"/>
      <c r="H376" s="107"/>
      <c r="I376" s="107"/>
      <c r="J376" s="107"/>
      <c r="K376" s="110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 spans="1:26" ht="12.75" customHeight="1" x14ac:dyDescent="0.3">
      <c r="A377" s="107"/>
      <c r="B377" s="107"/>
      <c r="C377" s="107"/>
      <c r="D377" s="108"/>
      <c r="E377" s="109"/>
      <c r="F377" s="109"/>
      <c r="G377" s="110"/>
      <c r="H377" s="107"/>
      <c r="I377" s="107"/>
      <c r="J377" s="107"/>
      <c r="K377" s="110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 spans="1:26" ht="12.75" customHeight="1" x14ac:dyDescent="0.3">
      <c r="A378" s="107"/>
      <c r="B378" s="107"/>
      <c r="C378" s="107"/>
      <c r="D378" s="108"/>
      <c r="E378" s="109"/>
      <c r="F378" s="109"/>
      <c r="G378" s="110"/>
      <c r="H378" s="107"/>
      <c r="I378" s="107"/>
      <c r="J378" s="107"/>
      <c r="K378" s="110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 spans="1:26" ht="12.75" customHeight="1" x14ac:dyDescent="0.3">
      <c r="A379" s="107"/>
      <c r="B379" s="107"/>
      <c r="C379" s="107"/>
      <c r="D379" s="108"/>
      <c r="E379" s="109"/>
      <c r="F379" s="109"/>
      <c r="G379" s="110"/>
      <c r="H379" s="107"/>
      <c r="I379" s="107"/>
      <c r="J379" s="107"/>
      <c r="K379" s="110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 spans="1:26" ht="12.75" customHeight="1" x14ac:dyDescent="0.3">
      <c r="A380" s="107"/>
      <c r="B380" s="107"/>
      <c r="C380" s="107"/>
      <c r="D380" s="108"/>
      <c r="E380" s="109"/>
      <c r="F380" s="109"/>
      <c r="G380" s="110"/>
      <c r="H380" s="107"/>
      <c r="I380" s="107"/>
      <c r="J380" s="107"/>
      <c r="K380" s="110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 spans="1:26" ht="12.75" customHeight="1" x14ac:dyDescent="0.3">
      <c r="A381" s="107"/>
      <c r="B381" s="107"/>
      <c r="C381" s="107"/>
      <c r="D381" s="108"/>
      <c r="E381" s="109"/>
      <c r="F381" s="109"/>
      <c r="G381" s="110"/>
      <c r="H381" s="107"/>
      <c r="I381" s="107"/>
      <c r="J381" s="107"/>
      <c r="K381" s="110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 spans="1:26" ht="12.75" customHeight="1" x14ac:dyDescent="0.3">
      <c r="A382" s="107"/>
      <c r="B382" s="107"/>
      <c r="C382" s="107"/>
      <c r="D382" s="108"/>
      <c r="E382" s="109"/>
      <c r="F382" s="109"/>
      <c r="G382" s="110"/>
      <c r="H382" s="107"/>
      <c r="I382" s="107"/>
      <c r="J382" s="107"/>
      <c r="K382" s="110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 spans="1:26" ht="12.75" customHeight="1" x14ac:dyDescent="0.3">
      <c r="A383" s="107"/>
      <c r="B383" s="107"/>
      <c r="C383" s="107"/>
      <c r="D383" s="108"/>
      <c r="E383" s="109"/>
      <c r="F383" s="109"/>
      <c r="G383" s="110"/>
      <c r="H383" s="107"/>
      <c r="I383" s="107"/>
      <c r="J383" s="107"/>
      <c r="K383" s="110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 spans="1:26" ht="12.75" customHeight="1" x14ac:dyDescent="0.3">
      <c r="A384" s="107"/>
      <c r="B384" s="107"/>
      <c r="C384" s="107"/>
      <c r="D384" s="108"/>
      <c r="E384" s="109"/>
      <c r="F384" s="109"/>
      <c r="G384" s="110"/>
      <c r="H384" s="107"/>
      <c r="I384" s="107"/>
      <c r="J384" s="107"/>
      <c r="K384" s="110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 spans="1:26" ht="12.75" customHeight="1" x14ac:dyDescent="0.3">
      <c r="A385" s="107"/>
      <c r="B385" s="107"/>
      <c r="C385" s="107"/>
      <c r="D385" s="108"/>
      <c r="E385" s="109"/>
      <c r="F385" s="109"/>
      <c r="G385" s="110"/>
      <c r="H385" s="107"/>
      <c r="I385" s="107"/>
      <c r="J385" s="107"/>
      <c r="K385" s="110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 spans="1:26" ht="12.75" customHeight="1" x14ac:dyDescent="0.3">
      <c r="A386" s="107"/>
      <c r="B386" s="107"/>
      <c r="C386" s="107"/>
      <c r="D386" s="108"/>
      <c r="E386" s="109"/>
      <c r="F386" s="109"/>
      <c r="G386" s="110"/>
      <c r="H386" s="107"/>
      <c r="I386" s="107"/>
      <c r="J386" s="107"/>
      <c r="K386" s="110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 spans="1:26" ht="12.75" customHeight="1" x14ac:dyDescent="0.3">
      <c r="A387" s="107"/>
      <c r="B387" s="107"/>
      <c r="C387" s="107"/>
      <c r="D387" s="108"/>
      <c r="E387" s="109"/>
      <c r="F387" s="109"/>
      <c r="G387" s="110"/>
      <c r="H387" s="107"/>
      <c r="I387" s="107"/>
      <c r="J387" s="107"/>
      <c r="K387" s="110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 spans="1:26" ht="12.75" customHeight="1" x14ac:dyDescent="0.3">
      <c r="A388" s="107"/>
      <c r="B388" s="107"/>
      <c r="C388" s="107"/>
      <c r="D388" s="108"/>
      <c r="E388" s="109"/>
      <c r="F388" s="109"/>
      <c r="G388" s="110"/>
      <c r="H388" s="107"/>
      <c r="I388" s="107"/>
      <c r="J388" s="107"/>
      <c r="K388" s="110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 spans="1:26" ht="12.75" customHeight="1" x14ac:dyDescent="0.3">
      <c r="A389" s="107"/>
      <c r="B389" s="107"/>
      <c r="C389" s="107"/>
      <c r="D389" s="108"/>
      <c r="E389" s="109"/>
      <c r="F389" s="109"/>
      <c r="G389" s="110"/>
      <c r="H389" s="107"/>
      <c r="I389" s="107"/>
      <c r="J389" s="107"/>
      <c r="K389" s="110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 spans="1:26" ht="12.75" customHeight="1" x14ac:dyDescent="0.3">
      <c r="A390" s="107"/>
      <c r="B390" s="107"/>
      <c r="C390" s="107"/>
      <c r="D390" s="108"/>
      <c r="E390" s="109"/>
      <c r="F390" s="109"/>
      <c r="G390" s="110"/>
      <c r="H390" s="107"/>
      <c r="I390" s="107"/>
      <c r="J390" s="107"/>
      <c r="K390" s="110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 spans="1:26" ht="12.75" customHeight="1" x14ac:dyDescent="0.3">
      <c r="A391" s="107"/>
      <c r="B391" s="107"/>
      <c r="C391" s="107"/>
      <c r="D391" s="108"/>
      <c r="E391" s="109"/>
      <c r="F391" s="109"/>
      <c r="G391" s="110"/>
      <c r="H391" s="107"/>
      <c r="I391" s="107"/>
      <c r="J391" s="107"/>
      <c r="K391" s="110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 spans="1:26" ht="12.75" customHeight="1" x14ac:dyDescent="0.3">
      <c r="A392" s="107"/>
      <c r="B392" s="107"/>
      <c r="C392" s="107"/>
      <c r="D392" s="108"/>
      <c r="E392" s="109"/>
      <c r="F392" s="109"/>
      <c r="G392" s="110"/>
      <c r="H392" s="107"/>
      <c r="I392" s="107"/>
      <c r="J392" s="107"/>
      <c r="K392" s="110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 spans="1:26" ht="12.75" customHeight="1" x14ac:dyDescent="0.3">
      <c r="A393" s="107"/>
      <c r="B393" s="107"/>
      <c r="C393" s="107"/>
      <c r="D393" s="108"/>
      <c r="E393" s="109"/>
      <c r="F393" s="109"/>
      <c r="G393" s="110"/>
      <c r="H393" s="107"/>
      <c r="I393" s="107"/>
      <c r="J393" s="107"/>
      <c r="K393" s="110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 spans="1:26" ht="12.75" customHeight="1" x14ac:dyDescent="0.3">
      <c r="A394" s="107"/>
      <c r="B394" s="107"/>
      <c r="C394" s="107"/>
      <c r="D394" s="108"/>
      <c r="E394" s="109"/>
      <c r="F394" s="109"/>
      <c r="G394" s="110"/>
      <c r="H394" s="107"/>
      <c r="I394" s="107"/>
      <c r="J394" s="107"/>
      <c r="K394" s="110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 spans="1:26" ht="12.75" customHeight="1" x14ac:dyDescent="0.3">
      <c r="A395" s="107"/>
      <c r="B395" s="107"/>
      <c r="C395" s="107"/>
      <c r="D395" s="108"/>
      <c r="E395" s="109"/>
      <c r="F395" s="109"/>
      <c r="G395" s="110"/>
      <c r="H395" s="107"/>
      <c r="I395" s="107"/>
      <c r="J395" s="107"/>
      <c r="K395" s="110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 spans="1:26" ht="12.75" customHeight="1" x14ac:dyDescent="0.3">
      <c r="A396" s="107"/>
      <c r="B396" s="107"/>
      <c r="C396" s="107"/>
      <c r="D396" s="108"/>
      <c r="E396" s="109"/>
      <c r="F396" s="109"/>
      <c r="G396" s="110"/>
      <c r="H396" s="107"/>
      <c r="I396" s="107"/>
      <c r="J396" s="107"/>
      <c r="K396" s="110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 spans="1:26" ht="12.75" customHeight="1" x14ac:dyDescent="0.3">
      <c r="A397" s="107"/>
      <c r="B397" s="107"/>
      <c r="C397" s="107"/>
      <c r="D397" s="108"/>
      <c r="E397" s="109"/>
      <c r="F397" s="109"/>
      <c r="G397" s="110"/>
      <c r="H397" s="107"/>
      <c r="I397" s="107"/>
      <c r="J397" s="107"/>
      <c r="K397" s="110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 spans="1:26" ht="12.75" customHeight="1" x14ac:dyDescent="0.3">
      <c r="A398" s="107"/>
      <c r="B398" s="107"/>
      <c r="C398" s="107"/>
      <c r="D398" s="108"/>
      <c r="E398" s="109"/>
      <c r="F398" s="109"/>
      <c r="G398" s="110"/>
      <c r="H398" s="107"/>
      <c r="I398" s="107"/>
      <c r="J398" s="107"/>
      <c r="K398" s="110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 spans="1:26" ht="12.75" customHeight="1" x14ac:dyDescent="0.3">
      <c r="A399" s="107"/>
      <c r="B399" s="107"/>
      <c r="C399" s="107"/>
      <c r="D399" s="108"/>
      <c r="E399" s="109"/>
      <c r="F399" s="109"/>
      <c r="G399" s="110"/>
      <c r="H399" s="107"/>
      <c r="I399" s="107"/>
      <c r="J399" s="107"/>
      <c r="K399" s="110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 spans="1:26" ht="12.75" customHeight="1" x14ac:dyDescent="0.3">
      <c r="A400" s="107"/>
      <c r="B400" s="107"/>
      <c r="C400" s="107"/>
      <c r="D400" s="108"/>
      <c r="E400" s="109"/>
      <c r="F400" s="109"/>
      <c r="G400" s="110"/>
      <c r="H400" s="107"/>
      <c r="I400" s="107"/>
      <c r="J400" s="107"/>
      <c r="K400" s="110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 spans="1:26" ht="12.75" customHeight="1" x14ac:dyDescent="0.3">
      <c r="A401" s="107"/>
      <c r="B401" s="107"/>
      <c r="C401" s="107"/>
      <c r="D401" s="108"/>
      <c r="E401" s="109"/>
      <c r="F401" s="109"/>
      <c r="G401" s="110"/>
      <c r="H401" s="107"/>
      <c r="I401" s="107"/>
      <c r="J401" s="107"/>
      <c r="K401" s="110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 spans="1:26" ht="12.75" customHeight="1" x14ac:dyDescent="0.3">
      <c r="A402" s="107"/>
      <c r="B402" s="107"/>
      <c r="C402" s="107"/>
      <c r="D402" s="108"/>
      <c r="E402" s="109"/>
      <c r="F402" s="109"/>
      <c r="G402" s="110"/>
      <c r="H402" s="107"/>
      <c r="I402" s="107"/>
      <c r="J402" s="107"/>
      <c r="K402" s="110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 spans="1:26" ht="12.75" customHeight="1" x14ac:dyDescent="0.3">
      <c r="A403" s="107"/>
      <c r="B403" s="107"/>
      <c r="C403" s="107"/>
      <c r="D403" s="108"/>
      <c r="E403" s="109"/>
      <c r="F403" s="109"/>
      <c r="G403" s="110"/>
      <c r="H403" s="107"/>
      <c r="I403" s="107"/>
      <c r="J403" s="107"/>
      <c r="K403" s="110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 spans="1:26" ht="12.75" customHeight="1" x14ac:dyDescent="0.3">
      <c r="A404" s="107"/>
      <c r="B404" s="107"/>
      <c r="C404" s="107"/>
      <c r="D404" s="108"/>
      <c r="E404" s="109"/>
      <c r="F404" s="109"/>
      <c r="G404" s="110"/>
      <c r="H404" s="107"/>
      <c r="I404" s="107"/>
      <c r="J404" s="107"/>
      <c r="K404" s="110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 spans="1:26" ht="12.75" customHeight="1" x14ac:dyDescent="0.3">
      <c r="A405" s="107"/>
      <c r="B405" s="107"/>
      <c r="C405" s="107"/>
      <c r="D405" s="108"/>
      <c r="E405" s="109"/>
      <c r="F405" s="109"/>
      <c r="G405" s="110"/>
      <c r="H405" s="107"/>
      <c r="I405" s="107"/>
      <c r="J405" s="107"/>
      <c r="K405" s="110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 spans="1:26" ht="12.75" customHeight="1" x14ac:dyDescent="0.3">
      <c r="A406" s="107"/>
      <c r="B406" s="107"/>
      <c r="C406" s="107"/>
      <c r="D406" s="108"/>
      <c r="E406" s="109"/>
      <c r="F406" s="109"/>
      <c r="G406" s="110"/>
      <c r="H406" s="107"/>
      <c r="I406" s="107"/>
      <c r="J406" s="107"/>
      <c r="K406" s="110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 spans="1:26" ht="12.75" customHeight="1" x14ac:dyDescent="0.3">
      <c r="A407" s="107"/>
      <c r="B407" s="107"/>
      <c r="C407" s="107"/>
      <c r="D407" s="108"/>
      <c r="E407" s="109"/>
      <c r="F407" s="109"/>
      <c r="G407" s="110"/>
      <c r="H407" s="107"/>
      <c r="I407" s="107"/>
      <c r="J407" s="107"/>
      <c r="K407" s="110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 spans="1:26" ht="12.75" customHeight="1" x14ac:dyDescent="0.3">
      <c r="A408" s="107"/>
      <c r="B408" s="107"/>
      <c r="C408" s="107"/>
      <c r="D408" s="108"/>
      <c r="E408" s="109"/>
      <c r="F408" s="109"/>
      <c r="G408" s="110"/>
      <c r="H408" s="107"/>
      <c r="I408" s="107"/>
      <c r="J408" s="107"/>
      <c r="K408" s="110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 spans="1:26" ht="12.75" customHeight="1" x14ac:dyDescent="0.3">
      <c r="A409" s="107"/>
      <c r="B409" s="107"/>
      <c r="C409" s="107"/>
      <c r="D409" s="108"/>
      <c r="E409" s="109"/>
      <c r="F409" s="109"/>
      <c r="G409" s="110"/>
      <c r="H409" s="107"/>
      <c r="I409" s="107"/>
      <c r="J409" s="107"/>
      <c r="K409" s="110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 spans="1:26" ht="12.75" customHeight="1" x14ac:dyDescent="0.3">
      <c r="A410" s="107"/>
      <c r="B410" s="107"/>
      <c r="C410" s="107"/>
      <c r="D410" s="108"/>
      <c r="E410" s="109"/>
      <c r="F410" s="109"/>
      <c r="G410" s="110"/>
      <c r="H410" s="107"/>
      <c r="I410" s="107"/>
      <c r="J410" s="107"/>
      <c r="K410" s="110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 spans="1:26" ht="12.75" customHeight="1" x14ac:dyDescent="0.3">
      <c r="A411" s="107"/>
      <c r="B411" s="107"/>
      <c r="C411" s="107"/>
      <c r="D411" s="108"/>
      <c r="E411" s="109"/>
      <c r="F411" s="109"/>
      <c r="G411" s="110"/>
      <c r="H411" s="107"/>
      <c r="I411" s="107"/>
      <c r="J411" s="107"/>
      <c r="K411" s="110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 spans="1:26" ht="12.75" customHeight="1" x14ac:dyDescent="0.3">
      <c r="A412" s="107"/>
      <c r="B412" s="107"/>
      <c r="C412" s="107"/>
      <c r="D412" s="108"/>
      <c r="E412" s="109"/>
      <c r="F412" s="109"/>
      <c r="G412" s="110"/>
      <c r="H412" s="107"/>
      <c r="I412" s="107"/>
      <c r="J412" s="107"/>
      <c r="K412" s="110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 spans="1:26" ht="12.75" customHeight="1" x14ac:dyDescent="0.3">
      <c r="A413" s="107"/>
      <c r="B413" s="107"/>
      <c r="C413" s="107"/>
      <c r="D413" s="108"/>
      <c r="E413" s="109"/>
      <c r="F413" s="109"/>
      <c r="G413" s="110"/>
      <c r="H413" s="107"/>
      <c r="I413" s="107"/>
      <c r="J413" s="107"/>
      <c r="K413" s="110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 spans="1:26" ht="12.75" customHeight="1" x14ac:dyDescent="0.3">
      <c r="A414" s="107"/>
      <c r="B414" s="107"/>
      <c r="C414" s="107"/>
      <c r="D414" s="108"/>
      <c r="E414" s="109"/>
      <c r="F414" s="109"/>
      <c r="G414" s="110"/>
      <c r="H414" s="107"/>
      <c r="I414" s="107"/>
      <c r="J414" s="107"/>
      <c r="K414" s="110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 spans="1:26" ht="12.75" customHeight="1" x14ac:dyDescent="0.3">
      <c r="A415" s="107"/>
      <c r="B415" s="107"/>
      <c r="C415" s="107"/>
      <c r="D415" s="108"/>
      <c r="E415" s="109"/>
      <c r="F415" s="109"/>
      <c r="G415" s="110"/>
      <c r="H415" s="107"/>
      <c r="I415" s="107"/>
      <c r="J415" s="107"/>
      <c r="K415" s="110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 spans="1:26" ht="12.75" customHeight="1" x14ac:dyDescent="0.3">
      <c r="A416" s="107"/>
      <c r="B416" s="107"/>
      <c r="C416" s="107"/>
      <c r="D416" s="108"/>
      <c r="E416" s="109"/>
      <c r="F416" s="109"/>
      <c r="G416" s="110"/>
      <c r="H416" s="107"/>
      <c r="I416" s="107"/>
      <c r="J416" s="107"/>
      <c r="K416" s="110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 spans="1:26" ht="12.75" customHeight="1" x14ac:dyDescent="0.3">
      <c r="A417" s="107"/>
      <c r="B417" s="107"/>
      <c r="C417" s="107"/>
      <c r="D417" s="108"/>
      <c r="E417" s="109"/>
      <c r="F417" s="109"/>
      <c r="G417" s="110"/>
      <c r="H417" s="107"/>
      <c r="I417" s="107"/>
      <c r="J417" s="107"/>
      <c r="K417" s="110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 spans="1:26" ht="12.75" customHeight="1" x14ac:dyDescent="0.3">
      <c r="A418" s="107"/>
      <c r="B418" s="107"/>
      <c r="C418" s="107"/>
      <c r="D418" s="108"/>
      <c r="E418" s="109"/>
      <c r="F418" s="109"/>
      <c r="G418" s="110"/>
      <c r="H418" s="107"/>
      <c r="I418" s="107"/>
      <c r="J418" s="107"/>
      <c r="K418" s="110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 spans="1:26" ht="12.75" customHeight="1" x14ac:dyDescent="0.3">
      <c r="A419" s="107"/>
      <c r="B419" s="107"/>
      <c r="C419" s="107"/>
      <c r="D419" s="108"/>
      <c r="E419" s="109"/>
      <c r="F419" s="109"/>
      <c r="G419" s="110"/>
      <c r="H419" s="107"/>
      <c r="I419" s="107"/>
      <c r="J419" s="107"/>
      <c r="K419" s="110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 spans="1:26" ht="12.75" customHeight="1" x14ac:dyDescent="0.3">
      <c r="A420" s="107"/>
      <c r="B420" s="107"/>
      <c r="C420" s="107"/>
      <c r="D420" s="108"/>
      <c r="E420" s="109"/>
      <c r="F420" s="109"/>
      <c r="G420" s="110"/>
      <c r="H420" s="107"/>
      <c r="I420" s="107"/>
      <c r="J420" s="107"/>
      <c r="K420" s="110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 spans="1:26" ht="12.75" customHeight="1" x14ac:dyDescent="0.3">
      <c r="A421" s="107"/>
      <c r="B421" s="107"/>
      <c r="C421" s="107"/>
      <c r="D421" s="108"/>
      <c r="E421" s="109"/>
      <c r="F421" s="109"/>
      <c r="G421" s="110"/>
      <c r="H421" s="107"/>
      <c r="I421" s="107"/>
      <c r="J421" s="107"/>
      <c r="K421" s="110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 spans="1:26" ht="12.75" customHeight="1" x14ac:dyDescent="0.3">
      <c r="A422" s="107"/>
      <c r="B422" s="107"/>
      <c r="C422" s="107"/>
      <c r="D422" s="108"/>
      <c r="E422" s="109"/>
      <c r="F422" s="109"/>
      <c r="G422" s="110"/>
      <c r="H422" s="107"/>
      <c r="I422" s="107"/>
      <c r="J422" s="107"/>
      <c r="K422" s="110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 spans="1:26" ht="12.75" customHeight="1" x14ac:dyDescent="0.3">
      <c r="A423" s="107"/>
      <c r="B423" s="107"/>
      <c r="C423" s="107"/>
      <c r="D423" s="108"/>
      <c r="E423" s="109"/>
      <c r="F423" s="109"/>
      <c r="G423" s="110"/>
      <c r="H423" s="107"/>
      <c r="I423" s="107"/>
      <c r="J423" s="107"/>
      <c r="K423" s="110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 spans="1:26" ht="12.75" customHeight="1" x14ac:dyDescent="0.3">
      <c r="A424" s="107"/>
      <c r="B424" s="107"/>
      <c r="C424" s="107"/>
      <c r="D424" s="108"/>
      <c r="E424" s="109"/>
      <c r="F424" s="109"/>
      <c r="G424" s="110"/>
      <c r="H424" s="107"/>
      <c r="I424" s="107"/>
      <c r="J424" s="107"/>
      <c r="K424" s="110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 spans="1:26" ht="12.75" customHeight="1" x14ac:dyDescent="0.3">
      <c r="A425" s="107"/>
      <c r="B425" s="107"/>
      <c r="C425" s="107"/>
      <c r="D425" s="108"/>
      <c r="E425" s="109"/>
      <c r="F425" s="109"/>
      <c r="G425" s="110"/>
      <c r="H425" s="107"/>
      <c r="I425" s="107"/>
      <c r="J425" s="107"/>
      <c r="K425" s="110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 spans="1:26" ht="12.75" customHeight="1" x14ac:dyDescent="0.3">
      <c r="A426" s="107"/>
      <c r="B426" s="107"/>
      <c r="C426" s="107"/>
      <c r="D426" s="108"/>
      <c r="E426" s="109"/>
      <c r="F426" s="109"/>
      <c r="G426" s="110"/>
      <c r="H426" s="107"/>
      <c r="I426" s="107"/>
      <c r="J426" s="107"/>
      <c r="K426" s="110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 spans="1:26" ht="12.75" customHeight="1" x14ac:dyDescent="0.3">
      <c r="A427" s="107"/>
      <c r="B427" s="107"/>
      <c r="C427" s="107"/>
      <c r="D427" s="108"/>
      <c r="E427" s="109"/>
      <c r="F427" s="109"/>
      <c r="G427" s="110"/>
      <c r="H427" s="107"/>
      <c r="I427" s="107"/>
      <c r="J427" s="107"/>
      <c r="K427" s="110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 spans="1:26" ht="12.75" customHeight="1" x14ac:dyDescent="0.3">
      <c r="A428" s="107"/>
      <c r="B428" s="107"/>
      <c r="C428" s="107"/>
      <c r="D428" s="108"/>
      <c r="E428" s="109"/>
      <c r="F428" s="109"/>
      <c r="G428" s="110"/>
      <c r="H428" s="107"/>
      <c r="I428" s="107"/>
      <c r="J428" s="107"/>
      <c r="K428" s="110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 spans="1:26" ht="12.75" customHeight="1" x14ac:dyDescent="0.3">
      <c r="A429" s="107"/>
      <c r="B429" s="107"/>
      <c r="C429" s="107"/>
      <c r="D429" s="108"/>
      <c r="E429" s="109"/>
      <c r="F429" s="109"/>
      <c r="G429" s="110"/>
      <c r="H429" s="107"/>
      <c r="I429" s="107"/>
      <c r="J429" s="107"/>
      <c r="K429" s="110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 spans="1:26" ht="12.75" customHeight="1" x14ac:dyDescent="0.3">
      <c r="A430" s="107"/>
      <c r="B430" s="107"/>
      <c r="C430" s="107"/>
      <c r="D430" s="108"/>
      <c r="E430" s="109"/>
      <c r="F430" s="109"/>
      <c r="G430" s="110"/>
      <c r="H430" s="107"/>
      <c r="I430" s="107"/>
      <c r="J430" s="107"/>
      <c r="K430" s="110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 spans="1:26" ht="12.75" customHeight="1" x14ac:dyDescent="0.3">
      <c r="A431" s="107"/>
      <c r="B431" s="107"/>
      <c r="C431" s="107"/>
      <c r="D431" s="108"/>
      <c r="E431" s="109"/>
      <c r="F431" s="109"/>
      <c r="G431" s="110"/>
      <c r="H431" s="107"/>
      <c r="I431" s="107"/>
      <c r="J431" s="107"/>
      <c r="K431" s="110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 spans="1:26" ht="12.75" customHeight="1" x14ac:dyDescent="0.3">
      <c r="A432" s="107"/>
      <c r="B432" s="107"/>
      <c r="C432" s="107"/>
      <c r="D432" s="108"/>
      <c r="E432" s="109"/>
      <c r="F432" s="109"/>
      <c r="G432" s="110"/>
      <c r="H432" s="107"/>
      <c r="I432" s="107"/>
      <c r="J432" s="107"/>
      <c r="K432" s="110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 spans="1:26" ht="12.75" customHeight="1" x14ac:dyDescent="0.3">
      <c r="A433" s="107"/>
      <c r="B433" s="107"/>
      <c r="C433" s="107"/>
      <c r="D433" s="108"/>
      <c r="E433" s="109"/>
      <c r="F433" s="109"/>
      <c r="G433" s="110"/>
      <c r="H433" s="107"/>
      <c r="I433" s="107"/>
      <c r="J433" s="107"/>
      <c r="K433" s="110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 spans="1:26" ht="12.75" customHeight="1" x14ac:dyDescent="0.3">
      <c r="A434" s="107"/>
      <c r="B434" s="107"/>
      <c r="C434" s="107"/>
      <c r="D434" s="108"/>
      <c r="E434" s="109"/>
      <c r="F434" s="109"/>
      <c r="G434" s="110"/>
      <c r="H434" s="107"/>
      <c r="I434" s="107"/>
      <c r="J434" s="107"/>
      <c r="K434" s="110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 spans="1:26" ht="12.75" customHeight="1" x14ac:dyDescent="0.3">
      <c r="A435" s="107"/>
      <c r="B435" s="107"/>
      <c r="C435" s="107"/>
      <c r="D435" s="108"/>
      <c r="E435" s="109"/>
      <c r="F435" s="109"/>
      <c r="G435" s="110"/>
      <c r="H435" s="107"/>
      <c r="I435" s="107"/>
      <c r="J435" s="107"/>
      <c r="K435" s="110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 spans="1:26" ht="12.75" customHeight="1" x14ac:dyDescent="0.3">
      <c r="A436" s="107"/>
      <c r="B436" s="107"/>
      <c r="C436" s="107"/>
      <c r="D436" s="108"/>
      <c r="E436" s="109"/>
      <c r="F436" s="109"/>
      <c r="G436" s="110"/>
      <c r="H436" s="107"/>
      <c r="I436" s="107"/>
      <c r="J436" s="107"/>
      <c r="K436" s="110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 spans="1:26" ht="12.75" customHeight="1" x14ac:dyDescent="0.3">
      <c r="A437" s="107"/>
      <c r="B437" s="107"/>
      <c r="C437" s="107"/>
      <c r="D437" s="108"/>
      <c r="E437" s="109"/>
      <c r="F437" s="109"/>
      <c r="G437" s="110"/>
      <c r="H437" s="107"/>
      <c r="I437" s="107"/>
      <c r="J437" s="107"/>
      <c r="K437" s="110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 spans="1:26" ht="12.75" customHeight="1" x14ac:dyDescent="0.3">
      <c r="A438" s="107"/>
      <c r="B438" s="107"/>
      <c r="C438" s="107"/>
      <c r="D438" s="108"/>
      <c r="E438" s="109"/>
      <c r="F438" s="109"/>
      <c r="G438" s="110"/>
      <c r="H438" s="107"/>
      <c r="I438" s="107"/>
      <c r="J438" s="107"/>
      <c r="K438" s="110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 spans="1:26" ht="12.75" customHeight="1" x14ac:dyDescent="0.3">
      <c r="A439" s="107"/>
      <c r="B439" s="107"/>
      <c r="C439" s="107"/>
      <c r="D439" s="108"/>
      <c r="E439" s="109"/>
      <c r="F439" s="109"/>
      <c r="G439" s="110"/>
      <c r="H439" s="107"/>
      <c r="I439" s="107"/>
      <c r="J439" s="107"/>
      <c r="K439" s="110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 spans="1:26" ht="12.75" customHeight="1" x14ac:dyDescent="0.3">
      <c r="A440" s="107"/>
      <c r="B440" s="107"/>
      <c r="C440" s="107"/>
      <c r="D440" s="108"/>
      <c r="E440" s="109"/>
      <c r="F440" s="109"/>
      <c r="G440" s="110"/>
      <c r="H440" s="107"/>
      <c r="I440" s="107"/>
      <c r="J440" s="107"/>
      <c r="K440" s="110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 spans="1:26" ht="12.75" customHeight="1" x14ac:dyDescent="0.3">
      <c r="A441" s="107"/>
      <c r="B441" s="107"/>
      <c r="C441" s="107"/>
      <c r="D441" s="108"/>
      <c r="E441" s="109"/>
      <c r="F441" s="109"/>
      <c r="G441" s="110"/>
      <c r="H441" s="107"/>
      <c r="I441" s="107"/>
      <c r="J441" s="107"/>
      <c r="K441" s="110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 spans="1:26" ht="12.75" customHeight="1" x14ac:dyDescent="0.3">
      <c r="A442" s="107"/>
      <c r="B442" s="107"/>
      <c r="C442" s="107"/>
      <c r="D442" s="108"/>
      <c r="E442" s="109"/>
      <c r="F442" s="109"/>
      <c r="G442" s="110"/>
      <c r="H442" s="107"/>
      <c r="I442" s="107"/>
      <c r="J442" s="107"/>
      <c r="K442" s="110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 spans="1:26" ht="12.75" customHeight="1" x14ac:dyDescent="0.3">
      <c r="A443" s="107"/>
      <c r="B443" s="107"/>
      <c r="C443" s="107"/>
      <c r="D443" s="108"/>
      <c r="E443" s="109"/>
      <c r="F443" s="109"/>
      <c r="G443" s="110"/>
      <c r="H443" s="107"/>
      <c r="I443" s="107"/>
      <c r="J443" s="107"/>
      <c r="K443" s="110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 spans="1:26" ht="12.75" customHeight="1" x14ac:dyDescent="0.3">
      <c r="A444" s="107"/>
      <c r="B444" s="107"/>
      <c r="C444" s="107"/>
      <c r="D444" s="108"/>
      <c r="E444" s="109"/>
      <c r="F444" s="109"/>
      <c r="G444" s="110"/>
      <c r="H444" s="107"/>
      <c r="I444" s="107"/>
      <c r="J444" s="107"/>
      <c r="K444" s="110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 spans="1:26" ht="12.75" customHeight="1" x14ac:dyDescent="0.3">
      <c r="A445" s="107"/>
      <c r="B445" s="107"/>
      <c r="C445" s="107"/>
      <c r="D445" s="108"/>
      <c r="E445" s="109"/>
      <c r="F445" s="109"/>
      <c r="G445" s="110"/>
      <c r="H445" s="107"/>
      <c r="I445" s="107"/>
      <c r="J445" s="107"/>
      <c r="K445" s="110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 spans="1:26" ht="12.75" customHeight="1" x14ac:dyDescent="0.3">
      <c r="A446" s="107"/>
      <c r="B446" s="107"/>
      <c r="C446" s="107"/>
      <c r="D446" s="108"/>
      <c r="E446" s="109"/>
      <c r="F446" s="109"/>
      <c r="G446" s="110"/>
      <c r="H446" s="107"/>
      <c r="I446" s="107"/>
      <c r="J446" s="107"/>
      <c r="K446" s="110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 spans="1:26" ht="12.75" customHeight="1" x14ac:dyDescent="0.3">
      <c r="A447" s="107"/>
      <c r="B447" s="107"/>
      <c r="C447" s="107"/>
      <c r="D447" s="108"/>
      <c r="E447" s="109"/>
      <c r="F447" s="109"/>
      <c r="G447" s="110"/>
      <c r="H447" s="107"/>
      <c r="I447" s="107"/>
      <c r="J447" s="107"/>
      <c r="K447" s="110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 spans="1:26" ht="12.75" customHeight="1" x14ac:dyDescent="0.3">
      <c r="A448" s="107"/>
      <c r="B448" s="107"/>
      <c r="C448" s="107"/>
      <c r="D448" s="108"/>
      <c r="E448" s="109"/>
      <c r="F448" s="109"/>
      <c r="G448" s="110"/>
      <c r="H448" s="107"/>
      <c r="I448" s="107"/>
      <c r="J448" s="107"/>
      <c r="K448" s="110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 spans="1:26" ht="12.75" customHeight="1" x14ac:dyDescent="0.3">
      <c r="A449" s="107"/>
      <c r="B449" s="107"/>
      <c r="C449" s="107"/>
      <c r="D449" s="108"/>
      <c r="E449" s="109"/>
      <c r="F449" s="109"/>
      <c r="G449" s="110"/>
      <c r="H449" s="107"/>
      <c r="I449" s="107"/>
      <c r="J449" s="107"/>
      <c r="K449" s="110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 spans="1:26" ht="12.75" customHeight="1" x14ac:dyDescent="0.3">
      <c r="A450" s="107"/>
      <c r="B450" s="107"/>
      <c r="C450" s="107"/>
      <c r="D450" s="108"/>
      <c r="E450" s="109"/>
      <c r="F450" s="109"/>
      <c r="G450" s="110"/>
      <c r="H450" s="107"/>
      <c r="I450" s="107"/>
      <c r="J450" s="107"/>
      <c r="K450" s="110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 spans="1:26" ht="12.75" customHeight="1" x14ac:dyDescent="0.3">
      <c r="A451" s="107"/>
      <c r="B451" s="107"/>
      <c r="C451" s="107"/>
      <c r="D451" s="108"/>
      <c r="E451" s="109"/>
      <c r="F451" s="109"/>
      <c r="G451" s="110"/>
      <c r="H451" s="107"/>
      <c r="I451" s="107"/>
      <c r="J451" s="107"/>
      <c r="K451" s="110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 spans="1:26" ht="12.75" customHeight="1" x14ac:dyDescent="0.3">
      <c r="A452" s="107"/>
      <c r="B452" s="107"/>
      <c r="C452" s="107"/>
      <c r="D452" s="108"/>
      <c r="E452" s="109"/>
      <c r="F452" s="109"/>
      <c r="G452" s="110"/>
      <c r="H452" s="107"/>
      <c r="I452" s="107"/>
      <c r="J452" s="107"/>
      <c r="K452" s="110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 spans="1:26" ht="12.75" customHeight="1" x14ac:dyDescent="0.3">
      <c r="A453" s="107"/>
      <c r="B453" s="107"/>
      <c r="C453" s="107"/>
      <c r="D453" s="108"/>
      <c r="E453" s="109"/>
      <c r="F453" s="109"/>
      <c r="G453" s="110"/>
      <c r="H453" s="107"/>
      <c r="I453" s="107"/>
      <c r="J453" s="107"/>
      <c r="K453" s="110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 spans="1:26" ht="12.75" customHeight="1" x14ac:dyDescent="0.3">
      <c r="A454" s="107"/>
      <c r="B454" s="107"/>
      <c r="C454" s="107"/>
      <c r="D454" s="108"/>
      <c r="E454" s="109"/>
      <c r="F454" s="109"/>
      <c r="G454" s="110"/>
      <c r="H454" s="107"/>
      <c r="I454" s="107"/>
      <c r="J454" s="107"/>
      <c r="K454" s="110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 spans="1:26" ht="12.75" customHeight="1" x14ac:dyDescent="0.3">
      <c r="A455" s="107"/>
      <c r="B455" s="107"/>
      <c r="C455" s="107"/>
      <c r="D455" s="108"/>
      <c r="E455" s="109"/>
      <c r="F455" s="109"/>
      <c r="G455" s="110"/>
      <c r="H455" s="107"/>
      <c r="I455" s="107"/>
      <c r="J455" s="107"/>
      <c r="K455" s="110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 spans="1:26" ht="12.75" customHeight="1" x14ac:dyDescent="0.3">
      <c r="A456" s="107"/>
      <c r="B456" s="107"/>
      <c r="C456" s="107"/>
      <c r="D456" s="108"/>
      <c r="E456" s="109"/>
      <c r="F456" s="109"/>
      <c r="G456" s="110"/>
      <c r="H456" s="107"/>
      <c r="I456" s="107"/>
      <c r="J456" s="107"/>
      <c r="K456" s="110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 spans="1:26" ht="12.75" customHeight="1" x14ac:dyDescent="0.3">
      <c r="A457" s="107"/>
      <c r="B457" s="107"/>
      <c r="C457" s="107"/>
      <c r="D457" s="108"/>
      <c r="E457" s="109"/>
      <c r="F457" s="109"/>
      <c r="G457" s="110"/>
      <c r="H457" s="107"/>
      <c r="I457" s="107"/>
      <c r="J457" s="107"/>
      <c r="K457" s="110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 spans="1:26" ht="12.75" customHeight="1" x14ac:dyDescent="0.3">
      <c r="A458" s="107"/>
      <c r="B458" s="107"/>
      <c r="C458" s="107"/>
      <c r="D458" s="108"/>
      <c r="E458" s="109"/>
      <c r="F458" s="109"/>
      <c r="G458" s="110"/>
      <c r="H458" s="107"/>
      <c r="I458" s="107"/>
      <c r="J458" s="107"/>
      <c r="K458" s="110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 spans="1:26" ht="12.75" customHeight="1" x14ac:dyDescent="0.3">
      <c r="A459" s="107"/>
      <c r="B459" s="107"/>
      <c r="C459" s="107"/>
      <c r="D459" s="108"/>
      <c r="E459" s="109"/>
      <c r="F459" s="109"/>
      <c r="G459" s="110"/>
      <c r="H459" s="107"/>
      <c r="I459" s="107"/>
      <c r="J459" s="107"/>
      <c r="K459" s="110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 spans="1:26" ht="12.75" customHeight="1" x14ac:dyDescent="0.3">
      <c r="A460" s="107"/>
      <c r="B460" s="107"/>
      <c r="C460" s="107"/>
      <c r="D460" s="108"/>
      <c r="E460" s="109"/>
      <c r="F460" s="109"/>
      <c r="G460" s="110"/>
      <c r="H460" s="107"/>
      <c r="I460" s="107"/>
      <c r="J460" s="107"/>
      <c r="K460" s="110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 spans="1:26" ht="12.75" customHeight="1" x14ac:dyDescent="0.3">
      <c r="A461" s="107"/>
      <c r="B461" s="107"/>
      <c r="C461" s="107"/>
      <c r="D461" s="108"/>
      <c r="E461" s="109"/>
      <c r="F461" s="109"/>
      <c r="G461" s="110"/>
      <c r="H461" s="107"/>
      <c r="I461" s="107"/>
      <c r="J461" s="107"/>
      <c r="K461" s="110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 spans="1:26" ht="12.75" customHeight="1" x14ac:dyDescent="0.3">
      <c r="A462" s="107"/>
      <c r="B462" s="107"/>
      <c r="C462" s="107"/>
      <c r="D462" s="108"/>
      <c r="E462" s="109"/>
      <c r="F462" s="109"/>
      <c r="G462" s="110"/>
      <c r="H462" s="107"/>
      <c r="I462" s="107"/>
      <c r="J462" s="107"/>
      <c r="K462" s="110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 spans="1:26" ht="12.75" customHeight="1" x14ac:dyDescent="0.3">
      <c r="A463" s="107"/>
      <c r="B463" s="107"/>
      <c r="C463" s="107"/>
      <c r="D463" s="108"/>
      <c r="E463" s="109"/>
      <c r="F463" s="109"/>
      <c r="G463" s="110"/>
      <c r="H463" s="107"/>
      <c r="I463" s="107"/>
      <c r="J463" s="107"/>
      <c r="K463" s="110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 spans="1:26" ht="12.75" customHeight="1" x14ac:dyDescent="0.3">
      <c r="A464" s="107"/>
      <c r="B464" s="107"/>
      <c r="C464" s="107"/>
      <c r="D464" s="108"/>
      <c r="E464" s="109"/>
      <c r="F464" s="109"/>
      <c r="G464" s="110"/>
      <c r="H464" s="107"/>
      <c r="I464" s="107"/>
      <c r="J464" s="107"/>
      <c r="K464" s="110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 spans="1:26" ht="12.75" customHeight="1" x14ac:dyDescent="0.3">
      <c r="A465" s="107"/>
      <c r="B465" s="107"/>
      <c r="C465" s="107"/>
      <c r="D465" s="108"/>
      <c r="E465" s="109"/>
      <c r="F465" s="109"/>
      <c r="G465" s="110"/>
      <c r="H465" s="107"/>
      <c r="I465" s="107"/>
      <c r="J465" s="107"/>
      <c r="K465" s="110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 spans="1:26" ht="12.75" customHeight="1" x14ac:dyDescent="0.3">
      <c r="A466" s="107"/>
      <c r="B466" s="107"/>
      <c r="C466" s="107"/>
      <c r="D466" s="108"/>
      <c r="E466" s="109"/>
      <c r="F466" s="109"/>
      <c r="G466" s="110"/>
      <c r="H466" s="107"/>
      <c r="I466" s="107"/>
      <c r="J466" s="107"/>
      <c r="K466" s="110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 spans="1:26" ht="12.75" customHeight="1" x14ac:dyDescent="0.3">
      <c r="A467" s="107"/>
      <c r="B467" s="107"/>
      <c r="C467" s="107"/>
      <c r="D467" s="108"/>
      <c r="E467" s="109"/>
      <c r="F467" s="109"/>
      <c r="G467" s="110"/>
      <c r="H467" s="107"/>
      <c r="I467" s="107"/>
      <c r="J467" s="107"/>
      <c r="K467" s="110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 spans="1:26" ht="12.75" customHeight="1" x14ac:dyDescent="0.3">
      <c r="A468" s="107"/>
      <c r="B468" s="107"/>
      <c r="C468" s="107"/>
      <c r="D468" s="108"/>
      <c r="E468" s="109"/>
      <c r="F468" s="109"/>
      <c r="G468" s="110"/>
      <c r="H468" s="107"/>
      <c r="I468" s="107"/>
      <c r="J468" s="107"/>
      <c r="K468" s="110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 spans="1:26" ht="12.75" customHeight="1" x14ac:dyDescent="0.3">
      <c r="A469" s="107"/>
      <c r="B469" s="107"/>
      <c r="C469" s="107"/>
      <c r="D469" s="108"/>
      <c r="E469" s="109"/>
      <c r="F469" s="109"/>
      <c r="G469" s="110"/>
      <c r="H469" s="107"/>
      <c r="I469" s="107"/>
      <c r="J469" s="107"/>
      <c r="K469" s="110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 spans="1:26" ht="12.75" customHeight="1" x14ac:dyDescent="0.3">
      <c r="A470" s="107"/>
      <c r="B470" s="107"/>
      <c r="C470" s="107"/>
      <c r="D470" s="108"/>
      <c r="E470" s="109"/>
      <c r="F470" s="109"/>
      <c r="G470" s="110"/>
      <c r="H470" s="107"/>
      <c r="I470" s="107"/>
      <c r="J470" s="107"/>
      <c r="K470" s="110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 spans="1:26" ht="12.75" customHeight="1" x14ac:dyDescent="0.3">
      <c r="A471" s="107"/>
      <c r="B471" s="107"/>
      <c r="C471" s="107"/>
      <c r="D471" s="108"/>
      <c r="E471" s="109"/>
      <c r="F471" s="109"/>
      <c r="G471" s="110"/>
      <c r="H471" s="107"/>
      <c r="I471" s="107"/>
      <c r="J471" s="107"/>
      <c r="K471" s="110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 spans="1:26" ht="12.75" customHeight="1" x14ac:dyDescent="0.3">
      <c r="A472" s="107"/>
      <c r="B472" s="107"/>
      <c r="C472" s="107"/>
      <c r="D472" s="108"/>
      <c r="E472" s="109"/>
      <c r="F472" s="109"/>
      <c r="G472" s="110"/>
      <c r="H472" s="107"/>
      <c r="I472" s="107"/>
      <c r="J472" s="107"/>
      <c r="K472" s="110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 spans="1:26" ht="12.75" customHeight="1" x14ac:dyDescent="0.3">
      <c r="A473" s="107"/>
      <c r="B473" s="107"/>
      <c r="C473" s="107"/>
      <c r="D473" s="108"/>
      <c r="E473" s="109"/>
      <c r="F473" s="109"/>
      <c r="G473" s="110"/>
      <c r="H473" s="107"/>
      <c r="I473" s="107"/>
      <c r="J473" s="107"/>
      <c r="K473" s="110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 spans="1:26" ht="12.75" customHeight="1" x14ac:dyDescent="0.3">
      <c r="A474" s="107"/>
      <c r="B474" s="107"/>
      <c r="C474" s="107"/>
      <c r="D474" s="108"/>
      <c r="E474" s="109"/>
      <c r="F474" s="109"/>
      <c r="G474" s="110"/>
      <c r="H474" s="107"/>
      <c r="I474" s="107"/>
      <c r="J474" s="107"/>
      <c r="K474" s="110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 spans="1:26" ht="12.75" customHeight="1" x14ac:dyDescent="0.3">
      <c r="A475" s="107"/>
      <c r="B475" s="107"/>
      <c r="C475" s="107"/>
      <c r="D475" s="108"/>
      <c r="E475" s="109"/>
      <c r="F475" s="109"/>
      <c r="G475" s="107"/>
      <c r="H475" s="107"/>
      <c r="I475" s="107"/>
      <c r="J475" s="107"/>
      <c r="K475" s="110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 spans="1:26" ht="12.75" customHeight="1" x14ac:dyDescent="0.3">
      <c r="A476" s="107"/>
      <c r="B476" s="107"/>
      <c r="C476" s="107"/>
      <c r="D476" s="108"/>
      <c r="E476" s="109"/>
      <c r="F476" s="109"/>
      <c r="G476" s="107"/>
      <c r="H476" s="107"/>
      <c r="I476" s="107"/>
      <c r="J476" s="107"/>
      <c r="K476" s="110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 spans="1:26" ht="12.75" customHeight="1" x14ac:dyDescent="0.3">
      <c r="A477" s="107"/>
      <c r="B477" s="107"/>
      <c r="C477" s="107"/>
      <c r="D477" s="108"/>
      <c r="E477" s="109"/>
      <c r="F477" s="109"/>
      <c r="G477" s="107"/>
      <c r="H477" s="107"/>
      <c r="I477" s="107"/>
      <c r="J477" s="107"/>
      <c r="K477" s="110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 spans="1:26" ht="12.75" customHeight="1" x14ac:dyDescent="0.3">
      <c r="A478" s="107"/>
      <c r="B478" s="107"/>
      <c r="C478" s="107"/>
      <c r="D478" s="108"/>
      <c r="E478" s="109"/>
      <c r="F478" s="109"/>
      <c r="G478" s="107"/>
      <c r="H478" s="107"/>
      <c r="I478" s="107"/>
      <c r="J478" s="107"/>
      <c r="K478" s="110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 spans="1:26" ht="12.75" customHeight="1" x14ac:dyDescent="0.3">
      <c r="A479" s="107"/>
      <c r="B479" s="107"/>
      <c r="C479" s="107"/>
      <c r="D479" s="108"/>
      <c r="E479" s="109"/>
      <c r="F479" s="109"/>
      <c r="G479" s="107"/>
      <c r="H479" s="107"/>
      <c r="I479" s="107"/>
      <c r="J479" s="107"/>
      <c r="K479" s="110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 spans="1:26" ht="12.75" customHeight="1" x14ac:dyDescent="0.3">
      <c r="A480" s="107"/>
      <c r="B480" s="107"/>
      <c r="C480" s="107"/>
      <c r="D480" s="108"/>
      <c r="E480" s="109"/>
      <c r="F480" s="109"/>
      <c r="G480" s="107"/>
      <c r="H480" s="107"/>
      <c r="I480" s="107"/>
      <c r="J480" s="107"/>
      <c r="K480" s="110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 spans="1:26" ht="12.75" customHeight="1" x14ac:dyDescent="0.3">
      <c r="A481" s="107"/>
      <c r="B481" s="107"/>
      <c r="C481" s="107"/>
      <c r="D481" s="108"/>
      <c r="E481" s="109"/>
      <c r="F481" s="109"/>
      <c r="G481" s="107"/>
      <c r="H481" s="107"/>
      <c r="I481" s="107"/>
      <c r="J481" s="107"/>
      <c r="K481" s="110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 spans="1:26" ht="12.75" customHeight="1" x14ac:dyDescent="0.3">
      <c r="A482" s="107"/>
      <c r="B482" s="107"/>
      <c r="C482" s="107"/>
      <c r="D482" s="108"/>
      <c r="E482" s="109"/>
      <c r="F482" s="109"/>
      <c r="G482" s="107"/>
      <c r="H482" s="107"/>
      <c r="I482" s="107"/>
      <c r="J482" s="107"/>
      <c r="K482" s="110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 spans="1:26" ht="12.75" customHeight="1" x14ac:dyDescent="0.3">
      <c r="A483" s="107"/>
      <c r="B483" s="107"/>
      <c r="C483" s="107"/>
      <c r="D483" s="108"/>
      <c r="E483" s="109"/>
      <c r="F483" s="109"/>
      <c r="G483" s="107"/>
      <c r="H483" s="107"/>
      <c r="I483" s="107"/>
      <c r="J483" s="107"/>
      <c r="K483" s="110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 spans="1:26" ht="12.75" customHeight="1" x14ac:dyDescent="0.3">
      <c r="A484" s="107"/>
      <c r="B484" s="107"/>
      <c r="C484" s="107"/>
      <c r="D484" s="108"/>
      <c r="E484" s="109"/>
      <c r="F484" s="109"/>
      <c r="G484" s="107"/>
      <c r="H484" s="107"/>
      <c r="I484" s="107"/>
      <c r="J484" s="107"/>
      <c r="K484" s="110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 spans="1:26" ht="12.75" customHeight="1" x14ac:dyDescent="0.3">
      <c r="A485" s="107"/>
      <c r="B485" s="107"/>
      <c r="C485" s="107"/>
      <c r="D485" s="108"/>
      <c r="E485" s="109"/>
      <c r="F485" s="109"/>
      <c r="G485" s="107"/>
      <c r="H485" s="107"/>
      <c r="I485" s="107"/>
      <c r="J485" s="107"/>
      <c r="K485" s="110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 spans="1:26" ht="12.75" customHeight="1" x14ac:dyDescent="0.3">
      <c r="A486" s="107"/>
      <c r="B486" s="107"/>
      <c r="C486" s="107"/>
      <c r="D486" s="108"/>
      <c r="E486" s="109"/>
      <c r="F486" s="109"/>
      <c r="G486" s="107"/>
      <c r="H486" s="107"/>
      <c r="I486" s="107"/>
      <c r="J486" s="107"/>
      <c r="K486" s="110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 spans="1:26" ht="12.75" customHeight="1" x14ac:dyDescent="0.3">
      <c r="A487" s="107"/>
      <c r="B487" s="107"/>
      <c r="C487" s="107"/>
      <c r="D487" s="108"/>
      <c r="E487" s="109"/>
      <c r="F487" s="109"/>
      <c r="G487" s="107"/>
      <c r="H487" s="107"/>
      <c r="I487" s="107"/>
      <c r="J487" s="107"/>
      <c r="K487" s="110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 spans="1:26" ht="12.75" customHeight="1" x14ac:dyDescent="0.3">
      <c r="A488" s="107"/>
      <c r="B488" s="107"/>
      <c r="C488" s="107"/>
      <c r="D488" s="108"/>
      <c r="E488" s="109"/>
      <c r="F488" s="109"/>
      <c r="G488" s="107"/>
      <c r="H488" s="107"/>
      <c r="I488" s="107"/>
      <c r="J488" s="107"/>
      <c r="K488" s="110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 spans="1:26" ht="12.75" customHeight="1" x14ac:dyDescent="0.3">
      <c r="A489" s="107"/>
      <c r="B489" s="107"/>
      <c r="C489" s="107"/>
      <c r="D489" s="108"/>
      <c r="E489" s="109"/>
      <c r="F489" s="109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 spans="1:26" ht="12.75" customHeight="1" x14ac:dyDescent="0.3">
      <c r="A490" s="107"/>
      <c r="B490" s="107"/>
      <c r="C490" s="107"/>
      <c r="D490" s="108"/>
      <c r="E490" s="109"/>
      <c r="F490" s="109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 spans="1:26" ht="12.75" customHeight="1" x14ac:dyDescent="0.3">
      <c r="A491" s="107"/>
      <c r="B491" s="107"/>
      <c r="C491" s="107"/>
      <c r="D491" s="108"/>
      <c r="E491" s="109"/>
      <c r="F491" s="109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 spans="1:26" ht="12.75" customHeight="1" x14ac:dyDescent="0.3">
      <c r="A492" s="107"/>
      <c r="B492" s="107"/>
      <c r="C492" s="107"/>
      <c r="D492" s="108"/>
      <c r="E492" s="109"/>
      <c r="F492" s="109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 spans="1:26" ht="12.75" customHeight="1" x14ac:dyDescent="0.3">
      <c r="A493" s="107"/>
      <c r="B493" s="107"/>
      <c r="C493" s="107"/>
      <c r="D493" s="108"/>
      <c r="E493" s="109"/>
      <c r="F493" s="109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 spans="1:26" ht="12.75" customHeight="1" x14ac:dyDescent="0.3">
      <c r="A494" s="107"/>
      <c r="B494" s="107"/>
      <c r="C494" s="107"/>
      <c r="D494" s="108"/>
      <c r="E494" s="109"/>
      <c r="F494" s="109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 spans="1:26" ht="12.75" customHeight="1" x14ac:dyDescent="0.3">
      <c r="A495" s="107"/>
      <c r="B495" s="107"/>
      <c r="C495" s="107"/>
      <c r="D495" s="108"/>
      <c r="E495" s="109"/>
      <c r="F495" s="109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 spans="1:26" ht="12.75" customHeight="1" x14ac:dyDescent="0.3">
      <c r="A496" s="107"/>
      <c r="B496" s="107"/>
      <c r="C496" s="107"/>
      <c r="D496" s="108"/>
      <c r="E496" s="109"/>
      <c r="F496" s="109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 spans="1:26" ht="12.75" customHeight="1" x14ac:dyDescent="0.3">
      <c r="A497" s="107"/>
      <c r="B497" s="107"/>
      <c r="C497" s="107"/>
      <c r="D497" s="108"/>
      <c r="E497" s="109"/>
      <c r="F497" s="109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 spans="1:26" ht="12.75" customHeight="1" x14ac:dyDescent="0.3">
      <c r="A498" s="107"/>
      <c r="B498" s="107"/>
      <c r="C498" s="107"/>
      <c r="D498" s="108"/>
      <c r="E498" s="109"/>
      <c r="F498" s="109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 spans="1:26" ht="12.75" customHeight="1" x14ac:dyDescent="0.3">
      <c r="A499" s="107"/>
      <c r="B499" s="107"/>
      <c r="C499" s="107"/>
      <c r="D499" s="108"/>
      <c r="E499" s="109"/>
      <c r="F499" s="109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 spans="1:26" ht="12.75" customHeight="1" x14ac:dyDescent="0.3">
      <c r="A500" s="107"/>
      <c r="B500" s="107"/>
      <c r="C500" s="107"/>
      <c r="D500" s="108"/>
      <c r="E500" s="109"/>
      <c r="F500" s="109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 spans="1:26" ht="12.75" customHeight="1" x14ac:dyDescent="0.3">
      <c r="A501" s="107"/>
      <c r="B501" s="107"/>
      <c r="C501" s="107"/>
      <c r="D501" s="108"/>
      <c r="E501" s="109"/>
      <c r="F501" s="109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 spans="1:26" ht="12.75" customHeight="1" x14ac:dyDescent="0.3">
      <c r="A502" s="107"/>
      <c r="B502" s="107"/>
      <c r="C502" s="107"/>
      <c r="D502" s="108"/>
      <c r="E502" s="109"/>
      <c r="F502" s="109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 spans="1:26" ht="12.75" customHeight="1" x14ac:dyDescent="0.3">
      <c r="A503" s="107"/>
      <c r="B503" s="107"/>
      <c r="C503" s="107"/>
      <c r="D503" s="108"/>
      <c r="E503" s="109"/>
      <c r="F503" s="109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 spans="1:26" ht="12.75" customHeight="1" x14ac:dyDescent="0.3">
      <c r="A504" s="107"/>
      <c r="B504" s="107"/>
      <c r="C504" s="107"/>
      <c r="D504" s="108"/>
      <c r="E504" s="109"/>
      <c r="F504" s="109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 spans="1:26" ht="12.75" customHeight="1" x14ac:dyDescent="0.3">
      <c r="A505" s="107"/>
      <c r="B505" s="107"/>
      <c r="C505" s="107"/>
      <c r="D505" s="108"/>
      <c r="E505" s="109"/>
      <c r="F505" s="109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 spans="1:26" ht="12.75" customHeight="1" x14ac:dyDescent="0.3">
      <c r="A506" s="107"/>
      <c r="B506" s="107"/>
      <c r="C506" s="107"/>
      <c r="D506" s="108"/>
      <c r="E506" s="109"/>
      <c r="F506" s="109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 spans="1:26" ht="12.75" customHeight="1" x14ac:dyDescent="0.3">
      <c r="A507" s="107"/>
      <c r="B507" s="107"/>
      <c r="C507" s="107"/>
      <c r="D507" s="108"/>
      <c r="E507" s="109"/>
      <c r="F507" s="109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 spans="1:26" ht="12.75" customHeight="1" x14ac:dyDescent="0.3">
      <c r="A508" s="107"/>
      <c r="B508" s="107"/>
      <c r="C508" s="107"/>
      <c r="D508" s="108"/>
      <c r="E508" s="109"/>
      <c r="F508" s="109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 spans="1:26" ht="12.75" customHeight="1" x14ac:dyDescent="0.3">
      <c r="A509" s="107"/>
      <c r="B509" s="107"/>
      <c r="C509" s="107"/>
      <c r="D509" s="108"/>
      <c r="E509" s="109"/>
      <c r="F509" s="109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 spans="1:26" ht="12.75" customHeight="1" x14ac:dyDescent="0.3">
      <c r="A510" s="107"/>
      <c r="B510" s="107"/>
      <c r="C510" s="107"/>
      <c r="D510" s="108"/>
      <c r="E510" s="109"/>
      <c r="F510" s="109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 spans="1:26" ht="12.75" customHeight="1" x14ac:dyDescent="0.3">
      <c r="A511" s="107"/>
      <c r="B511" s="107"/>
      <c r="C511" s="107"/>
      <c r="D511" s="108"/>
      <c r="E511" s="109"/>
      <c r="F511" s="109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 spans="1:26" ht="12.75" customHeight="1" x14ac:dyDescent="0.3">
      <c r="A512" s="107"/>
      <c r="B512" s="107"/>
      <c r="C512" s="107"/>
      <c r="D512" s="108"/>
      <c r="E512" s="109"/>
      <c r="F512" s="109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 spans="1:26" ht="12.75" customHeight="1" x14ac:dyDescent="0.3">
      <c r="A513" s="107"/>
      <c r="B513" s="107"/>
      <c r="C513" s="107"/>
      <c r="D513" s="108"/>
      <c r="E513" s="109"/>
      <c r="F513" s="109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 spans="1:26" ht="12.75" customHeight="1" x14ac:dyDescent="0.3">
      <c r="A514" s="107"/>
      <c r="B514" s="107"/>
      <c r="C514" s="107"/>
      <c r="D514" s="108"/>
      <c r="E514" s="109"/>
      <c r="F514" s="109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 spans="1:26" ht="12.75" customHeight="1" x14ac:dyDescent="0.3">
      <c r="A515" s="107"/>
      <c r="B515" s="107"/>
      <c r="C515" s="107"/>
      <c r="D515" s="108"/>
      <c r="E515" s="109"/>
      <c r="F515" s="109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 spans="1:26" ht="12.75" customHeight="1" x14ac:dyDescent="0.3">
      <c r="A516" s="107"/>
      <c r="B516" s="107"/>
      <c r="C516" s="107"/>
      <c r="D516" s="108"/>
      <c r="E516" s="109"/>
      <c r="F516" s="109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 spans="1:26" ht="12.75" customHeight="1" x14ac:dyDescent="0.3">
      <c r="A517" s="107"/>
      <c r="B517" s="107"/>
      <c r="C517" s="107"/>
      <c r="D517" s="108"/>
      <c r="E517" s="109"/>
      <c r="F517" s="109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 spans="1:26" ht="12.75" customHeight="1" x14ac:dyDescent="0.3">
      <c r="A518" s="107"/>
      <c r="B518" s="107"/>
      <c r="C518" s="107"/>
      <c r="D518" s="108"/>
      <c r="E518" s="109"/>
      <c r="F518" s="109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 spans="1:26" ht="12.75" customHeight="1" x14ac:dyDescent="0.3">
      <c r="A519" s="107"/>
      <c r="B519" s="107"/>
      <c r="C519" s="107"/>
      <c r="D519" s="108"/>
      <c r="E519" s="109"/>
      <c r="F519" s="109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 spans="1:26" ht="12.75" customHeight="1" x14ac:dyDescent="0.3">
      <c r="A520" s="107"/>
      <c r="B520" s="107"/>
      <c r="C520" s="107"/>
      <c r="D520" s="108"/>
      <c r="E520" s="109"/>
      <c r="F520" s="109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 spans="1:26" ht="12.75" customHeight="1" x14ac:dyDescent="0.3">
      <c r="A521" s="107"/>
      <c r="B521" s="107"/>
      <c r="C521" s="107"/>
      <c r="D521" s="108"/>
      <c r="E521" s="109"/>
      <c r="F521" s="109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 spans="1:26" ht="12.75" customHeight="1" x14ac:dyDescent="0.3">
      <c r="A522" s="107"/>
      <c r="B522" s="107"/>
      <c r="C522" s="107"/>
      <c r="D522" s="108"/>
      <c r="E522" s="109"/>
      <c r="F522" s="109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 spans="1:26" ht="12.75" customHeight="1" x14ac:dyDescent="0.3">
      <c r="A523" s="107"/>
      <c r="B523" s="107"/>
      <c r="C523" s="107"/>
      <c r="D523" s="108"/>
      <c r="E523" s="109"/>
      <c r="F523" s="109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 spans="1:26" ht="12.75" customHeight="1" x14ac:dyDescent="0.3">
      <c r="A524" s="107"/>
      <c r="B524" s="107"/>
      <c r="C524" s="107"/>
      <c r="D524" s="108"/>
      <c r="E524" s="109"/>
      <c r="F524" s="109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 spans="1:26" ht="12.75" customHeight="1" x14ac:dyDescent="0.3">
      <c r="A525" s="107"/>
      <c r="B525" s="107"/>
      <c r="C525" s="107"/>
      <c r="D525" s="108"/>
      <c r="E525" s="109"/>
      <c r="F525" s="109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 spans="1:26" ht="12.75" customHeight="1" x14ac:dyDescent="0.3">
      <c r="A526" s="107"/>
      <c r="B526" s="107"/>
      <c r="C526" s="107"/>
      <c r="D526" s="108"/>
      <c r="E526" s="109"/>
      <c r="F526" s="109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 spans="1:26" ht="12.75" customHeight="1" x14ac:dyDescent="0.3">
      <c r="A527" s="107"/>
      <c r="B527" s="107"/>
      <c r="C527" s="107"/>
      <c r="D527" s="108"/>
      <c r="E527" s="109"/>
      <c r="F527" s="109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 spans="1:26" ht="12.75" customHeight="1" x14ac:dyDescent="0.3">
      <c r="A528" s="107"/>
      <c r="B528" s="107"/>
      <c r="C528" s="107"/>
      <c r="D528" s="108"/>
      <c r="E528" s="109"/>
      <c r="F528" s="109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 spans="1:26" ht="12.75" customHeight="1" x14ac:dyDescent="0.3">
      <c r="A529" s="107"/>
      <c r="B529" s="107"/>
      <c r="C529" s="107"/>
      <c r="D529" s="108"/>
      <c r="E529" s="109"/>
      <c r="F529" s="109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 spans="1:26" ht="12.75" customHeight="1" x14ac:dyDescent="0.3">
      <c r="A530" s="107"/>
      <c r="B530" s="107"/>
      <c r="C530" s="107"/>
      <c r="D530" s="108"/>
      <c r="E530" s="109"/>
      <c r="F530" s="109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 spans="1:26" ht="12.75" customHeight="1" x14ac:dyDescent="0.3">
      <c r="A531" s="107"/>
      <c r="B531" s="107"/>
      <c r="C531" s="107"/>
      <c r="D531" s="108"/>
      <c r="E531" s="109"/>
      <c r="F531" s="109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 spans="1:26" ht="12.75" customHeight="1" x14ac:dyDescent="0.3">
      <c r="A532" s="107"/>
      <c r="B532" s="107"/>
      <c r="C532" s="107"/>
      <c r="D532" s="108"/>
      <c r="E532" s="109"/>
      <c r="F532" s="109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 spans="1:26" ht="12.75" customHeight="1" x14ac:dyDescent="0.3">
      <c r="A533" s="107"/>
      <c r="B533" s="107"/>
      <c r="C533" s="107"/>
      <c r="D533" s="108"/>
      <c r="E533" s="109"/>
      <c r="F533" s="109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 spans="1:26" ht="12.75" customHeight="1" x14ac:dyDescent="0.3">
      <c r="A534" s="107"/>
      <c r="B534" s="107"/>
      <c r="C534" s="107"/>
      <c r="D534" s="108"/>
      <c r="E534" s="109"/>
      <c r="F534" s="109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 spans="1:26" ht="12.75" customHeight="1" x14ac:dyDescent="0.3">
      <c r="A535" s="107"/>
      <c r="B535" s="107"/>
      <c r="C535" s="107"/>
      <c r="D535" s="108"/>
      <c r="E535" s="109"/>
      <c r="F535" s="109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 spans="1:26" ht="12.75" customHeight="1" x14ac:dyDescent="0.3">
      <c r="A536" s="107"/>
      <c r="B536" s="107"/>
      <c r="C536" s="107"/>
      <c r="D536" s="108"/>
      <c r="E536" s="109"/>
      <c r="F536" s="109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 spans="1:26" ht="12.75" customHeight="1" x14ac:dyDescent="0.3">
      <c r="A537" s="107"/>
      <c r="B537" s="107"/>
      <c r="C537" s="107"/>
      <c r="D537" s="108"/>
      <c r="E537" s="109"/>
      <c r="F537" s="109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 spans="1:26" ht="12.75" customHeight="1" x14ac:dyDescent="0.3">
      <c r="A538" s="107"/>
      <c r="B538" s="107"/>
      <c r="C538" s="107"/>
      <c r="D538" s="108"/>
      <c r="E538" s="109"/>
      <c r="F538" s="109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 spans="1:26" ht="12.75" customHeight="1" x14ac:dyDescent="0.3">
      <c r="A539" s="107"/>
      <c r="B539" s="107"/>
      <c r="C539" s="107"/>
      <c r="D539" s="108"/>
      <c r="E539" s="109"/>
      <c r="F539" s="109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 spans="1:26" ht="12.75" customHeight="1" x14ac:dyDescent="0.3">
      <c r="A540" s="107"/>
      <c r="B540" s="107"/>
      <c r="C540" s="107"/>
      <c r="D540" s="108"/>
      <c r="E540" s="109"/>
      <c r="F540" s="109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 spans="1:26" ht="12.75" customHeight="1" x14ac:dyDescent="0.3">
      <c r="A541" s="107"/>
      <c r="B541" s="107"/>
      <c r="C541" s="107"/>
      <c r="D541" s="108"/>
      <c r="E541" s="109"/>
      <c r="F541" s="109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 spans="1:26" ht="12.75" customHeight="1" x14ac:dyDescent="0.3">
      <c r="A542" s="107"/>
      <c r="B542" s="107"/>
      <c r="C542" s="107"/>
      <c r="D542" s="108"/>
      <c r="E542" s="109"/>
      <c r="F542" s="109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 spans="1:26" ht="12.75" customHeight="1" x14ac:dyDescent="0.3">
      <c r="A543" s="107"/>
      <c r="B543" s="107"/>
      <c r="C543" s="107"/>
      <c r="D543" s="108"/>
      <c r="E543" s="109"/>
      <c r="F543" s="109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 spans="1:26" ht="12.75" customHeight="1" x14ac:dyDescent="0.3">
      <c r="A544" s="107"/>
      <c r="B544" s="107"/>
      <c r="C544" s="107"/>
      <c r="D544" s="108"/>
      <c r="E544" s="109"/>
      <c r="F544" s="109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 spans="1:26" ht="12.75" customHeight="1" x14ac:dyDescent="0.3">
      <c r="A545" s="107"/>
      <c r="B545" s="107"/>
      <c r="C545" s="107"/>
      <c r="D545" s="108"/>
      <c r="E545" s="109"/>
      <c r="F545" s="109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 spans="1:26" ht="12.75" customHeight="1" x14ac:dyDescent="0.3">
      <c r="A546" s="107"/>
      <c r="B546" s="107"/>
      <c r="C546" s="107"/>
      <c r="D546" s="108"/>
      <c r="E546" s="109"/>
      <c r="F546" s="109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 spans="1:26" ht="12.75" customHeight="1" x14ac:dyDescent="0.3">
      <c r="A547" s="107"/>
      <c r="B547" s="107"/>
      <c r="C547" s="107"/>
      <c r="D547" s="108"/>
      <c r="E547" s="109"/>
      <c r="F547" s="109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 spans="1:26" ht="12.75" customHeight="1" x14ac:dyDescent="0.3">
      <c r="A548" s="107"/>
      <c r="B548" s="107"/>
      <c r="C548" s="107"/>
      <c r="D548" s="108"/>
      <c r="E548" s="109"/>
      <c r="F548" s="109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 spans="1:26" ht="12.75" customHeight="1" x14ac:dyDescent="0.3">
      <c r="A549" s="107"/>
      <c r="B549" s="107"/>
      <c r="C549" s="107"/>
      <c r="D549" s="108"/>
      <c r="E549" s="109"/>
      <c r="F549" s="109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 spans="1:26" ht="12.75" customHeight="1" x14ac:dyDescent="0.3">
      <c r="A550" s="107"/>
      <c r="B550" s="107"/>
      <c r="C550" s="107"/>
      <c r="D550" s="108"/>
      <c r="E550" s="109"/>
      <c r="F550" s="109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 spans="1:26" ht="12.75" customHeight="1" x14ac:dyDescent="0.3">
      <c r="A551" s="107"/>
      <c r="B551" s="107"/>
      <c r="C551" s="107"/>
      <c r="D551" s="108"/>
      <c r="E551" s="109"/>
      <c r="F551" s="109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 spans="1:26" ht="12.75" customHeight="1" x14ac:dyDescent="0.3">
      <c r="A552" s="107"/>
      <c r="B552" s="107"/>
      <c r="C552" s="107"/>
      <c r="D552" s="108"/>
      <c r="E552" s="109"/>
      <c r="F552" s="109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 spans="1:26" ht="12.75" customHeight="1" x14ac:dyDescent="0.3">
      <c r="A553" s="107"/>
      <c r="B553" s="107"/>
      <c r="C553" s="107"/>
      <c r="D553" s="108"/>
      <c r="E553" s="109"/>
      <c r="F553" s="109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 spans="1:26" ht="12.75" customHeight="1" x14ac:dyDescent="0.3">
      <c r="A554" s="107"/>
      <c r="B554" s="107"/>
      <c r="C554" s="107"/>
      <c r="D554" s="108"/>
      <c r="E554" s="109"/>
      <c r="F554" s="109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 spans="1:26" ht="12.75" customHeight="1" x14ac:dyDescent="0.3">
      <c r="A555" s="107"/>
      <c r="B555" s="107"/>
      <c r="C555" s="107"/>
      <c r="D555" s="108"/>
      <c r="E555" s="109"/>
      <c r="F555" s="109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 spans="1:26" ht="12.75" customHeight="1" x14ac:dyDescent="0.3">
      <c r="A556" s="107"/>
      <c r="B556" s="107"/>
      <c r="C556" s="107"/>
      <c r="D556" s="108"/>
      <c r="E556" s="109"/>
      <c r="F556" s="109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 spans="1:26" ht="12.75" customHeight="1" x14ac:dyDescent="0.3">
      <c r="A557" s="107"/>
      <c r="B557" s="107"/>
      <c r="C557" s="107"/>
      <c r="D557" s="108"/>
      <c r="E557" s="109"/>
      <c r="F557" s="109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 spans="1:26" ht="12.75" customHeight="1" x14ac:dyDescent="0.3">
      <c r="A558" s="107"/>
      <c r="B558" s="107"/>
      <c r="C558" s="107"/>
      <c r="D558" s="108"/>
      <c r="E558" s="109"/>
      <c r="F558" s="109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 spans="1:26" ht="12.75" customHeight="1" x14ac:dyDescent="0.3">
      <c r="A559" s="107"/>
      <c r="B559" s="107"/>
      <c r="C559" s="107"/>
      <c r="D559" s="108"/>
      <c r="E559" s="109"/>
      <c r="F559" s="109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 spans="1:26" ht="12.75" customHeight="1" x14ac:dyDescent="0.3">
      <c r="A560" s="107"/>
      <c r="B560" s="107"/>
      <c r="C560" s="107"/>
      <c r="D560" s="108"/>
      <c r="E560" s="109"/>
      <c r="F560" s="109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 spans="1:26" ht="12.75" customHeight="1" x14ac:dyDescent="0.3">
      <c r="A561" s="107"/>
      <c r="B561" s="107"/>
      <c r="C561" s="107"/>
      <c r="D561" s="108"/>
      <c r="E561" s="109"/>
      <c r="F561" s="109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 spans="1:26" ht="12.75" customHeight="1" x14ac:dyDescent="0.3">
      <c r="A562" s="107"/>
      <c r="B562" s="107"/>
      <c r="C562" s="107"/>
      <c r="D562" s="108"/>
      <c r="E562" s="109"/>
      <c r="F562" s="109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 spans="1:26" ht="12.75" customHeight="1" x14ac:dyDescent="0.3">
      <c r="A563" s="107"/>
      <c r="B563" s="107"/>
      <c r="C563" s="107"/>
      <c r="D563" s="108"/>
      <c r="E563" s="109"/>
      <c r="F563" s="109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 spans="1:26" ht="12.75" customHeight="1" x14ac:dyDescent="0.3">
      <c r="A564" s="107"/>
      <c r="B564" s="107"/>
      <c r="C564" s="107"/>
      <c r="D564" s="108"/>
      <c r="E564" s="109"/>
      <c r="F564" s="109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 spans="1:26" ht="12.75" customHeight="1" x14ac:dyDescent="0.3">
      <c r="A565" s="107"/>
      <c r="B565" s="107"/>
      <c r="C565" s="107"/>
      <c r="D565" s="108"/>
      <c r="E565" s="109"/>
      <c r="F565" s="109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 spans="1:26" ht="12.75" customHeight="1" x14ac:dyDescent="0.3">
      <c r="A566" s="107"/>
      <c r="B566" s="107"/>
      <c r="C566" s="107"/>
      <c r="D566" s="108"/>
      <c r="E566" s="109"/>
      <c r="F566" s="109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 spans="1:26" ht="12.75" customHeight="1" x14ac:dyDescent="0.3">
      <c r="A567" s="107"/>
      <c r="B567" s="107"/>
      <c r="C567" s="107"/>
      <c r="D567" s="108"/>
      <c r="E567" s="109"/>
      <c r="F567" s="109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 spans="1:26" ht="12.75" customHeight="1" x14ac:dyDescent="0.3">
      <c r="A568" s="107"/>
      <c r="B568" s="107"/>
      <c r="C568" s="107"/>
      <c r="D568" s="108"/>
      <c r="E568" s="109"/>
      <c r="F568" s="109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 spans="1:26" ht="12.75" customHeight="1" x14ac:dyDescent="0.3">
      <c r="A569" s="107"/>
      <c r="B569" s="107"/>
      <c r="C569" s="107"/>
      <c r="D569" s="108"/>
      <c r="E569" s="109"/>
      <c r="F569" s="109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 spans="1:26" ht="12.75" customHeight="1" x14ac:dyDescent="0.3">
      <c r="A570" s="107"/>
      <c r="B570" s="107"/>
      <c r="C570" s="107"/>
      <c r="D570" s="108"/>
      <c r="E570" s="109"/>
      <c r="F570" s="109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 spans="1:26" ht="12.75" customHeight="1" x14ac:dyDescent="0.3">
      <c r="A571" s="107"/>
      <c r="B571" s="107"/>
      <c r="C571" s="107"/>
      <c r="D571" s="108"/>
      <c r="E571" s="109"/>
      <c r="F571" s="109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 spans="1:26" ht="12.75" customHeight="1" x14ac:dyDescent="0.3">
      <c r="A572" s="107"/>
      <c r="B572" s="107"/>
      <c r="C572" s="107"/>
      <c r="D572" s="108"/>
      <c r="E572" s="109"/>
      <c r="F572" s="109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 spans="1:26" ht="12.75" customHeight="1" x14ac:dyDescent="0.3">
      <c r="A573" s="107"/>
      <c r="B573" s="107"/>
      <c r="C573" s="107"/>
      <c r="D573" s="108"/>
      <c r="E573" s="109"/>
      <c r="F573" s="109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 spans="1:26" ht="12.75" customHeight="1" x14ac:dyDescent="0.3">
      <c r="A574" s="107"/>
      <c r="B574" s="107"/>
      <c r="C574" s="107"/>
      <c r="D574" s="108"/>
      <c r="E574" s="109"/>
      <c r="F574" s="109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 spans="1:26" ht="12.75" customHeight="1" x14ac:dyDescent="0.3">
      <c r="A575" s="107"/>
      <c r="B575" s="107"/>
      <c r="C575" s="107"/>
      <c r="D575" s="108"/>
      <c r="E575" s="109"/>
      <c r="F575" s="109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 spans="1:26" ht="12.75" customHeight="1" x14ac:dyDescent="0.3">
      <c r="A576" s="107"/>
      <c r="B576" s="107"/>
      <c r="C576" s="107"/>
      <c r="D576" s="108"/>
      <c r="E576" s="109"/>
      <c r="F576" s="109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 spans="1:26" ht="12.75" customHeight="1" x14ac:dyDescent="0.3">
      <c r="A577" s="107"/>
      <c r="B577" s="107"/>
      <c r="C577" s="107"/>
      <c r="D577" s="108"/>
      <c r="E577" s="109"/>
      <c r="F577" s="109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 spans="1:26" ht="12.75" customHeight="1" x14ac:dyDescent="0.3">
      <c r="A578" s="107"/>
      <c r="B578" s="107"/>
      <c r="C578" s="107"/>
      <c r="D578" s="108"/>
      <c r="E578" s="109"/>
      <c r="F578" s="109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 spans="1:26" ht="12.75" customHeight="1" x14ac:dyDescent="0.3">
      <c r="A579" s="107"/>
      <c r="B579" s="107"/>
      <c r="C579" s="107"/>
      <c r="D579" s="108"/>
      <c r="E579" s="109"/>
      <c r="F579" s="109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 spans="1:26" ht="12.75" customHeight="1" x14ac:dyDescent="0.3">
      <c r="A580" s="107"/>
      <c r="B580" s="107"/>
      <c r="C580" s="107"/>
      <c r="D580" s="108"/>
      <c r="E580" s="109"/>
      <c r="F580" s="109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 spans="1:26" ht="12.75" customHeight="1" x14ac:dyDescent="0.3">
      <c r="A581" s="107"/>
      <c r="B581" s="107"/>
      <c r="C581" s="107"/>
      <c r="D581" s="108"/>
      <c r="E581" s="109"/>
      <c r="F581" s="109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 spans="1:26" ht="12.75" customHeight="1" x14ac:dyDescent="0.3">
      <c r="A582" s="107"/>
      <c r="B582" s="107"/>
      <c r="C582" s="107"/>
      <c r="D582" s="108"/>
      <c r="E582" s="109"/>
      <c r="F582" s="109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 spans="1:26" ht="12.75" customHeight="1" x14ac:dyDescent="0.3">
      <c r="A583" s="107"/>
      <c r="B583" s="107"/>
      <c r="C583" s="107"/>
      <c r="D583" s="108"/>
      <c r="E583" s="109"/>
      <c r="F583" s="109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 spans="1:26" ht="12.75" customHeight="1" x14ac:dyDescent="0.3">
      <c r="A584" s="107"/>
      <c r="B584" s="107"/>
      <c r="C584" s="107"/>
      <c r="D584" s="108"/>
      <c r="E584" s="109"/>
      <c r="F584" s="109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 spans="1:26" ht="12.75" customHeight="1" x14ac:dyDescent="0.3">
      <c r="A585" s="107"/>
      <c r="B585" s="107"/>
      <c r="C585" s="107"/>
      <c r="D585" s="108"/>
      <c r="E585" s="109"/>
      <c r="F585" s="109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 spans="1:26" ht="12.75" customHeight="1" x14ac:dyDescent="0.3">
      <c r="A586" s="107"/>
      <c r="B586" s="107"/>
      <c r="C586" s="107"/>
      <c r="D586" s="108"/>
      <c r="E586" s="109"/>
      <c r="F586" s="109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 spans="1:26" ht="12.75" customHeight="1" x14ac:dyDescent="0.3">
      <c r="A587" s="107"/>
      <c r="B587" s="107"/>
      <c r="C587" s="107"/>
      <c r="D587" s="108"/>
      <c r="E587" s="109"/>
      <c r="F587" s="109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 spans="1:26" ht="12.75" customHeight="1" x14ac:dyDescent="0.3">
      <c r="A588" s="107"/>
      <c r="B588" s="107"/>
      <c r="C588" s="107"/>
      <c r="D588" s="108"/>
      <c r="E588" s="109"/>
      <c r="F588" s="109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 spans="1:26" ht="12.75" customHeight="1" x14ac:dyDescent="0.3">
      <c r="A589" s="107"/>
      <c r="B589" s="107"/>
      <c r="C589" s="107"/>
      <c r="D589" s="108"/>
      <c r="E589" s="109"/>
      <c r="F589" s="109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 spans="1:26" ht="12.75" customHeight="1" x14ac:dyDescent="0.3">
      <c r="A590" s="107"/>
      <c r="B590" s="107"/>
      <c r="C590" s="107"/>
      <c r="D590" s="108"/>
      <c r="E590" s="109"/>
      <c r="F590" s="109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 spans="1:26" ht="12.75" customHeight="1" x14ac:dyDescent="0.3">
      <c r="A591" s="107"/>
      <c r="B591" s="107"/>
      <c r="C591" s="107"/>
      <c r="D591" s="108"/>
      <c r="E591" s="109"/>
      <c r="F591" s="109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 spans="1:26" ht="12.75" customHeight="1" x14ac:dyDescent="0.3">
      <c r="A592" s="107"/>
      <c r="B592" s="107"/>
      <c r="C592" s="107"/>
      <c r="D592" s="108"/>
      <c r="E592" s="109"/>
      <c r="F592" s="109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 spans="1:26" ht="12.75" customHeight="1" x14ac:dyDescent="0.3">
      <c r="A593" s="107"/>
      <c r="B593" s="107"/>
      <c r="C593" s="107"/>
      <c r="D593" s="108"/>
      <c r="E593" s="109"/>
      <c r="F593" s="109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 spans="1:26" ht="12.75" customHeight="1" x14ac:dyDescent="0.3">
      <c r="A594" s="107"/>
      <c r="B594" s="107"/>
      <c r="C594" s="107"/>
      <c r="D594" s="108"/>
      <c r="E594" s="109"/>
      <c r="F594" s="109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 spans="1:26" ht="12.75" customHeight="1" x14ac:dyDescent="0.3">
      <c r="A595" s="107"/>
      <c r="B595" s="107"/>
      <c r="C595" s="107"/>
      <c r="D595" s="108"/>
      <c r="E595" s="109"/>
      <c r="F595" s="109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 spans="1:26" ht="12.75" customHeight="1" x14ac:dyDescent="0.3">
      <c r="A596" s="107"/>
      <c r="B596" s="107"/>
      <c r="C596" s="107"/>
      <c r="D596" s="108"/>
      <c r="E596" s="109"/>
      <c r="F596" s="109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 spans="1:26" ht="12.75" customHeight="1" x14ac:dyDescent="0.3">
      <c r="A597" s="107"/>
      <c r="B597" s="107"/>
      <c r="C597" s="107"/>
      <c r="D597" s="108"/>
      <c r="E597" s="109"/>
      <c r="F597" s="109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 spans="1:26" ht="12.75" customHeight="1" x14ac:dyDescent="0.3">
      <c r="A598" s="107"/>
      <c r="B598" s="107"/>
      <c r="C598" s="107"/>
      <c r="D598" s="108"/>
      <c r="E598" s="109"/>
      <c r="F598" s="109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 spans="1:26" ht="12.75" customHeight="1" x14ac:dyDescent="0.3">
      <c r="A599" s="107"/>
      <c r="B599" s="107"/>
      <c r="C599" s="107"/>
      <c r="D599" s="108"/>
      <c r="E599" s="109"/>
      <c r="F599" s="109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 spans="1:26" ht="12.75" customHeight="1" x14ac:dyDescent="0.3">
      <c r="A600" s="107"/>
      <c r="B600" s="107"/>
      <c r="C600" s="107"/>
      <c r="D600" s="108"/>
      <c r="E600" s="109"/>
      <c r="F600" s="109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 spans="1:26" ht="12.75" customHeight="1" x14ac:dyDescent="0.3">
      <c r="A601" s="107"/>
      <c r="B601" s="107"/>
      <c r="C601" s="107"/>
      <c r="D601" s="108"/>
      <c r="E601" s="109"/>
      <c r="F601" s="109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 spans="1:26" ht="12.75" customHeight="1" x14ac:dyDescent="0.3">
      <c r="A602" s="107"/>
      <c r="B602" s="107"/>
      <c r="C602" s="107"/>
      <c r="D602" s="108"/>
      <c r="E602" s="109"/>
      <c r="F602" s="109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 spans="1:26" ht="12.75" customHeight="1" x14ac:dyDescent="0.3">
      <c r="A603" s="107"/>
      <c r="B603" s="107"/>
      <c r="C603" s="107"/>
      <c r="D603" s="108"/>
      <c r="E603" s="109"/>
      <c r="F603" s="109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 spans="1:26" ht="12.75" customHeight="1" x14ac:dyDescent="0.3">
      <c r="A604" s="107"/>
      <c r="B604" s="107"/>
      <c r="C604" s="107"/>
      <c r="D604" s="108"/>
      <c r="E604" s="109"/>
      <c r="F604" s="109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 spans="1:26" ht="12.75" customHeight="1" x14ac:dyDescent="0.3">
      <c r="A605" s="107"/>
      <c r="B605" s="107"/>
      <c r="C605" s="107"/>
      <c r="D605" s="108"/>
      <c r="E605" s="109"/>
      <c r="F605" s="109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 spans="1:26" ht="12.75" customHeight="1" x14ac:dyDescent="0.3">
      <c r="A606" s="107"/>
      <c r="B606" s="107"/>
      <c r="C606" s="107"/>
      <c r="D606" s="108"/>
      <c r="E606" s="109"/>
      <c r="F606" s="109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 spans="1:26" ht="12.75" customHeight="1" x14ac:dyDescent="0.3">
      <c r="A607" s="107"/>
      <c r="B607" s="107"/>
      <c r="C607" s="107"/>
      <c r="D607" s="108"/>
      <c r="E607" s="109"/>
      <c r="F607" s="109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 spans="1:26" ht="12.75" customHeight="1" x14ac:dyDescent="0.3">
      <c r="A608" s="107"/>
      <c r="B608" s="107"/>
      <c r="C608" s="107"/>
      <c r="D608" s="108"/>
      <c r="E608" s="109"/>
      <c r="F608" s="109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 spans="1:26" ht="12.75" customHeight="1" x14ac:dyDescent="0.3">
      <c r="A609" s="107"/>
      <c r="B609" s="107"/>
      <c r="C609" s="107"/>
      <c r="D609" s="108"/>
      <c r="E609" s="109"/>
      <c r="F609" s="109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 spans="1:26" ht="12.75" customHeight="1" x14ac:dyDescent="0.3">
      <c r="A610" s="107"/>
      <c r="B610" s="107"/>
      <c r="C610" s="107"/>
      <c r="D610" s="108"/>
      <c r="E610" s="109"/>
      <c r="F610" s="109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 spans="1:26" ht="12.75" customHeight="1" x14ac:dyDescent="0.3">
      <c r="A611" s="107"/>
      <c r="B611" s="107"/>
      <c r="C611" s="107"/>
      <c r="D611" s="108"/>
      <c r="E611" s="109"/>
      <c r="F611" s="109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 spans="1:26" ht="12.75" customHeight="1" x14ac:dyDescent="0.3">
      <c r="A612" s="107"/>
      <c r="B612" s="107"/>
      <c r="C612" s="107"/>
      <c r="D612" s="108"/>
      <c r="E612" s="109"/>
      <c r="F612" s="109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 spans="1:26" ht="12.75" customHeight="1" x14ac:dyDescent="0.3">
      <c r="A613" s="107"/>
      <c r="B613" s="107"/>
      <c r="C613" s="107"/>
      <c r="D613" s="108"/>
      <c r="E613" s="109"/>
      <c r="F613" s="109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 spans="1:26" ht="12.75" customHeight="1" x14ac:dyDescent="0.3">
      <c r="A614" s="107"/>
      <c r="B614" s="107"/>
      <c r="C614" s="107"/>
      <c r="D614" s="108"/>
      <c r="E614" s="109"/>
      <c r="F614" s="109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 spans="1:26" ht="12.75" customHeight="1" x14ac:dyDescent="0.3">
      <c r="A615" s="107"/>
      <c r="B615" s="107"/>
      <c r="C615" s="107"/>
      <c r="D615" s="108"/>
      <c r="E615" s="109"/>
      <c r="F615" s="109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 spans="1:26" ht="12.75" customHeight="1" x14ac:dyDescent="0.3">
      <c r="A616" s="107"/>
      <c r="B616" s="107"/>
      <c r="C616" s="107"/>
      <c r="D616" s="108"/>
      <c r="E616" s="109"/>
      <c r="F616" s="109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 spans="1:26" ht="12.75" customHeight="1" x14ac:dyDescent="0.3">
      <c r="A617" s="107"/>
      <c r="B617" s="107"/>
      <c r="C617" s="107"/>
      <c r="D617" s="108"/>
      <c r="E617" s="109"/>
      <c r="F617" s="109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 spans="1:26" ht="12.75" customHeight="1" x14ac:dyDescent="0.3">
      <c r="A618" s="107"/>
      <c r="B618" s="107"/>
      <c r="C618" s="107"/>
      <c r="D618" s="108"/>
      <c r="E618" s="109"/>
      <c r="F618" s="109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 spans="1:26" ht="12.75" customHeight="1" x14ac:dyDescent="0.3">
      <c r="A619" s="107"/>
      <c r="B619" s="107"/>
      <c r="C619" s="107"/>
      <c r="D619" s="108"/>
      <c r="E619" s="109"/>
      <c r="F619" s="109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 spans="1:26" ht="12.75" customHeight="1" x14ac:dyDescent="0.3">
      <c r="A620" s="107"/>
      <c r="B620" s="107"/>
      <c r="C620" s="107"/>
      <c r="D620" s="108"/>
      <c r="E620" s="109"/>
      <c r="F620" s="109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 spans="1:26" ht="12.75" customHeight="1" x14ac:dyDescent="0.3">
      <c r="A621" s="107"/>
      <c r="B621" s="107"/>
      <c r="C621" s="107"/>
      <c r="D621" s="108"/>
      <c r="E621" s="109"/>
      <c r="F621" s="109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 spans="1:26" ht="12.75" customHeight="1" x14ac:dyDescent="0.3">
      <c r="A622" s="107"/>
      <c r="B622" s="107"/>
      <c r="C622" s="107"/>
      <c r="D622" s="108"/>
      <c r="E622" s="109"/>
      <c r="F622" s="109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 spans="1:26" ht="12.75" customHeight="1" x14ac:dyDescent="0.3">
      <c r="A623" s="107"/>
      <c r="B623" s="107"/>
      <c r="C623" s="107"/>
      <c r="D623" s="108"/>
      <c r="E623" s="109"/>
      <c r="F623" s="109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 spans="1:26" ht="12.75" customHeight="1" x14ac:dyDescent="0.3">
      <c r="A624" s="107"/>
      <c r="B624" s="107"/>
      <c r="C624" s="107"/>
      <c r="D624" s="108"/>
      <c r="E624" s="109"/>
      <c r="F624" s="109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 spans="1:26" ht="12.75" customHeight="1" x14ac:dyDescent="0.3">
      <c r="A625" s="107"/>
      <c r="B625" s="107"/>
      <c r="C625" s="107"/>
      <c r="D625" s="108"/>
      <c r="E625" s="109"/>
      <c r="F625" s="109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 spans="1:26" ht="12.75" customHeight="1" x14ac:dyDescent="0.3">
      <c r="A626" s="107"/>
      <c r="B626" s="107"/>
      <c r="C626" s="107"/>
      <c r="D626" s="108"/>
      <c r="E626" s="109"/>
      <c r="F626" s="109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 spans="1:26" ht="12.75" customHeight="1" x14ac:dyDescent="0.3">
      <c r="A627" s="107"/>
      <c r="B627" s="107"/>
      <c r="C627" s="107"/>
      <c r="D627" s="108"/>
      <c r="E627" s="109"/>
      <c r="F627" s="109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 spans="1:26" ht="12.75" customHeight="1" x14ac:dyDescent="0.3">
      <c r="A628" s="107"/>
      <c r="B628" s="107"/>
      <c r="C628" s="107"/>
      <c r="D628" s="108"/>
      <c r="E628" s="109"/>
      <c r="F628" s="109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 spans="1:26" ht="12.75" customHeight="1" x14ac:dyDescent="0.3">
      <c r="A629" s="107"/>
      <c r="B629" s="107"/>
      <c r="C629" s="107"/>
      <c r="D629" s="108"/>
      <c r="E629" s="109"/>
      <c r="F629" s="109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 spans="1:26" ht="12.75" customHeight="1" x14ac:dyDescent="0.3">
      <c r="A630" s="107"/>
      <c r="B630" s="107"/>
      <c r="C630" s="107"/>
      <c r="D630" s="108"/>
      <c r="E630" s="109"/>
      <c r="F630" s="109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 spans="1:26" ht="12.75" customHeight="1" x14ac:dyDescent="0.3">
      <c r="A631" s="107"/>
      <c r="B631" s="107"/>
      <c r="C631" s="107"/>
      <c r="D631" s="108"/>
      <c r="E631" s="109"/>
      <c r="F631" s="109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 spans="1:26" ht="12.75" customHeight="1" x14ac:dyDescent="0.3">
      <c r="A632" s="107"/>
      <c r="B632" s="107"/>
      <c r="C632" s="107"/>
      <c r="D632" s="108"/>
      <c r="E632" s="109"/>
      <c r="F632" s="109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 spans="1:26" ht="12.75" customHeight="1" x14ac:dyDescent="0.3">
      <c r="A633" s="107"/>
      <c r="B633" s="107"/>
      <c r="C633" s="107"/>
      <c r="D633" s="108"/>
      <c r="E633" s="109"/>
      <c r="F633" s="109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 spans="1:26" ht="12.75" customHeight="1" x14ac:dyDescent="0.3">
      <c r="A634" s="107"/>
      <c r="B634" s="107"/>
      <c r="C634" s="107"/>
      <c r="D634" s="108"/>
      <c r="E634" s="109"/>
      <c r="F634" s="109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 spans="1:26" ht="12.75" customHeight="1" x14ac:dyDescent="0.3">
      <c r="A635" s="107"/>
      <c r="B635" s="107"/>
      <c r="C635" s="107"/>
      <c r="D635" s="108"/>
      <c r="E635" s="109"/>
      <c r="F635" s="109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 spans="1:26" ht="12.75" customHeight="1" x14ac:dyDescent="0.3">
      <c r="A636" s="107"/>
      <c r="B636" s="107"/>
      <c r="C636" s="107"/>
      <c r="D636" s="108"/>
      <c r="E636" s="109"/>
      <c r="F636" s="109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 spans="1:26" ht="12.75" customHeight="1" x14ac:dyDescent="0.3">
      <c r="A637" s="107"/>
      <c r="B637" s="107"/>
      <c r="C637" s="107"/>
      <c r="D637" s="108"/>
      <c r="E637" s="109"/>
      <c r="F637" s="109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 spans="1:26" ht="12.75" customHeight="1" x14ac:dyDescent="0.3">
      <c r="A638" s="107"/>
      <c r="B638" s="107"/>
      <c r="C638" s="107"/>
      <c r="D638" s="108"/>
      <c r="E638" s="109"/>
      <c r="F638" s="109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 spans="1:26" ht="12.75" customHeight="1" x14ac:dyDescent="0.3">
      <c r="A639" s="107"/>
      <c r="B639" s="107"/>
      <c r="C639" s="107"/>
      <c r="D639" s="108"/>
      <c r="E639" s="109"/>
      <c r="F639" s="109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 spans="1:26" ht="12.75" customHeight="1" x14ac:dyDescent="0.3">
      <c r="A640" s="107"/>
      <c r="B640" s="107"/>
      <c r="C640" s="107"/>
      <c r="D640" s="108"/>
      <c r="E640" s="109"/>
      <c r="F640" s="109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 spans="1:26" ht="12.75" customHeight="1" x14ac:dyDescent="0.3">
      <c r="A641" s="107"/>
      <c r="B641" s="107"/>
      <c r="C641" s="107"/>
      <c r="D641" s="108"/>
      <c r="E641" s="109"/>
      <c r="F641" s="109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 spans="1:26" ht="12.75" customHeight="1" x14ac:dyDescent="0.3">
      <c r="A642" s="107"/>
      <c r="B642" s="107"/>
      <c r="C642" s="107"/>
      <c r="D642" s="108"/>
      <c r="E642" s="109"/>
      <c r="F642" s="109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 spans="1:26" ht="12.75" customHeight="1" x14ac:dyDescent="0.3">
      <c r="A643" s="107"/>
      <c r="B643" s="107"/>
      <c r="C643" s="107"/>
      <c r="D643" s="108"/>
      <c r="E643" s="109"/>
      <c r="F643" s="109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 spans="1:26" ht="12.75" customHeight="1" x14ac:dyDescent="0.3">
      <c r="A644" s="107"/>
      <c r="B644" s="107"/>
      <c r="C644" s="107"/>
      <c r="D644" s="108"/>
      <c r="E644" s="109"/>
      <c r="F644" s="109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 spans="1:26" ht="12.75" customHeight="1" x14ac:dyDescent="0.3">
      <c r="A645" s="107"/>
      <c r="B645" s="107"/>
      <c r="C645" s="107"/>
      <c r="D645" s="108"/>
      <c r="E645" s="109"/>
      <c r="F645" s="109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 spans="1:26" ht="12.75" customHeight="1" x14ac:dyDescent="0.3">
      <c r="A646" s="107"/>
      <c r="B646" s="107"/>
      <c r="C646" s="107"/>
      <c r="D646" s="108"/>
      <c r="E646" s="109"/>
      <c r="F646" s="109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 spans="1:26" ht="12.75" customHeight="1" x14ac:dyDescent="0.3">
      <c r="A647" s="107"/>
      <c r="B647" s="107"/>
      <c r="C647" s="107"/>
      <c r="D647" s="108"/>
      <c r="E647" s="109"/>
      <c r="F647" s="109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 spans="1:26" ht="12.75" customHeight="1" x14ac:dyDescent="0.3">
      <c r="A648" s="107"/>
      <c r="B648" s="107"/>
      <c r="C648" s="107"/>
      <c r="D648" s="108"/>
      <c r="E648" s="109"/>
      <c r="F648" s="109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 spans="1:26" ht="12.75" customHeight="1" x14ac:dyDescent="0.3">
      <c r="A649" s="107"/>
      <c r="B649" s="107"/>
      <c r="C649" s="107"/>
      <c r="D649" s="108"/>
      <c r="E649" s="109"/>
      <c r="F649" s="109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 spans="1:26" ht="12.75" customHeight="1" x14ac:dyDescent="0.3">
      <c r="A650" s="107"/>
      <c r="B650" s="107"/>
      <c r="C650" s="107"/>
      <c r="D650" s="108"/>
      <c r="E650" s="109"/>
      <c r="F650" s="109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 spans="1:26" ht="12.75" customHeight="1" x14ac:dyDescent="0.3">
      <c r="A651" s="107"/>
      <c r="B651" s="107"/>
      <c r="C651" s="107"/>
      <c r="D651" s="108"/>
      <c r="E651" s="109"/>
      <c r="F651" s="109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 spans="1:26" ht="12.75" customHeight="1" x14ac:dyDescent="0.3">
      <c r="A652" s="107"/>
      <c r="B652" s="107"/>
      <c r="C652" s="107"/>
      <c r="D652" s="108"/>
      <c r="E652" s="109"/>
      <c r="F652" s="109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 spans="1:26" ht="12.75" customHeight="1" x14ac:dyDescent="0.3">
      <c r="A653" s="107"/>
      <c r="B653" s="107"/>
      <c r="C653" s="107"/>
      <c r="D653" s="108"/>
      <c r="E653" s="109"/>
      <c r="F653" s="109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 spans="1:26" ht="12.75" customHeight="1" x14ac:dyDescent="0.3">
      <c r="A654" s="107"/>
      <c r="B654" s="107"/>
      <c r="C654" s="107"/>
      <c r="D654" s="108"/>
      <c r="E654" s="109"/>
      <c r="F654" s="109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 spans="1:26" ht="12.75" customHeight="1" x14ac:dyDescent="0.3">
      <c r="A655" s="107"/>
      <c r="B655" s="107"/>
      <c r="C655" s="107"/>
      <c r="D655" s="108"/>
      <c r="E655" s="109"/>
      <c r="F655" s="109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 spans="1:26" ht="12.75" customHeight="1" x14ac:dyDescent="0.3">
      <c r="A656" s="107"/>
      <c r="B656" s="107"/>
      <c r="C656" s="107"/>
      <c r="D656" s="108"/>
      <c r="E656" s="109"/>
      <c r="F656" s="109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 spans="1:26" ht="12.75" customHeight="1" x14ac:dyDescent="0.3">
      <c r="A657" s="107"/>
      <c r="B657" s="107"/>
      <c r="C657" s="107"/>
      <c r="D657" s="108"/>
      <c r="E657" s="109"/>
      <c r="F657" s="109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 spans="1:26" ht="12.75" customHeight="1" x14ac:dyDescent="0.3">
      <c r="A658" s="107"/>
      <c r="B658" s="107"/>
      <c r="C658" s="107"/>
      <c r="D658" s="108"/>
      <c r="E658" s="109"/>
      <c r="F658" s="109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 spans="1:26" ht="12.75" customHeight="1" x14ac:dyDescent="0.3">
      <c r="A659" s="107"/>
      <c r="B659" s="107"/>
      <c r="C659" s="107"/>
      <c r="D659" s="108"/>
      <c r="E659" s="109"/>
      <c r="F659" s="109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 spans="1:26" ht="12.75" customHeight="1" x14ac:dyDescent="0.3">
      <c r="A660" s="107"/>
      <c r="B660" s="107"/>
      <c r="C660" s="107"/>
      <c r="D660" s="108"/>
      <c r="E660" s="109"/>
      <c r="F660" s="109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 spans="1:26" ht="12.75" customHeight="1" x14ac:dyDescent="0.3">
      <c r="A661" s="107"/>
      <c r="B661" s="107"/>
      <c r="C661" s="107"/>
      <c r="D661" s="108"/>
      <c r="E661" s="109"/>
      <c r="F661" s="109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 spans="1:26" ht="12.75" customHeight="1" x14ac:dyDescent="0.3">
      <c r="A662" s="107"/>
      <c r="B662" s="107"/>
      <c r="C662" s="107"/>
      <c r="D662" s="108"/>
      <c r="E662" s="109"/>
      <c r="F662" s="109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 spans="1:26" ht="12.75" customHeight="1" x14ac:dyDescent="0.3">
      <c r="A663" s="107"/>
      <c r="B663" s="107"/>
      <c r="C663" s="107"/>
      <c r="D663" s="108"/>
      <c r="E663" s="109"/>
      <c r="F663" s="109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 spans="1:26" ht="12.75" customHeight="1" x14ac:dyDescent="0.3">
      <c r="A664" s="107"/>
      <c r="B664" s="107"/>
      <c r="C664" s="107"/>
      <c r="D664" s="108"/>
      <c r="E664" s="109"/>
      <c r="F664" s="109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 spans="1:26" ht="12.75" customHeight="1" x14ac:dyDescent="0.3">
      <c r="A665" s="107"/>
      <c r="B665" s="107"/>
      <c r="C665" s="107"/>
      <c r="D665" s="108"/>
      <c r="E665" s="109"/>
      <c r="F665" s="109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 spans="1:26" ht="12.75" customHeight="1" x14ac:dyDescent="0.3">
      <c r="A666" s="107"/>
      <c r="B666" s="107"/>
      <c r="C666" s="107"/>
      <c r="D666" s="108"/>
      <c r="E666" s="109"/>
      <c r="F666" s="109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 spans="1:26" ht="12.75" customHeight="1" x14ac:dyDescent="0.3">
      <c r="A667" s="107"/>
      <c r="B667" s="107"/>
      <c r="C667" s="107"/>
      <c r="D667" s="108"/>
      <c r="E667" s="109"/>
      <c r="F667" s="109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 spans="1:26" ht="12.75" customHeight="1" x14ac:dyDescent="0.3">
      <c r="A668" s="107"/>
      <c r="B668" s="107"/>
      <c r="C668" s="107"/>
      <c r="D668" s="108"/>
      <c r="E668" s="109"/>
      <c r="F668" s="109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 spans="1:26" ht="12.75" customHeight="1" x14ac:dyDescent="0.3">
      <c r="A669" s="107"/>
      <c r="B669" s="107"/>
      <c r="C669" s="107"/>
      <c r="D669" s="108"/>
      <c r="E669" s="109"/>
      <c r="F669" s="109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 spans="1:26" ht="12.75" customHeight="1" x14ac:dyDescent="0.3">
      <c r="A670" s="107"/>
      <c r="B670" s="107"/>
      <c r="C670" s="107"/>
      <c r="D670" s="108"/>
      <c r="E670" s="109"/>
      <c r="F670" s="109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 spans="1:26" ht="12.75" customHeight="1" x14ac:dyDescent="0.3">
      <c r="A671" s="107"/>
      <c r="B671" s="107"/>
      <c r="C671" s="107"/>
      <c r="D671" s="108"/>
      <c r="E671" s="109"/>
      <c r="F671" s="109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 spans="1:26" ht="12.75" customHeight="1" x14ac:dyDescent="0.3">
      <c r="A672" s="107"/>
      <c r="B672" s="107"/>
      <c r="C672" s="107"/>
      <c r="D672" s="108"/>
      <c r="E672" s="109"/>
      <c r="F672" s="109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 spans="1:26" ht="12.75" customHeight="1" x14ac:dyDescent="0.3">
      <c r="A673" s="107"/>
      <c r="B673" s="107"/>
      <c r="C673" s="107"/>
      <c r="D673" s="108"/>
      <c r="E673" s="109"/>
      <c r="F673" s="109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 spans="1:26" ht="12.75" customHeight="1" x14ac:dyDescent="0.3">
      <c r="A674" s="107"/>
      <c r="B674" s="107"/>
      <c r="C674" s="107"/>
      <c r="D674" s="108"/>
      <c r="E674" s="109"/>
      <c r="F674" s="109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 spans="1:26" ht="12.75" customHeight="1" x14ac:dyDescent="0.3">
      <c r="A675" s="107"/>
      <c r="B675" s="107"/>
      <c r="C675" s="107"/>
      <c r="D675" s="108"/>
      <c r="E675" s="109"/>
      <c r="F675" s="109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 spans="1:26" ht="12.75" customHeight="1" x14ac:dyDescent="0.3">
      <c r="A676" s="107"/>
      <c r="B676" s="107"/>
      <c r="C676" s="107"/>
      <c r="D676" s="108"/>
      <c r="E676" s="109"/>
      <c r="F676" s="109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 spans="1:26" ht="12.75" customHeight="1" x14ac:dyDescent="0.3">
      <c r="A677" s="107"/>
      <c r="B677" s="107"/>
      <c r="C677" s="107"/>
      <c r="D677" s="108"/>
      <c r="E677" s="109"/>
      <c r="F677" s="109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 spans="1:26" ht="12.75" customHeight="1" x14ac:dyDescent="0.3">
      <c r="A678" s="107"/>
      <c r="B678" s="107"/>
      <c r="C678" s="107"/>
      <c r="D678" s="108"/>
      <c r="E678" s="109"/>
      <c r="F678" s="109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 spans="1:26" ht="12.75" customHeight="1" x14ac:dyDescent="0.3">
      <c r="A679" s="107"/>
      <c r="B679" s="107"/>
      <c r="C679" s="107"/>
      <c r="D679" s="108"/>
      <c r="E679" s="109"/>
      <c r="F679" s="109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 spans="1:26" ht="12.75" customHeight="1" x14ac:dyDescent="0.3">
      <c r="A680" s="107"/>
      <c r="B680" s="107"/>
      <c r="C680" s="107"/>
      <c r="D680" s="108"/>
      <c r="E680" s="109"/>
      <c r="F680" s="109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 spans="1:26" ht="12.75" customHeight="1" x14ac:dyDescent="0.3">
      <c r="A681" s="107"/>
      <c r="B681" s="107"/>
      <c r="C681" s="107"/>
      <c r="D681" s="108"/>
      <c r="E681" s="109"/>
      <c r="F681" s="109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 spans="1:26" ht="12.75" customHeight="1" x14ac:dyDescent="0.3">
      <c r="A682" s="107"/>
      <c r="B682" s="107"/>
      <c r="C682" s="107"/>
      <c r="D682" s="108"/>
      <c r="E682" s="109"/>
      <c r="F682" s="109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 spans="1:26" ht="12.75" customHeight="1" x14ac:dyDescent="0.3">
      <c r="A683" s="107"/>
      <c r="B683" s="107"/>
      <c r="C683" s="107"/>
      <c r="D683" s="108"/>
      <c r="E683" s="109"/>
      <c r="F683" s="109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 spans="1:26" ht="12.75" customHeight="1" x14ac:dyDescent="0.3">
      <c r="A684" s="107"/>
      <c r="B684" s="107"/>
      <c r="C684" s="107"/>
      <c r="D684" s="108"/>
      <c r="E684" s="109"/>
      <c r="F684" s="109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 spans="1:26" ht="12.75" customHeight="1" x14ac:dyDescent="0.3">
      <c r="A685" s="107"/>
      <c r="B685" s="107"/>
      <c r="C685" s="107"/>
      <c r="D685" s="108"/>
      <c r="E685" s="109"/>
      <c r="F685" s="109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 spans="1:26" ht="12.75" customHeight="1" x14ac:dyDescent="0.3">
      <c r="A686" s="107"/>
      <c r="B686" s="107"/>
      <c r="C686" s="107"/>
      <c r="D686" s="108"/>
      <c r="E686" s="109"/>
      <c r="F686" s="109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 spans="1:26" ht="12.75" customHeight="1" x14ac:dyDescent="0.3">
      <c r="A687" s="107"/>
      <c r="B687" s="107"/>
      <c r="C687" s="107"/>
      <c r="D687" s="108"/>
      <c r="E687" s="109"/>
      <c r="F687" s="109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 spans="1:26" ht="12.75" customHeight="1" x14ac:dyDescent="0.3">
      <c r="A688" s="107"/>
      <c r="B688" s="107"/>
      <c r="C688" s="107"/>
      <c r="D688" s="108"/>
      <c r="E688" s="109"/>
      <c r="F688" s="109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 spans="1:26" ht="12.75" customHeight="1" x14ac:dyDescent="0.3">
      <c r="A689" s="107"/>
      <c r="B689" s="107"/>
      <c r="C689" s="107"/>
      <c r="D689" s="108"/>
      <c r="E689" s="109"/>
      <c r="F689" s="109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 spans="1:26" ht="12.75" customHeight="1" x14ac:dyDescent="0.3">
      <c r="A690" s="107"/>
      <c r="B690" s="107"/>
      <c r="C690" s="107"/>
      <c r="D690" s="108"/>
      <c r="E690" s="109"/>
      <c r="F690" s="109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 spans="1:26" ht="12.75" customHeight="1" x14ac:dyDescent="0.3">
      <c r="A691" s="107"/>
      <c r="B691" s="107"/>
      <c r="C691" s="107"/>
      <c r="D691" s="108"/>
      <c r="E691" s="109"/>
      <c r="F691" s="109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 spans="1:26" ht="12.75" customHeight="1" x14ac:dyDescent="0.3">
      <c r="A692" s="107"/>
      <c r="B692" s="107"/>
      <c r="C692" s="107"/>
      <c r="D692" s="108"/>
      <c r="E692" s="109"/>
      <c r="F692" s="109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 spans="1:26" ht="12.75" customHeight="1" x14ac:dyDescent="0.3">
      <c r="A693" s="107"/>
      <c r="B693" s="107"/>
      <c r="C693" s="107"/>
      <c r="D693" s="108"/>
      <c r="E693" s="109"/>
      <c r="F693" s="109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 spans="1:26" ht="12.75" customHeight="1" x14ac:dyDescent="0.3">
      <c r="A694" s="107"/>
      <c r="B694" s="107"/>
      <c r="C694" s="107"/>
      <c r="D694" s="108"/>
      <c r="E694" s="109"/>
      <c r="F694" s="109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 spans="1:26" ht="12.75" customHeight="1" x14ac:dyDescent="0.3">
      <c r="A695" s="107"/>
      <c r="B695" s="107"/>
      <c r="C695" s="107"/>
      <c r="D695" s="108"/>
      <c r="E695" s="109"/>
      <c r="F695" s="109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 spans="1:26" ht="12.75" customHeight="1" x14ac:dyDescent="0.3">
      <c r="A696" s="107"/>
      <c r="B696" s="107"/>
      <c r="C696" s="107"/>
      <c r="D696" s="108"/>
      <c r="E696" s="109"/>
      <c r="F696" s="109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 spans="1:26" ht="12.75" customHeight="1" x14ac:dyDescent="0.3">
      <c r="A697" s="107"/>
      <c r="B697" s="107"/>
      <c r="C697" s="107"/>
      <c r="D697" s="108"/>
      <c r="E697" s="109"/>
      <c r="F697" s="109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 spans="1:26" ht="12.75" customHeight="1" x14ac:dyDescent="0.3">
      <c r="A698" s="107"/>
      <c r="B698" s="107"/>
      <c r="C698" s="107"/>
      <c r="D698" s="108"/>
      <c r="E698" s="109"/>
      <c r="F698" s="109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 spans="1:26" ht="12.75" customHeight="1" x14ac:dyDescent="0.3">
      <c r="A699" s="107"/>
      <c r="B699" s="107"/>
      <c r="C699" s="107"/>
      <c r="D699" s="108"/>
      <c r="E699" s="109"/>
      <c r="F699" s="109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 spans="1:26" ht="12.75" customHeight="1" x14ac:dyDescent="0.3">
      <c r="A700" s="107"/>
      <c r="B700" s="107"/>
      <c r="C700" s="107"/>
      <c r="D700" s="108"/>
      <c r="E700" s="109"/>
      <c r="F700" s="109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 spans="1:26" ht="12.75" customHeight="1" x14ac:dyDescent="0.3">
      <c r="A701" s="107"/>
      <c r="B701" s="107"/>
      <c r="C701" s="107"/>
      <c r="D701" s="108"/>
      <c r="E701" s="109"/>
      <c r="F701" s="109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 spans="1:26" ht="12.75" customHeight="1" x14ac:dyDescent="0.3">
      <c r="A702" s="107"/>
      <c r="B702" s="107"/>
      <c r="C702" s="107"/>
      <c r="D702" s="108"/>
      <c r="E702" s="109"/>
      <c r="F702" s="109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 spans="1:26" ht="12.75" customHeight="1" x14ac:dyDescent="0.3">
      <c r="A703" s="107"/>
      <c r="B703" s="107"/>
      <c r="C703" s="107"/>
      <c r="D703" s="108"/>
      <c r="E703" s="109"/>
      <c r="F703" s="109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 spans="1:26" ht="12.75" customHeight="1" x14ac:dyDescent="0.3">
      <c r="A704" s="107"/>
      <c r="B704" s="107"/>
      <c r="C704" s="107"/>
      <c r="D704" s="108"/>
      <c r="E704" s="109"/>
      <c r="F704" s="109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 spans="1:26" ht="12.75" customHeight="1" x14ac:dyDescent="0.3">
      <c r="A705" s="107"/>
      <c r="B705" s="107"/>
      <c r="C705" s="107"/>
      <c r="D705" s="108"/>
      <c r="E705" s="109"/>
      <c r="F705" s="109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 spans="1:26" ht="12.75" customHeight="1" x14ac:dyDescent="0.3">
      <c r="A706" s="107"/>
      <c r="B706" s="107"/>
      <c r="C706" s="107"/>
      <c r="D706" s="108"/>
      <c r="E706" s="109"/>
      <c r="F706" s="109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 spans="1:26" ht="12.75" customHeight="1" x14ac:dyDescent="0.3">
      <c r="A707" s="107"/>
      <c r="B707" s="107"/>
      <c r="C707" s="107"/>
      <c r="D707" s="108"/>
      <c r="E707" s="109"/>
      <c r="F707" s="109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 spans="1:26" ht="12.75" customHeight="1" x14ac:dyDescent="0.3">
      <c r="A708" s="107"/>
      <c r="B708" s="107"/>
      <c r="C708" s="107"/>
      <c r="D708" s="108"/>
      <c r="E708" s="109"/>
      <c r="F708" s="109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 spans="1:26" ht="12.75" customHeight="1" x14ac:dyDescent="0.3">
      <c r="A709" s="107"/>
      <c r="B709" s="107"/>
      <c r="C709" s="107"/>
      <c r="D709" s="108"/>
      <c r="E709" s="109"/>
      <c r="F709" s="109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 spans="1:26" ht="12.75" customHeight="1" x14ac:dyDescent="0.3">
      <c r="A710" s="107"/>
      <c r="B710" s="107"/>
      <c r="C710" s="107"/>
      <c r="D710" s="108"/>
      <c r="E710" s="109"/>
      <c r="F710" s="109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 spans="1:26" ht="12.75" customHeight="1" x14ac:dyDescent="0.3">
      <c r="A711" s="107"/>
      <c r="B711" s="107"/>
      <c r="C711" s="107"/>
      <c r="D711" s="108"/>
      <c r="E711" s="109"/>
      <c r="F711" s="109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 spans="1:26" ht="12.75" customHeight="1" x14ac:dyDescent="0.3">
      <c r="A712" s="107"/>
      <c r="B712" s="107"/>
      <c r="C712" s="107"/>
      <c r="D712" s="108"/>
      <c r="E712" s="109"/>
      <c r="F712" s="109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 spans="1:26" ht="12.75" customHeight="1" x14ac:dyDescent="0.3">
      <c r="A713" s="107"/>
      <c r="B713" s="107"/>
      <c r="C713" s="107"/>
      <c r="D713" s="108"/>
      <c r="E713" s="109"/>
      <c r="F713" s="109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 spans="1:26" ht="12.75" customHeight="1" x14ac:dyDescent="0.3">
      <c r="A714" s="107"/>
      <c r="B714" s="107"/>
      <c r="C714" s="107"/>
      <c r="D714" s="108"/>
      <c r="E714" s="109"/>
      <c r="F714" s="109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 spans="1:26" ht="12.75" customHeight="1" x14ac:dyDescent="0.3">
      <c r="A715" s="107"/>
      <c r="B715" s="107"/>
      <c r="C715" s="107"/>
      <c r="D715" s="108"/>
      <c r="E715" s="109"/>
      <c r="F715" s="109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 spans="1:26" ht="12.75" customHeight="1" x14ac:dyDescent="0.3">
      <c r="A716" s="107"/>
      <c r="B716" s="107"/>
      <c r="C716" s="107"/>
      <c r="D716" s="108"/>
      <c r="E716" s="109"/>
      <c r="F716" s="109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 spans="1:26" ht="12.75" customHeight="1" x14ac:dyDescent="0.3">
      <c r="A717" s="107"/>
      <c r="B717" s="107"/>
      <c r="C717" s="107"/>
      <c r="D717" s="108"/>
      <c r="E717" s="109"/>
      <c r="F717" s="109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 spans="1:26" ht="12.75" customHeight="1" x14ac:dyDescent="0.3">
      <c r="A718" s="107"/>
      <c r="B718" s="107"/>
      <c r="C718" s="107"/>
      <c r="D718" s="108"/>
      <c r="E718" s="109"/>
      <c r="F718" s="109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 spans="1:26" ht="12.75" customHeight="1" x14ac:dyDescent="0.3">
      <c r="A719" s="107"/>
      <c r="B719" s="107"/>
      <c r="C719" s="107"/>
      <c r="D719" s="108"/>
      <c r="E719" s="109"/>
      <c r="F719" s="109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 spans="1:26" ht="12.75" customHeight="1" x14ac:dyDescent="0.3">
      <c r="A720" s="107"/>
      <c r="B720" s="107"/>
      <c r="C720" s="107"/>
      <c r="D720" s="108"/>
      <c r="E720" s="109"/>
      <c r="F720" s="109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 spans="1:26" ht="12.75" customHeight="1" x14ac:dyDescent="0.3">
      <c r="A721" s="107"/>
      <c r="B721" s="107"/>
      <c r="C721" s="107"/>
      <c r="D721" s="108"/>
      <c r="E721" s="109"/>
      <c r="F721" s="109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 spans="1:26" ht="12.75" customHeight="1" x14ac:dyDescent="0.3">
      <c r="A722" s="107"/>
      <c r="B722" s="107"/>
      <c r="C722" s="107"/>
      <c r="D722" s="108"/>
      <c r="E722" s="109"/>
      <c r="F722" s="109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 spans="1:26" ht="12.75" customHeight="1" x14ac:dyDescent="0.3">
      <c r="A723" s="107"/>
      <c r="B723" s="107"/>
      <c r="C723" s="107"/>
      <c r="D723" s="108"/>
      <c r="E723" s="109"/>
      <c r="F723" s="109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 spans="1:26" ht="12.75" customHeight="1" x14ac:dyDescent="0.3">
      <c r="A724" s="107"/>
      <c r="B724" s="107"/>
      <c r="C724" s="107"/>
      <c r="D724" s="108"/>
      <c r="E724" s="109"/>
      <c r="F724" s="109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 spans="1:26" ht="12.75" customHeight="1" x14ac:dyDescent="0.3">
      <c r="A725" s="107"/>
      <c r="B725" s="107"/>
      <c r="C725" s="107"/>
      <c r="D725" s="108"/>
      <c r="E725" s="109"/>
      <c r="F725" s="109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 spans="1:26" ht="12.75" customHeight="1" x14ac:dyDescent="0.3">
      <c r="A726" s="107"/>
      <c r="B726" s="107"/>
      <c r="C726" s="107"/>
      <c r="D726" s="108"/>
      <c r="E726" s="109"/>
      <c r="F726" s="109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 spans="1:26" ht="12.75" customHeight="1" x14ac:dyDescent="0.3">
      <c r="A727" s="107"/>
      <c r="B727" s="107"/>
      <c r="C727" s="107"/>
      <c r="D727" s="108"/>
      <c r="E727" s="109"/>
      <c r="F727" s="109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 spans="1:26" ht="12.75" customHeight="1" x14ac:dyDescent="0.3">
      <c r="A728" s="107"/>
      <c r="B728" s="107"/>
      <c r="C728" s="107"/>
      <c r="D728" s="108"/>
      <c r="E728" s="109"/>
      <c r="F728" s="109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 spans="1:26" ht="12.75" customHeight="1" x14ac:dyDescent="0.3">
      <c r="A729" s="107"/>
      <c r="B729" s="107"/>
      <c r="C729" s="107"/>
      <c r="D729" s="108"/>
      <c r="E729" s="109"/>
      <c r="F729" s="109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 spans="1:26" ht="12.75" customHeight="1" x14ac:dyDescent="0.3">
      <c r="A730" s="107"/>
      <c r="B730" s="107"/>
      <c r="C730" s="107"/>
      <c r="D730" s="108"/>
      <c r="E730" s="109"/>
      <c r="F730" s="109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 spans="1:26" ht="12.75" customHeight="1" x14ac:dyDescent="0.3">
      <c r="A731" s="107"/>
      <c r="B731" s="107"/>
      <c r="C731" s="107"/>
      <c r="D731" s="108"/>
      <c r="E731" s="109"/>
      <c r="F731" s="109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 spans="1:26" ht="12.75" customHeight="1" x14ac:dyDescent="0.3">
      <c r="A732" s="107"/>
      <c r="B732" s="107"/>
      <c r="C732" s="107"/>
      <c r="D732" s="108"/>
      <c r="E732" s="109"/>
      <c r="F732" s="109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 spans="1:26" ht="12.75" customHeight="1" x14ac:dyDescent="0.3">
      <c r="A733" s="107"/>
      <c r="B733" s="107"/>
      <c r="C733" s="107"/>
      <c r="D733" s="108"/>
      <c r="E733" s="109"/>
      <c r="F733" s="109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 spans="1:26" ht="12.75" customHeight="1" x14ac:dyDescent="0.3">
      <c r="A734" s="107"/>
      <c r="B734" s="107"/>
      <c r="C734" s="107"/>
      <c r="D734" s="108"/>
      <c r="E734" s="109"/>
      <c r="F734" s="109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 spans="1:26" ht="12.75" customHeight="1" x14ac:dyDescent="0.3">
      <c r="A735" s="107"/>
      <c r="B735" s="107"/>
      <c r="C735" s="107"/>
      <c r="D735" s="108"/>
      <c r="E735" s="109"/>
      <c r="F735" s="109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 spans="1:26" ht="12.75" customHeight="1" x14ac:dyDescent="0.3">
      <c r="A736" s="107"/>
      <c r="B736" s="107"/>
      <c r="C736" s="107"/>
      <c r="D736" s="108"/>
      <c r="E736" s="109"/>
      <c r="F736" s="109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 spans="1:26" ht="12.75" customHeight="1" x14ac:dyDescent="0.3">
      <c r="A737" s="107"/>
      <c r="B737" s="107"/>
      <c r="C737" s="107"/>
      <c r="D737" s="108"/>
      <c r="E737" s="109"/>
      <c r="F737" s="109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 spans="1:26" ht="12.75" customHeight="1" x14ac:dyDescent="0.3">
      <c r="A738" s="107"/>
      <c r="B738" s="107"/>
      <c r="C738" s="107"/>
      <c r="D738" s="108"/>
      <c r="E738" s="109"/>
      <c r="F738" s="109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 spans="1:26" ht="12.75" customHeight="1" x14ac:dyDescent="0.3">
      <c r="A739" s="107"/>
      <c r="B739" s="107"/>
      <c r="C739" s="107"/>
      <c r="D739" s="108"/>
      <c r="E739" s="109"/>
      <c r="F739" s="109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 spans="1:26" ht="12.75" customHeight="1" x14ac:dyDescent="0.3">
      <c r="A740" s="107"/>
      <c r="B740" s="107"/>
      <c r="C740" s="107"/>
      <c r="D740" s="108"/>
      <c r="E740" s="109"/>
      <c r="F740" s="109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 spans="1:26" ht="12.75" customHeight="1" x14ac:dyDescent="0.3">
      <c r="A741" s="107"/>
      <c r="B741" s="107"/>
      <c r="C741" s="107"/>
      <c r="D741" s="108"/>
      <c r="E741" s="109"/>
      <c r="F741" s="109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 spans="1:26" ht="12.75" customHeight="1" x14ac:dyDescent="0.3">
      <c r="A742" s="107"/>
      <c r="B742" s="107"/>
      <c r="C742" s="107"/>
      <c r="D742" s="108"/>
      <c r="E742" s="109"/>
      <c r="F742" s="109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 spans="1:26" ht="12.75" customHeight="1" x14ac:dyDescent="0.3">
      <c r="A743" s="107"/>
      <c r="B743" s="107"/>
      <c r="C743" s="107"/>
      <c r="D743" s="108"/>
      <c r="E743" s="109"/>
      <c r="F743" s="109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 spans="1:26" ht="12.75" customHeight="1" x14ac:dyDescent="0.3">
      <c r="A744" s="107"/>
      <c r="B744" s="107"/>
      <c r="C744" s="107"/>
      <c r="D744" s="108"/>
      <c r="E744" s="109"/>
      <c r="F744" s="109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 spans="1:26" ht="12.75" customHeight="1" x14ac:dyDescent="0.3">
      <c r="A745" s="107"/>
      <c r="B745" s="107"/>
      <c r="C745" s="107"/>
      <c r="D745" s="108"/>
      <c r="E745" s="109"/>
      <c r="F745" s="109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 spans="1:26" ht="12.75" customHeight="1" x14ac:dyDescent="0.3">
      <c r="A746" s="107"/>
      <c r="B746" s="107"/>
      <c r="C746" s="107"/>
      <c r="D746" s="108"/>
      <c r="E746" s="109"/>
      <c r="F746" s="109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 spans="1:26" ht="12.75" customHeight="1" x14ac:dyDescent="0.3">
      <c r="A747" s="107"/>
      <c r="B747" s="107"/>
      <c r="C747" s="107"/>
      <c r="D747" s="108"/>
      <c r="E747" s="109"/>
      <c r="F747" s="109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 spans="1:26" ht="12.75" customHeight="1" x14ac:dyDescent="0.3">
      <c r="A748" s="107"/>
      <c r="B748" s="107"/>
      <c r="C748" s="107"/>
      <c r="D748" s="108"/>
      <c r="E748" s="109"/>
      <c r="F748" s="109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 spans="1:26" ht="12.75" customHeight="1" x14ac:dyDescent="0.3">
      <c r="A749" s="107"/>
      <c r="B749" s="107"/>
      <c r="C749" s="107"/>
      <c r="D749" s="108"/>
      <c r="E749" s="109"/>
      <c r="F749" s="109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 spans="1:26" ht="12.75" customHeight="1" x14ac:dyDescent="0.3">
      <c r="A750" s="107"/>
      <c r="B750" s="107"/>
      <c r="C750" s="107"/>
      <c r="D750" s="108"/>
      <c r="E750" s="109"/>
      <c r="F750" s="109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 spans="1:26" ht="12.75" customHeight="1" x14ac:dyDescent="0.3">
      <c r="A751" s="107"/>
      <c r="B751" s="107"/>
      <c r="C751" s="107"/>
      <c r="D751" s="108"/>
      <c r="E751" s="109"/>
      <c r="F751" s="109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 spans="1:26" ht="12.75" customHeight="1" x14ac:dyDescent="0.3">
      <c r="A752" s="107"/>
      <c r="B752" s="107"/>
      <c r="C752" s="107"/>
      <c r="D752" s="108"/>
      <c r="E752" s="109"/>
      <c r="F752" s="109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 spans="1:26" ht="12.75" customHeight="1" x14ac:dyDescent="0.3">
      <c r="A753" s="107"/>
      <c r="B753" s="107"/>
      <c r="C753" s="107"/>
      <c r="D753" s="108"/>
      <c r="E753" s="109"/>
      <c r="F753" s="109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 spans="1:26" ht="12.75" customHeight="1" x14ac:dyDescent="0.3">
      <c r="A754" s="107"/>
      <c r="B754" s="107"/>
      <c r="C754" s="107"/>
      <c r="D754" s="108"/>
      <c r="E754" s="109"/>
      <c r="F754" s="109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 spans="1:26" ht="12.75" customHeight="1" x14ac:dyDescent="0.3">
      <c r="A755" s="107"/>
      <c r="B755" s="107"/>
      <c r="C755" s="107"/>
      <c r="D755" s="108"/>
      <c r="E755" s="109"/>
      <c r="F755" s="109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 spans="1:26" ht="12.75" customHeight="1" x14ac:dyDescent="0.3">
      <c r="A756" s="107"/>
      <c r="B756" s="107"/>
      <c r="C756" s="107"/>
      <c r="D756" s="108"/>
      <c r="E756" s="109"/>
      <c r="F756" s="109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 spans="1:26" ht="12.75" customHeight="1" x14ac:dyDescent="0.3">
      <c r="A757" s="107"/>
      <c r="B757" s="107"/>
      <c r="C757" s="107"/>
      <c r="D757" s="108"/>
      <c r="E757" s="109"/>
      <c r="F757" s="109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 spans="1:26" ht="12.75" customHeight="1" x14ac:dyDescent="0.3">
      <c r="A758" s="107"/>
      <c r="B758" s="107"/>
      <c r="C758" s="107"/>
      <c r="D758" s="108"/>
      <c r="E758" s="109"/>
      <c r="F758" s="109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 spans="1:26" ht="12.75" customHeight="1" x14ac:dyDescent="0.3">
      <c r="A759" s="107"/>
      <c r="B759" s="107"/>
      <c r="C759" s="107"/>
      <c r="D759" s="108"/>
      <c r="E759" s="109"/>
      <c r="F759" s="109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 spans="1:26" ht="12.75" customHeight="1" x14ac:dyDescent="0.3">
      <c r="A760" s="107"/>
      <c r="B760" s="107"/>
      <c r="C760" s="107"/>
      <c r="D760" s="108"/>
      <c r="E760" s="109"/>
      <c r="F760" s="109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 spans="1:26" ht="12.75" customHeight="1" x14ac:dyDescent="0.3">
      <c r="A761" s="107"/>
      <c r="B761" s="107"/>
      <c r="C761" s="107"/>
      <c r="D761" s="108"/>
      <c r="E761" s="109"/>
      <c r="F761" s="109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 spans="1:26" ht="12.75" customHeight="1" x14ac:dyDescent="0.3">
      <c r="A762" s="107"/>
      <c r="B762" s="107"/>
      <c r="C762" s="107"/>
      <c r="D762" s="108"/>
      <c r="E762" s="109"/>
      <c r="F762" s="109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 spans="1:26" ht="12.75" customHeight="1" x14ac:dyDescent="0.3">
      <c r="A763" s="107"/>
      <c r="B763" s="107"/>
      <c r="C763" s="107"/>
      <c r="D763" s="108"/>
      <c r="E763" s="109"/>
      <c r="F763" s="109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 spans="1:26" ht="12.75" customHeight="1" x14ac:dyDescent="0.3">
      <c r="A764" s="107"/>
      <c r="B764" s="107"/>
      <c r="C764" s="107"/>
      <c r="D764" s="108"/>
      <c r="E764" s="109"/>
      <c r="F764" s="109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 spans="1:26" ht="12.75" customHeight="1" x14ac:dyDescent="0.3">
      <c r="A765" s="107"/>
      <c r="B765" s="107"/>
      <c r="C765" s="107"/>
      <c r="D765" s="108"/>
      <c r="E765" s="109"/>
      <c r="F765" s="109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 spans="1:26" ht="12.75" customHeight="1" x14ac:dyDescent="0.3">
      <c r="A766" s="107"/>
      <c r="B766" s="107"/>
      <c r="C766" s="107"/>
      <c r="D766" s="108"/>
      <c r="E766" s="109"/>
      <c r="F766" s="109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 spans="1:26" ht="12.75" customHeight="1" x14ac:dyDescent="0.3">
      <c r="A767" s="107"/>
      <c r="B767" s="107"/>
      <c r="C767" s="107"/>
      <c r="D767" s="108"/>
      <c r="E767" s="109"/>
      <c r="F767" s="109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 spans="1:26" ht="12.75" customHeight="1" x14ac:dyDescent="0.3">
      <c r="A768" s="107"/>
      <c r="B768" s="107"/>
      <c r="C768" s="107"/>
      <c r="D768" s="108"/>
      <c r="E768" s="109"/>
      <c r="F768" s="109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 spans="1:26" ht="12.75" customHeight="1" x14ac:dyDescent="0.3">
      <c r="A769" s="107"/>
      <c r="B769" s="107"/>
      <c r="C769" s="107"/>
      <c r="D769" s="108"/>
      <c r="E769" s="109"/>
      <c r="F769" s="109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 spans="1:26" ht="12.75" customHeight="1" x14ac:dyDescent="0.3">
      <c r="A770" s="107"/>
      <c r="B770" s="107"/>
      <c r="C770" s="107"/>
      <c r="D770" s="108"/>
      <c r="E770" s="109"/>
      <c r="F770" s="109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 spans="1:26" ht="12.75" customHeight="1" x14ac:dyDescent="0.3">
      <c r="A771" s="107"/>
      <c r="B771" s="107"/>
      <c r="C771" s="107"/>
      <c r="D771" s="108"/>
      <c r="E771" s="109"/>
      <c r="F771" s="109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 spans="1:26" ht="12.75" customHeight="1" x14ac:dyDescent="0.3">
      <c r="A772" s="107"/>
      <c r="B772" s="107"/>
      <c r="C772" s="107"/>
      <c r="D772" s="108"/>
      <c r="E772" s="109"/>
      <c r="F772" s="109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 spans="1:26" ht="12.75" customHeight="1" x14ac:dyDescent="0.3">
      <c r="A773" s="107"/>
      <c r="B773" s="107"/>
      <c r="C773" s="107"/>
      <c r="D773" s="108"/>
      <c r="E773" s="109"/>
      <c r="F773" s="109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 spans="1:26" ht="12.75" customHeight="1" x14ac:dyDescent="0.3">
      <c r="A774" s="107"/>
      <c r="B774" s="107"/>
      <c r="C774" s="107"/>
      <c r="D774" s="108"/>
      <c r="E774" s="109"/>
      <c r="F774" s="109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 spans="1:26" ht="12.75" customHeight="1" x14ac:dyDescent="0.3">
      <c r="A775" s="107"/>
      <c r="B775" s="107"/>
      <c r="C775" s="107"/>
      <c r="D775" s="108"/>
      <c r="E775" s="109"/>
      <c r="F775" s="109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 spans="1:26" ht="12.75" customHeight="1" x14ac:dyDescent="0.3">
      <c r="A776" s="107"/>
      <c r="B776" s="107"/>
      <c r="C776" s="107"/>
      <c r="D776" s="108"/>
      <c r="E776" s="109"/>
      <c r="F776" s="109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 spans="1:26" ht="12.75" customHeight="1" x14ac:dyDescent="0.3">
      <c r="A777" s="107"/>
      <c r="B777" s="107"/>
      <c r="C777" s="107"/>
      <c r="D777" s="108"/>
      <c r="E777" s="109"/>
      <c r="F777" s="109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 spans="1:26" ht="12.75" customHeight="1" x14ac:dyDescent="0.3">
      <c r="A778" s="107"/>
      <c r="B778" s="107"/>
      <c r="C778" s="107"/>
      <c r="D778" s="108"/>
      <c r="E778" s="109"/>
      <c r="F778" s="109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 spans="1:26" ht="12.75" customHeight="1" x14ac:dyDescent="0.3">
      <c r="A779" s="107"/>
      <c r="B779" s="107"/>
      <c r="C779" s="107"/>
      <c r="D779" s="108"/>
      <c r="E779" s="109"/>
      <c r="F779" s="109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 spans="1:26" ht="12.75" customHeight="1" x14ac:dyDescent="0.3">
      <c r="A780" s="107"/>
      <c r="B780" s="107"/>
      <c r="C780" s="107"/>
      <c r="D780" s="108"/>
      <c r="E780" s="109"/>
      <c r="F780" s="109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 spans="1:26" ht="12.75" customHeight="1" x14ac:dyDescent="0.3">
      <c r="A781" s="107"/>
      <c r="B781" s="107"/>
      <c r="C781" s="107"/>
      <c r="D781" s="108"/>
      <c r="E781" s="109"/>
      <c r="F781" s="109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 spans="1:26" ht="12.75" customHeight="1" x14ac:dyDescent="0.3">
      <c r="A782" s="107"/>
      <c r="B782" s="107"/>
      <c r="C782" s="107"/>
      <c r="D782" s="108"/>
      <c r="E782" s="109"/>
      <c r="F782" s="109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 spans="1:26" ht="12.75" customHeight="1" x14ac:dyDescent="0.3">
      <c r="A783" s="107"/>
      <c r="B783" s="107"/>
      <c r="C783" s="107"/>
      <c r="D783" s="108"/>
      <c r="E783" s="109"/>
      <c r="F783" s="109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 spans="1:26" ht="12.75" customHeight="1" x14ac:dyDescent="0.3">
      <c r="A784" s="107"/>
      <c r="B784" s="107"/>
      <c r="C784" s="107"/>
      <c r="D784" s="108"/>
      <c r="E784" s="109"/>
      <c r="F784" s="109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 spans="1:26" ht="12.75" customHeight="1" x14ac:dyDescent="0.3">
      <c r="A785" s="107"/>
      <c r="B785" s="107"/>
      <c r="C785" s="107"/>
      <c r="D785" s="108"/>
      <c r="E785" s="109"/>
      <c r="F785" s="109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 spans="1:26" ht="12.75" customHeight="1" x14ac:dyDescent="0.3">
      <c r="A786" s="107"/>
      <c r="B786" s="107"/>
      <c r="C786" s="107"/>
      <c r="D786" s="108"/>
      <c r="E786" s="109"/>
      <c r="F786" s="109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 spans="1:26" ht="12.75" customHeight="1" x14ac:dyDescent="0.3">
      <c r="A787" s="107"/>
      <c r="B787" s="107"/>
      <c r="C787" s="107"/>
      <c r="D787" s="108"/>
      <c r="E787" s="109"/>
      <c r="F787" s="109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 spans="1:26" ht="12.75" customHeight="1" x14ac:dyDescent="0.3">
      <c r="A788" s="107"/>
      <c r="B788" s="107"/>
      <c r="C788" s="107"/>
      <c r="D788" s="108"/>
      <c r="E788" s="109"/>
      <c r="F788" s="109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 spans="1:26" ht="12.75" customHeight="1" x14ac:dyDescent="0.3">
      <c r="A789" s="107"/>
      <c r="B789" s="107"/>
      <c r="C789" s="107"/>
      <c r="D789" s="108"/>
      <c r="E789" s="109"/>
      <c r="F789" s="109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 spans="1:26" ht="12.75" customHeight="1" x14ac:dyDescent="0.3">
      <c r="A790" s="107"/>
      <c r="B790" s="107"/>
      <c r="C790" s="107"/>
      <c r="D790" s="108"/>
      <c r="E790" s="109"/>
      <c r="F790" s="109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 spans="1:26" ht="12.75" customHeight="1" x14ac:dyDescent="0.3">
      <c r="A791" s="107"/>
      <c r="B791" s="107"/>
      <c r="C791" s="107"/>
      <c r="D791" s="108"/>
      <c r="E791" s="109"/>
      <c r="F791" s="109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 spans="1:26" ht="12.75" customHeight="1" x14ac:dyDescent="0.3">
      <c r="A792" s="107"/>
      <c r="B792" s="107"/>
      <c r="C792" s="107"/>
      <c r="D792" s="108"/>
      <c r="E792" s="109"/>
      <c r="F792" s="109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 spans="1:26" ht="12.75" customHeight="1" x14ac:dyDescent="0.3">
      <c r="A793" s="107"/>
      <c r="B793" s="107"/>
      <c r="C793" s="107"/>
      <c r="D793" s="108"/>
      <c r="E793" s="109"/>
      <c r="F793" s="109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 spans="1:26" ht="12.75" customHeight="1" x14ac:dyDescent="0.3">
      <c r="A794" s="107"/>
      <c r="B794" s="107"/>
      <c r="C794" s="107"/>
      <c r="D794" s="108"/>
      <c r="E794" s="109"/>
      <c r="F794" s="109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 spans="1:26" ht="12.75" customHeight="1" x14ac:dyDescent="0.3">
      <c r="A795" s="107"/>
      <c r="B795" s="107"/>
      <c r="C795" s="107"/>
      <c r="D795" s="108"/>
      <c r="E795" s="109"/>
      <c r="F795" s="109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 spans="1:26" ht="12.75" customHeight="1" x14ac:dyDescent="0.3">
      <c r="A796" s="107"/>
      <c r="B796" s="107"/>
      <c r="C796" s="107"/>
      <c r="D796" s="108"/>
      <c r="E796" s="109"/>
      <c r="F796" s="109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 spans="1:26" ht="12.75" customHeight="1" x14ac:dyDescent="0.3">
      <c r="A797" s="107"/>
      <c r="B797" s="107"/>
      <c r="C797" s="107"/>
      <c r="D797" s="108"/>
      <c r="E797" s="109"/>
      <c r="F797" s="109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 spans="1:26" ht="12.75" customHeight="1" x14ac:dyDescent="0.3">
      <c r="A798" s="107"/>
      <c r="B798" s="107"/>
      <c r="C798" s="107"/>
      <c r="D798" s="108"/>
      <c r="E798" s="109"/>
      <c r="F798" s="109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 spans="1:26" ht="12.75" customHeight="1" x14ac:dyDescent="0.3">
      <c r="A799" s="107"/>
      <c r="B799" s="107"/>
      <c r="C799" s="107"/>
      <c r="D799" s="108"/>
      <c r="E799" s="109"/>
      <c r="F799" s="109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 spans="1:26" ht="12.75" customHeight="1" x14ac:dyDescent="0.3">
      <c r="A800" s="107"/>
      <c r="B800" s="107"/>
      <c r="C800" s="107"/>
      <c r="D800" s="108"/>
      <c r="E800" s="109"/>
      <c r="F800" s="109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 spans="1:26" ht="12.75" customHeight="1" x14ac:dyDescent="0.3">
      <c r="A801" s="107"/>
      <c r="B801" s="107"/>
      <c r="C801" s="107"/>
      <c r="D801" s="108"/>
      <c r="E801" s="109"/>
      <c r="F801" s="109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 spans="1:26" ht="12.75" customHeight="1" x14ac:dyDescent="0.3">
      <c r="A802" s="107"/>
      <c r="B802" s="107"/>
      <c r="C802" s="107"/>
      <c r="D802" s="108"/>
      <c r="E802" s="109"/>
      <c r="F802" s="109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 spans="1:26" ht="12.75" customHeight="1" x14ac:dyDescent="0.3">
      <c r="A803" s="107"/>
      <c r="B803" s="107"/>
      <c r="C803" s="107"/>
      <c r="D803" s="108"/>
      <c r="E803" s="109"/>
      <c r="F803" s="109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 spans="1:26" ht="12.75" customHeight="1" x14ac:dyDescent="0.3">
      <c r="A804" s="107"/>
      <c r="B804" s="107"/>
      <c r="C804" s="107"/>
      <c r="D804" s="108"/>
      <c r="E804" s="109"/>
      <c r="F804" s="109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 spans="1:26" ht="12.75" customHeight="1" x14ac:dyDescent="0.3">
      <c r="A805" s="107"/>
      <c r="B805" s="107"/>
      <c r="C805" s="107"/>
      <c r="D805" s="108"/>
      <c r="E805" s="109"/>
      <c r="F805" s="109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 spans="1:26" ht="12.75" customHeight="1" x14ac:dyDescent="0.3">
      <c r="A806" s="107"/>
      <c r="B806" s="107"/>
      <c r="C806" s="107"/>
      <c r="D806" s="108"/>
      <c r="E806" s="109"/>
      <c r="F806" s="109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 spans="1:26" ht="12.75" customHeight="1" x14ac:dyDescent="0.3">
      <c r="A807" s="107"/>
      <c r="B807" s="107"/>
      <c r="C807" s="107"/>
      <c r="D807" s="108"/>
      <c r="E807" s="109"/>
      <c r="F807" s="109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 spans="1:26" ht="12.75" customHeight="1" x14ac:dyDescent="0.3">
      <c r="A808" s="107"/>
      <c r="B808" s="107"/>
      <c r="C808" s="107"/>
      <c r="D808" s="108"/>
      <c r="E808" s="109"/>
      <c r="F808" s="109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 spans="1:26" ht="12.75" customHeight="1" x14ac:dyDescent="0.3">
      <c r="A809" s="107"/>
      <c r="B809" s="107"/>
      <c r="C809" s="107"/>
      <c r="D809" s="108"/>
      <c r="E809" s="109"/>
      <c r="F809" s="109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 spans="1:26" ht="12.75" customHeight="1" x14ac:dyDescent="0.3">
      <c r="A810" s="107"/>
      <c r="B810" s="107"/>
      <c r="C810" s="107"/>
      <c r="D810" s="108"/>
      <c r="E810" s="109"/>
      <c r="F810" s="109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 spans="1:26" ht="12.75" customHeight="1" x14ac:dyDescent="0.3">
      <c r="A811" s="107"/>
      <c r="B811" s="107"/>
      <c r="C811" s="107"/>
      <c r="D811" s="108"/>
      <c r="E811" s="109"/>
      <c r="F811" s="109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 spans="1:26" ht="12.75" customHeight="1" x14ac:dyDescent="0.3">
      <c r="A812" s="107"/>
      <c r="B812" s="107"/>
      <c r="C812" s="107"/>
      <c r="D812" s="108"/>
      <c r="E812" s="109"/>
      <c r="F812" s="109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 spans="1:26" ht="12.75" customHeight="1" x14ac:dyDescent="0.3">
      <c r="A813" s="107"/>
      <c r="B813" s="107"/>
      <c r="C813" s="107"/>
      <c r="D813" s="108"/>
      <c r="E813" s="109"/>
      <c r="F813" s="109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 spans="1:26" ht="12.75" customHeight="1" x14ac:dyDescent="0.3">
      <c r="A814" s="107"/>
      <c r="B814" s="107"/>
      <c r="C814" s="107"/>
      <c r="D814" s="108"/>
      <c r="E814" s="109"/>
      <c r="F814" s="109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 spans="1:26" ht="12.75" customHeight="1" x14ac:dyDescent="0.3">
      <c r="A815" s="107"/>
      <c r="B815" s="107"/>
      <c r="C815" s="107"/>
      <c r="D815" s="108"/>
      <c r="E815" s="109"/>
      <c r="F815" s="109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 spans="1:26" ht="12.75" customHeight="1" x14ac:dyDescent="0.3">
      <c r="A816" s="107"/>
      <c r="B816" s="107"/>
      <c r="C816" s="107"/>
      <c r="D816" s="108"/>
      <c r="E816" s="109"/>
      <c r="F816" s="109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 spans="1:26" ht="12.75" customHeight="1" x14ac:dyDescent="0.3">
      <c r="A817" s="107"/>
      <c r="B817" s="107"/>
      <c r="C817" s="107"/>
      <c r="D817" s="108"/>
      <c r="E817" s="109"/>
      <c r="F817" s="109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 spans="1:26" ht="12.75" customHeight="1" x14ac:dyDescent="0.3">
      <c r="A818" s="107"/>
      <c r="B818" s="107"/>
      <c r="C818" s="107"/>
      <c r="D818" s="108"/>
      <c r="E818" s="109"/>
      <c r="F818" s="109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 spans="1:26" ht="12.75" customHeight="1" x14ac:dyDescent="0.3">
      <c r="A819" s="107"/>
      <c r="B819" s="107"/>
      <c r="C819" s="107"/>
      <c r="D819" s="108"/>
      <c r="E819" s="109"/>
      <c r="F819" s="109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 spans="1:26" ht="12.75" customHeight="1" x14ac:dyDescent="0.3">
      <c r="A820" s="107"/>
      <c r="B820" s="107"/>
      <c r="C820" s="107"/>
      <c r="D820" s="108"/>
      <c r="E820" s="109"/>
      <c r="F820" s="109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 spans="1:26" ht="12.75" customHeight="1" x14ac:dyDescent="0.3">
      <c r="A821" s="107"/>
      <c r="B821" s="107"/>
      <c r="C821" s="107"/>
      <c r="D821" s="108"/>
      <c r="E821" s="109"/>
      <c r="F821" s="109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 spans="1:26" ht="12.75" customHeight="1" x14ac:dyDescent="0.3">
      <c r="A822" s="107"/>
      <c r="B822" s="107"/>
      <c r="C822" s="107"/>
      <c r="D822" s="108"/>
      <c r="E822" s="109"/>
      <c r="F822" s="109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 spans="1:26" ht="12.75" customHeight="1" x14ac:dyDescent="0.3">
      <c r="A823" s="107"/>
      <c r="B823" s="107"/>
      <c r="C823" s="107"/>
      <c r="D823" s="108"/>
      <c r="E823" s="109"/>
      <c r="F823" s="109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 spans="1:26" ht="12.75" customHeight="1" x14ac:dyDescent="0.3">
      <c r="A824" s="107"/>
      <c r="B824" s="107"/>
      <c r="C824" s="107"/>
      <c r="D824" s="108"/>
      <c r="E824" s="109"/>
      <c r="F824" s="109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 spans="1:26" ht="12.75" customHeight="1" x14ac:dyDescent="0.3">
      <c r="A825" s="107"/>
      <c r="B825" s="107"/>
      <c r="C825" s="107"/>
      <c r="D825" s="108"/>
      <c r="E825" s="109"/>
      <c r="F825" s="109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 spans="1:26" ht="12.75" customHeight="1" x14ac:dyDescent="0.3">
      <c r="A826" s="107"/>
      <c r="B826" s="107"/>
      <c r="C826" s="107"/>
      <c r="D826" s="108"/>
      <c r="E826" s="109"/>
      <c r="F826" s="109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 spans="1:26" ht="12.75" customHeight="1" x14ac:dyDescent="0.3">
      <c r="A827" s="107"/>
      <c r="B827" s="107"/>
      <c r="C827" s="107"/>
      <c r="D827" s="108"/>
      <c r="E827" s="109"/>
      <c r="F827" s="109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 spans="1:26" ht="12.75" customHeight="1" x14ac:dyDescent="0.3">
      <c r="A828" s="107"/>
      <c r="B828" s="107"/>
      <c r="C828" s="107"/>
      <c r="D828" s="108"/>
      <c r="E828" s="109"/>
      <c r="F828" s="109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 spans="1:26" ht="12.75" customHeight="1" x14ac:dyDescent="0.3">
      <c r="A829" s="107"/>
      <c r="B829" s="107"/>
      <c r="C829" s="107"/>
      <c r="D829" s="108"/>
      <c r="E829" s="109"/>
      <c r="F829" s="109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 spans="1:26" ht="12.75" customHeight="1" x14ac:dyDescent="0.3">
      <c r="A830" s="107"/>
      <c r="B830" s="107"/>
      <c r="C830" s="107"/>
      <c r="D830" s="108"/>
      <c r="E830" s="109"/>
      <c r="F830" s="109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 spans="1:26" ht="12.75" customHeight="1" x14ac:dyDescent="0.3">
      <c r="A831" s="107"/>
      <c r="B831" s="107"/>
      <c r="C831" s="107"/>
      <c r="D831" s="108"/>
      <c r="E831" s="109"/>
      <c r="F831" s="109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 spans="1:26" ht="12.75" customHeight="1" x14ac:dyDescent="0.3">
      <c r="A832" s="107"/>
      <c r="B832" s="107"/>
      <c r="C832" s="107"/>
      <c r="D832" s="108"/>
      <c r="E832" s="109"/>
      <c r="F832" s="109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 spans="1:26" ht="12.75" customHeight="1" x14ac:dyDescent="0.3">
      <c r="A833" s="107"/>
      <c r="B833" s="107"/>
      <c r="C833" s="107"/>
      <c r="D833" s="108"/>
      <c r="E833" s="109"/>
      <c r="F833" s="109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 spans="1:26" ht="12.75" customHeight="1" x14ac:dyDescent="0.3">
      <c r="A834" s="107"/>
      <c r="B834" s="107"/>
      <c r="C834" s="107"/>
      <c r="D834" s="108"/>
      <c r="E834" s="109"/>
      <c r="F834" s="109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 spans="1:26" ht="12.75" customHeight="1" x14ac:dyDescent="0.3">
      <c r="A835" s="107"/>
      <c r="B835" s="107"/>
      <c r="C835" s="107"/>
      <c r="D835" s="108"/>
      <c r="E835" s="109"/>
      <c r="F835" s="109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 spans="1:26" ht="12.75" customHeight="1" x14ac:dyDescent="0.3">
      <c r="A836" s="107"/>
      <c r="B836" s="107"/>
      <c r="C836" s="107"/>
      <c r="D836" s="108"/>
      <c r="E836" s="109"/>
      <c r="F836" s="109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 spans="1:26" ht="12.75" customHeight="1" x14ac:dyDescent="0.3">
      <c r="A837" s="107"/>
      <c r="B837" s="107"/>
      <c r="C837" s="107"/>
      <c r="D837" s="108"/>
      <c r="E837" s="109"/>
      <c r="F837" s="109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 spans="1:26" ht="12.75" customHeight="1" x14ac:dyDescent="0.3">
      <c r="A838" s="107"/>
      <c r="B838" s="107"/>
      <c r="C838" s="107"/>
      <c r="D838" s="108"/>
      <c r="E838" s="109"/>
      <c r="F838" s="109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 spans="1:26" ht="12.75" customHeight="1" x14ac:dyDescent="0.3">
      <c r="A839" s="107"/>
      <c r="B839" s="107"/>
      <c r="C839" s="107"/>
      <c r="D839" s="108"/>
      <c r="E839" s="109"/>
      <c r="F839" s="109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 spans="1:26" ht="12.75" customHeight="1" x14ac:dyDescent="0.3">
      <c r="A840" s="107"/>
      <c r="B840" s="107"/>
      <c r="C840" s="107"/>
      <c r="D840" s="108"/>
      <c r="E840" s="109"/>
      <c r="F840" s="109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 spans="1:26" ht="12.75" customHeight="1" x14ac:dyDescent="0.3">
      <c r="A841" s="107"/>
      <c r="B841" s="107"/>
      <c r="C841" s="107"/>
      <c r="D841" s="108"/>
      <c r="E841" s="109"/>
      <c r="F841" s="109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 spans="1:26" ht="12.75" customHeight="1" x14ac:dyDescent="0.3">
      <c r="A842" s="107"/>
      <c r="B842" s="107"/>
      <c r="C842" s="107"/>
      <c r="D842" s="108"/>
      <c r="E842" s="109"/>
      <c r="F842" s="109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 spans="1:26" ht="12.75" customHeight="1" x14ac:dyDescent="0.3">
      <c r="A843" s="107"/>
      <c r="B843" s="107"/>
      <c r="C843" s="107"/>
      <c r="D843" s="108"/>
      <c r="E843" s="109"/>
      <c r="F843" s="109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 spans="1:26" ht="12.75" customHeight="1" x14ac:dyDescent="0.3">
      <c r="A844" s="107"/>
      <c r="B844" s="107"/>
      <c r="C844" s="107"/>
      <c r="D844" s="108"/>
      <c r="E844" s="109"/>
      <c r="F844" s="109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 spans="1:26" ht="12.75" customHeight="1" x14ac:dyDescent="0.3">
      <c r="A845" s="107"/>
      <c r="B845" s="107"/>
      <c r="C845" s="107"/>
      <c r="D845" s="108"/>
      <c r="E845" s="109"/>
      <c r="F845" s="109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 spans="1:26" ht="12.75" customHeight="1" x14ac:dyDescent="0.3">
      <c r="A846" s="107"/>
      <c r="B846" s="107"/>
      <c r="C846" s="107"/>
      <c r="D846" s="108"/>
      <c r="E846" s="109"/>
      <c r="F846" s="109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 spans="1:26" ht="12.75" customHeight="1" x14ac:dyDescent="0.3">
      <c r="A847" s="107"/>
      <c r="B847" s="107"/>
      <c r="C847" s="107"/>
      <c r="D847" s="108"/>
      <c r="E847" s="109"/>
      <c r="F847" s="109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 spans="1:26" ht="12.75" customHeight="1" x14ac:dyDescent="0.3">
      <c r="A848" s="107"/>
      <c r="B848" s="107"/>
      <c r="C848" s="107"/>
      <c r="D848" s="108"/>
      <c r="E848" s="109"/>
      <c r="F848" s="109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 spans="1:26" ht="12.75" customHeight="1" x14ac:dyDescent="0.3">
      <c r="A849" s="107"/>
      <c r="B849" s="107"/>
      <c r="C849" s="107"/>
      <c r="D849" s="108"/>
      <c r="E849" s="109"/>
      <c r="F849" s="109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 spans="1:26" ht="12.75" customHeight="1" x14ac:dyDescent="0.3">
      <c r="A850" s="107"/>
      <c r="B850" s="107"/>
      <c r="C850" s="107"/>
      <c r="D850" s="108"/>
      <c r="E850" s="109"/>
      <c r="F850" s="109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 spans="1:26" ht="12.75" customHeight="1" x14ac:dyDescent="0.3">
      <c r="A851" s="107"/>
      <c r="B851" s="107"/>
      <c r="C851" s="107"/>
      <c r="D851" s="108"/>
      <c r="E851" s="109"/>
      <c r="F851" s="109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 spans="1:26" ht="12.75" customHeight="1" x14ac:dyDescent="0.3">
      <c r="A852" s="107"/>
      <c r="B852" s="107"/>
      <c r="C852" s="107"/>
      <c r="D852" s="108"/>
      <c r="E852" s="109"/>
      <c r="F852" s="109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 spans="1:26" ht="12.75" customHeight="1" x14ac:dyDescent="0.3">
      <c r="A853" s="107"/>
      <c r="B853" s="107"/>
      <c r="C853" s="107"/>
      <c r="D853" s="108"/>
      <c r="E853" s="109"/>
      <c r="F853" s="109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 spans="1:26" ht="12.75" customHeight="1" x14ac:dyDescent="0.3">
      <c r="A854" s="107"/>
      <c r="B854" s="107"/>
      <c r="C854" s="107"/>
      <c r="D854" s="108"/>
      <c r="E854" s="109"/>
      <c r="F854" s="109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 spans="1:26" ht="12.75" customHeight="1" x14ac:dyDescent="0.3">
      <c r="A855" s="107"/>
      <c r="B855" s="107"/>
      <c r="C855" s="107"/>
      <c r="D855" s="108"/>
      <c r="E855" s="109"/>
      <c r="F855" s="109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 spans="1:26" ht="12.75" customHeight="1" x14ac:dyDescent="0.3">
      <c r="A856" s="107"/>
      <c r="B856" s="107"/>
      <c r="C856" s="107"/>
      <c r="D856" s="108"/>
      <c r="E856" s="109"/>
      <c r="F856" s="109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 spans="1:26" ht="12.75" customHeight="1" x14ac:dyDescent="0.3">
      <c r="A857" s="107"/>
      <c r="B857" s="107"/>
      <c r="C857" s="107"/>
      <c r="D857" s="108"/>
      <c r="E857" s="109"/>
      <c r="F857" s="109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 spans="1:26" ht="12.75" customHeight="1" x14ac:dyDescent="0.3">
      <c r="A858" s="107"/>
      <c r="B858" s="107"/>
      <c r="C858" s="107"/>
      <c r="D858" s="108"/>
      <c r="E858" s="109"/>
      <c r="F858" s="109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 spans="1:26" ht="12.75" customHeight="1" x14ac:dyDescent="0.3">
      <c r="A859" s="107"/>
      <c r="B859" s="107"/>
      <c r="C859" s="107"/>
      <c r="D859" s="108"/>
      <c r="E859" s="109"/>
      <c r="F859" s="109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 spans="1:26" ht="12.75" customHeight="1" x14ac:dyDescent="0.3">
      <c r="A860" s="107"/>
      <c r="B860" s="107"/>
      <c r="C860" s="107"/>
      <c r="D860" s="108"/>
      <c r="E860" s="109"/>
      <c r="F860" s="109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 spans="1:26" ht="12.75" customHeight="1" x14ac:dyDescent="0.3">
      <c r="A861" s="107"/>
      <c r="B861" s="107"/>
      <c r="C861" s="107"/>
      <c r="D861" s="108"/>
      <c r="E861" s="109"/>
      <c r="F861" s="109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 spans="1:26" ht="12.75" customHeight="1" x14ac:dyDescent="0.3">
      <c r="A862" s="107"/>
      <c r="B862" s="107"/>
      <c r="C862" s="107"/>
      <c r="D862" s="108"/>
      <c r="E862" s="109"/>
      <c r="F862" s="109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 spans="1:26" ht="12.75" customHeight="1" x14ac:dyDescent="0.3">
      <c r="A863" s="107"/>
      <c r="B863" s="107"/>
      <c r="C863" s="107"/>
      <c r="D863" s="108"/>
      <c r="E863" s="109"/>
      <c r="F863" s="109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 spans="1:26" ht="12.75" customHeight="1" x14ac:dyDescent="0.3">
      <c r="A864" s="107"/>
      <c r="B864" s="107"/>
      <c r="C864" s="107"/>
      <c r="D864" s="108"/>
      <c r="E864" s="109"/>
      <c r="F864" s="109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 spans="1:26" ht="12.75" customHeight="1" x14ac:dyDescent="0.3">
      <c r="A865" s="107"/>
      <c r="B865" s="107"/>
      <c r="C865" s="107"/>
      <c r="D865" s="108"/>
      <c r="E865" s="109"/>
      <c r="F865" s="109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 spans="1:26" ht="12.75" customHeight="1" x14ac:dyDescent="0.3">
      <c r="A866" s="107"/>
      <c r="B866" s="107"/>
      <c r="C866" s="107"/>
      <c r="D866" s="108"/>
      <c r="E866" s="109"/>
      <c r="F866" s="109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 spans="1:26" ht="12.75" customHeight="1" x14ac:dyDescent="0.3">
      <c r="A867" s="107"/>
      <c r="B867" s="107"/>
      <c r="C867" s="107"/>
      <c r="D867" s="108"/>
      <c r="E867" s="109"/>
      <c r="F867" s="109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 spans="1:26" ht="12.75" customHeight="1" x14ac:dyDescent="0.3">
      <c r="A868" s="107"/>
      <c r="B868" s="107"/>
      <c r="C868" s="107"/>
      <c r="D868" s="108"/>
      <c r="E868" s="109"/>
      <c r="F868" s="109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 spans="1:26" ht="12.75" customHeight="1" x14ac:dyDescent="0.3">
      <c r="A869" s="107"/>
      <c r="B869" s="107"/>
      <c r="C869" s="107"/>
      <c r="D869" s="108"/>
      <c r="E869" s="109"/>
      <c r="F869" s="109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 spans="1:26" ht="12.75" customHeight="1" x14ac:dyDescent="0.3">
      <c r="A870" s="107"/>
      <c r="B870" s="107"/>
      <c r="C870" s="107"/>
      <c r="D870" s="108"/>
      <c r="E870" s="109"/>
      <c r="F870" s="109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 spans="1:26" ht="12.75" customHeight="1" x14ac:dyDescent="0.3">
      <c r="A871" s="107"/>
      <c r="B871" s="107"/>
      <c r="C871" s="107"/>
      <c r="D871" s="108"/>
      <c r="E871" s="109"/>
      <c r="F871" s="109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 spans="1:26" ht="12.75" customHeight="1" x14ac:dyDescent="0.3">
      <c r="A872" s="107"/>
      <c r="B872" s="107"/>
      <c r="C872" s="107"/>
      <c r="D872" s="108"/>
      <c r="E872" s="109"/>
      <c r="F872" s="109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 spans="1:26" ht="12.75" customHeight="1" x14ac:dyDescent="0.3">
      <c r="A873" s="107"/>
      <c r="B873" s="107"/>
      <c r="C873" s="107"/>
      <c r="D873" s="108"/>
      <c r="E873" s="109"/>
      <c r="F873" s="109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 spans="1:26" ht="12.75" customHeight="1" x14ac:dyDescent="0.3">
      <c r="A874" s="107"/>
      <c r="B874" s="107"/>
      <c r="C874" s="107"/>
      <c r="D874" s="108"/>
      <c r="E874" s="109"/>
      <c r="F874" s="109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 spans="1:26" ht="12.75" customHeight="1" x14ac:dyDescent="0.3">
      <c r="A875" s="107"/>
      <c r="B875" s="107"/>
      <c r="C875" s="107"/>
      <c r="D875" s="108"/>
      <c r="E875" s="109"/>
      <c r="F875" s="109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 spans="1:26" ht="12.75" customHeight="1" x14ac:dyDescent="0.3">
      <c r="A876" s="107"/>
      <c r="B876" s="107"/>
      <c r="C876" s="107"/>
      <c r="D876" s="108"/>
      <c r="E876" s="109"/>
      <c r="F876" s="109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 spans="1:26" ht="12.75" customHeight="1" x14ac:dyDescent="0.3">
      <c r="A877" s="107"/>
      <c r="B877" s="107"/>
      <c r="C877" s="107"/>
      <c r="D877" s="108"/>
      <c r="E877" s="109"/>
      <c r="F877" s="109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 spans="1:26" ht="12.75" customHeight="1" x14ac:dyDescent="0.3">
      <c r="A878" s="107"/>
      <c r="B878" s="107"/>
      <c r="C878" s="107"/>
      <c r="D878" s="108"/>
      <c r="E878" s="109"/>
      <c r="F878" s="109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 spans="1:26" ht="12.75" customHeight="1" x14ac:dyDescent="0.3">
      <c r="A879" s="107"/>
      <c r="B879" s="107"/>
      <c r="C879" s="107"/>
      <c r="D879" s="108"/>
      <c r="E879" s="109"/>
      <c r="F879" s="109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 spans="1:26" ht="12.75" customHeight="1" x14ac:dyDescent="0.3">
      <c r="A880" s="107"/>
      <c r="B880" s="107"/>
      <c r="C880" s="107"/>
      <c r="D880" s="108"/>
      <c r="E880" s="109"/>
      <c r="F880" s="109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 spans="1:26" ht="12.75" customHeight="1" x14ac:dyDescent="0.3">
      <c r="A881" s="107"/>
      <c r="B881" s="107"/>
      <c r="C881" s="107"/>
      <c r="D881" s="108"/>
      <c r="E881" s="109"/>
      <c r="F881" s="109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 spans="1:26" ht="12.75" customHeight="1" x14ac:dyDescent="0.3">
      <c r="A882" s="107"/>
      <c r="B882" s="107"/>
      <c r="C882" s="107"/>
      <c r="D882" s="108"/>
      <c r="E882" s="109"/>
      <c r="F882" s="109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 spans="1:26" ht="12.75" customHeight="1" x14ac:dyDescent="0.3">
      <c r="A883" s="107"/>
      <c r="B883" s="107"/>
      <c r="C883" s="107"/>
      <c r="D883" s="108"/>
      <c r="E883" s="109"/>
      <c r="F883" s="109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 spans="1:26" ht="12.75" customHeight="1" x14ac:dyDescent="0.3">
      <c r="A884" s="107"/>
      <c r="B884" s="107"/>
      <c r="C884" s="107"/>
      <c r="D884" s="108"/>
      <c r="E884" s="109"/>
      <c r="F884" s="109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 spans="1:26" ht="12.75" customHeight="1" x14ac:dyDescent="0.3">
      <c r="A885" s="107"/>
      <c r="B885" s="107"/>
      <c r="C885" s="107"/>
      <c r="D885" s="108"/>
      <c r="E885" s="109"/>
      <c r="F885" s="109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 spans="1:26" ht="12.75" customHeight="1" x14ac:dyDescent="0.3">
      <c r="A886" s="107"/>
      <c r="B886" s="107"/>
      <c r="C886" s="107"/>
      <c r="D886" s="108"/>
      <c r="E886" s="109"/>
      <c r="F886" s="109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 spans="1:26" ht="12.75" customHeight="1" x14ac:dyDescent="0.3">
      <c r="A887" s="107"/>
      <c r="B887" s="107"/>
      <c r="C887" s="107"/>
      <c r="D887" s="108"/>
      <c r="E887" s="109"/>
      <c r="F887" s="109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 spans="1:26" ht="12.75" customHeight="1" x14ac:dyDescent="0.3">
      <c r="A888" s="107"/>
      <c r="B888" s="107"/>
      <c r="C888" s="107"/>
      <c r="D888" s="108"/>
      <c r="E888" s="109"/>
      <c r="F888" s="109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 spans="1:26" ht="12.75" customHeight="1" x14ac:dyDescent="0.3">
      <c r="A889" s="107"/>
      <c r="B889" s="107"/>
      <c r="C889" s="107"/>
      <c r="D889" s="108"/>
      <c r="E889" s="109"/>
      <c r="F889" s="109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 spans="1:26" ht="12.75" customHeight="1" x14ac:dyDescent="0.3">
      <c r="A890" s="107"/>
      <c r="B890" s="107"/>
      <c r="C890" s="107"/>
      <c r="D890" s="108"/>
      <c r="E890" s="109"/>
      <c r="F890" s="109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 spans="1:26" ht="12.75" customHeight="1" x14ac:dyDescent="0.3">
      <c r="A891" s="107"/>
      <c r="B891" s="107"/>
      <c r="C891" s="107"/>
      <c r="D891" s="108"/>
      <c r="E891" s="109"/>
      <c r="F891" s="109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 spans="1:26" ht="12.75" customHeight="1" x14ac:dyDescent="0.3">
      <c r="A892" s="107"/>
      <c r="B892" s="107"/>
      <c r="C892" s="107"/>
      <c r="D892" s="108"/>
      <c r="E892" s="109"/>
      <c r="F892" s="109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 spans="1:26" ht="12.75" customHeight="1" x14ac:dyDescent="0.3">
      <c r="A893" s="107"/>
      <c r="B893" s="107"/>
      <c r="C893" s="107"/>
      <c r="D893" s="108"/>
      <c r="E893" s="109"/>
      <c r="F893" s="109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 spans="1:26" ht="12.75" customHeight="1" x14ac:dyDescent="0.3">
      <c r="A894" s="107"/>
      <c r="B894" s="107"/>
      <c r="C894" s="107"/>
      <c r="D894" s="108"/>
      <c r="E894" s="109"/>
      <c r="F894" s="109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 spans="1:26" ht="12.75" customHeight="1" x14ac:dyDescent="0.3">
      <c r="A895" s="107"/>
      <c r="B895" s="107"/>
      <c r="C895" s="107"/>
      <c r="D895" s="108"/>
      <c r="E895" s="109"/>
      <c r="F895" s="109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 spans="1:26" ht="12.75" customHeight="1" x14ac:dyDescent="0.3">
      <c r="A896" s="107"/>
      <c r="B896" s="107"/>
      <c r="C896" s="107"/>
      <c r="D896" s="108"/>
      <c r="E896" s="109"/>
      <c r="F896" s="109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 spans="1:26" ht="12.75" customHeight="1" x14ac:dyDescent="0.3">
      <c r="A897" s="107"/>
      <c r="B897" s="107"/>
      <c r="C897" s="107"/>
      <c r="D897" s="108"/>
      <c r="E897" s="109"/>
      <c r="F897" s="109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 spans="1:26" ht="12.75" customHeight="1" x14ac:dyDescent="0.3">
      <c r="A898" s="107"/>
      <c r="B898" s="107"/>
      <c r="C898" s="107"/>
      <c r="D898" s="108"/>
      <c r="E898" s="109"/>
      <c r="F898" s="109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 spans="1:26" ht="12.75" customHeight="1" x14ac:dyDescent="0.3">
      <c r="A899" s="107"/>
      <c r="B899" s="107"/>
      <c r="C899" s="107"/>
      <c r="D899" s="108"/>
      <c r="E899" s="109"/>
      <c r="F899" s="109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 spans="1:26" ht="12.75" customHeight="1" x14ac:dyDescent="0.3">
      <c r="A900" s="107"/>
      <c r="B900" s="107"/>
      <c r="C900" s="107"/>
      <c r="D900" s="108"/>
      <c r="E900" s="109"/>
      <c r="F900" s="109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 spans="1:26" ht="12.75" customHeight="1" x14ac:dyDescent="0.3">
      <c r="A901" s="107"/>
      <c r="B901" s="107"/>
      <c r="C901" s="107"/>
      <c r="D901" s="108"/>
      <c r="E901" s="109"/>
      <c r="F901" s="109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 spans="1:26" ht="12.75" customHeight="1" x14ac:dyDescent="0.3">
      <c r="A902" s="107"/>
      <c r="B902" s="107"/>
      <c r="C902" s="107"/>
      <c r="D902" s="108"/>
      <c r="E902" s="109"/>
      <c r="F902" s="109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 spans="1:26" ht="12.75" customHeight="1" x14ac:dyDescent="0.3">
      <c r="A903" s="107"/>
      <c r="B903" s="107"/>
      <c r="C903" s="107"/>
      <c r="D903" s="108"/>
      <c r="E903" s="109"/>
      <c r="F903" s="109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 spans="1:26" ht="12.75" customHeight="1" x14ac:dyDescent="0.3">
      <c r="A904" s="107"/>
      <c r="B904" s="107"/>
      <c r="C904" s="107"/>
      <c r="D904" s="108"/>
      <c r="E904" s="109"/>
      <c r="F904" s="109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 spans="1:26" ht="12.75" customHeight="1" x14ac:dyDescent="0.3">
      <c r="A905" s="107"/>
      <c r="B905" s="107"/>
      <c r="C905" s="107"/>
      <c r="D905" s="108"/>
      <c r="E905" s="109"/>
      <c r="F905" s="109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 spans="1:26" ht="12.75" customHeight="1" x14ac:dyDescent="0.3">
      <c r="A906" s="107"/>
      <c r="B906" s="107"/>
      <c r="C906" s="107"/>
      <c r="D906" s="108"/>
      <c r="E906" s="109"/>
      <c r="F906" s="109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 spans="1:26" ht="12.75" customHeight="1" x14ac:dyDescent="0.3">
      <c r="A907" s="107"/>
      <c r="B907" s="107"/>
      <c r="C907" s="107"/>
      <c r="D907" s="108"/>
      <c r="E907" s="109"/>
      <c r="F907" s="109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 spans="1:26" ht="12.75" customHeight="1" x14ac:dyDescent="0.3">
      <c r="A908" s="107"/>
      <c r="B908" s="107"/>
      <c r="C908" s="107"/>
      <c r="D908" s="108"/>
      <c r="E908" s="109"/>
      <c r="F908" s="109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 spans="1:26" ht="12.75" customHeight="1" x14ac:dyDescent="0.3">
      <c r="A909" s="107"/>
      <c r="B909" s="107"/>
      <c r="C909" s="107"/>
      <c r="D909" s="108"/>
      <c r="E909" s="109"/>
      <c r="F909" s="109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 spans="1:26" ht="12.75" customHeight="1" x14ac:dyDescent="0.3">
      <c r="A910" s="107"/>
      <c r="B910" s="107"/>
      <c r="C910" s="107"/>
      <c r="D910" s="108"/>
      <c r="E910" s="109"/>
      <c r="F910" s="109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 spans="1:26" ht="12.75" customHeight="1" x14ac:dyDescent="0.3">
      <c r="A911" s="107"/>
      <c r="B911" s="107"/>
      <c r="C911" s="107"/>
      <c r="D911" s="108"/>
      <c r="E911" s="109"/>
      <c r="F911" s="109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 spans="1:26" ht="12.75" customHeight="1" x14ac:dyDescent="0.3">
      <c r="A912" s="107"/>
      <c r="B912" s="107"/>
      <c r="C912" s="107"/>
      <c r="D912" s="108"/>
      <c r="E912" s="109"/>
      <c r="F912" s="109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 spans="1:26" ht="12.75" customHeight="1" x14ac:dyDescent="0.3">
      <c r="A913" s="107"/>
      <c r="B913" s="107"/>
      <c r="C913" s="107"/>
      <c r="D913" s="108"/>
      <c r="E913" s="109"/>
      <c r="F913" s="109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 spans="1:26" ht="12.75" customHeight="1" x14ac:dyDescent="0.3">
      <c r="A914" s="107"/>
      <c r="B914" s="107"/>
      <c r="C914" s="107"/>
      <c r="D914" s="108"/>
      <c r="E914" s="109"/>
      <c r="F914" s="109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 spans="1:26" ht="12.75" customHeight="1" x14ac:dyDescent="0.3">
      <c r="A915" s="107"/>
      <c r="B915" s="107"/>
      <c r="C915" s="107"/>
      <c r="D915" s="108"/>
      <c r="E915" s="109"/>
      <c r="F915" s="109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 spans="1:26" ht="12.75" customHeight="1" x14ac:dyDescent="0.3">
      <c r="A916" s="107"/>
      <c r="B916" s="107"/>
      <c r="C916" s="107"/>
      <c r="D916" s="108"/>
      <c r="E916" s="109"/>
      <c r="F916" s="109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 spans="1:26" ht="12.75" customHeight="1" x14ac:dyDescent="0.3">
      <c r="A917" s="107"/>
      <c r="B917" s="107"/>
      <c r="C917" s="107"/>
      <c r="D917" s="108"/>
      <c r="E917" s="109"/>
      <c r="F917" s="109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 spans="1:26" ht="12.75" customHeight="1" x14ac:dyDescent="0.3">
      <c r="A918" s="107"/>
      <c r="B918" s="107"/>
      <c r="C918" s="107"/>
      <c r="D918" s="108"/>
      <c r="E918" s="109"/>
      <c r="F918" s="109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 spans="1:26" ht="12.75" customHeight="1" x14ac:dyDescent="0.3">
      <c r="A919" s="107"/>
      <c r="B919" s="107"/>
      <c r="C919" s="107"/>
      <c r="D919" s="108"/>
      <c r="E919" s="109"/>
      <c r="F919" s="109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 spans="1:26" ht="12.75" customHeight="1" x14ac:dyDescent="0.3">
      <c r="A920" s="107"/>
      <c r="B920" s="107"/>
      <c r="C920" s="107"/>
      <c r="D920" s="108"/>
      <c r="E920" s="109"/>
      <c r="F920" s="109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 spans="1:26" ht="12.75" customHeight="1" x14ac:dyDescent="0.3">
      <c r="A921" s="107"/>
      <c r="B921" s="107"/>
      <c r="C921" s="107"/>
      <c r="D921" s="108"/>
      <c r="E921" s="109"/>
      <c r="F921" s="109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 spans="1:26" ht="12.75" customHeight="1" x14ac:dyDescent="0.3">
      <c r="A922" s="107"/>
      <c r="B922" s="107"/>
      <c r="C922" s="107"/>
      <c r="D922" s="108"/>
      <c r="E922" s="109"/>
      <c r="F922" s="109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 spans="1:26" ht="12.75" customHeight="1" x14ac:dyDescent="0.3">
      <c r="A923" s="107"/>
      <c r="B923" s="107"/>
      <c r="C923" s="107"/>
      <c r="D923" s="108"/>
      <c r="E923" s="109"/>
      <c r="F923" s="109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 spans="1:26" ht="12.75" customHeight="1" x14ac:dyDescent="0.3">
      <c r="A924" s="107"/>
      <c r="B924" s="107"/>
      <c r="C924" s="107"/>
      <c r="D924" s="108"/>
      <c r="E924" s="109"/>
      <c r="F924" s="109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 spans="1:26" ht="12.75" customHeight="1" x14ac:dyDescent="0.3">
      <c r="A925" s="107"/>
      <c r="B925" s="107"/>
      <c r="C925" s="107"/>
      <c r="D925" s="108"/>
      <c r="E925" s="109"/>
      <c r="F925" s="109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 spans="1:26" ht="12.75" customHeight="1" x14ac:dyDescent="0.3">
      <c r="A926" s="107"/>
      <c r="B926" s="107"/>
      <c r="C926" s="107"/>
      <c r="D926" s="108"/>
      <c r="E926" s="109"/>
      <c r="F926" s="109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 spans="1:26" ht="12.75" customHeight="1" x14ac:dyDescent="0.3">
      <c r="A927" s="107"/>
      <c r="B927" s="107"/>
      <c r="C927" s="107"/>
      <c r="D927" s="108"/>
      <c r="E927" s="109"/>
      <c r="F927" s="109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 spans="1:26" ht="12.75" customHeight="1" x14ac:dyDescent="0.3">
      <c r="A928" s="107"/>
      <c r="B928" s="107"/>
      <c r="C928" s="107"/>
      <c r="D928" s="108"/>
      <c r="E928" s="109"/>
      <c r="F928" s="109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 spans="1:26" ht="12.75" customHeight="1" x14ac:dyDescent="0.3">
      <c r="A929" s="107"/>
      <c r="B929" s="107"/>
      <c r="C929" s="107"/>
      <c r="D929" s="108"/>
      <c r="E929" s="109"/>
      <c r="F929" s="109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 spans="1:26" ht="12.75" customHeight="1" x14ac:dyDescent="0.3">
      <c r="A930" s="107"/>
      <c r="B930" s="107"/>
      <c r="C930" s="107"/>
      <c r="D930" s="108"/>
      <c r="E930" s="109"/>
      <c r="F930" s="109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 spans="1:26" ht="12.75" customHeight="1" x14ac:dyDescent="0.3">
      <c r="A931" s="107"/>
      <c r="B931" s="107"/>
      <c r="C931" s="107"/>
      <c r="D931" s="108"/>
      <c r="E931" s="109"/>
      <c r="F931" s="109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 spans="1:26" ht="12.75" customHeight="1" x14ac:dyDescent="0.3">
      <c r="A932" s="107"/>
      <c r="B932" s="107"/>
      <c r="C932" s="107"/>
      <c r="D932" s="108"/>
      <c r="E932" s="109"/>
      <c r="F932" s="109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 spans="1:26" ht="12.75" customHeight="1" x14ac:dyDescent="0.3">
      <c r="A933" s="107"/>
      <c r="B933" s="107"/>
      <c r="C933" s="107"/>
      <c r="D933" s="108"/>
      <c r="E933" s="109"/>
      <c r="F933" s="109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 spans="1:26" ht="12.75" customHeight="1" x14ac:dyDescent="0.3">
      <c r="A934" s="107"/>
      <c r="B934" s="107"/>
      <c r="C934" s="107"/>
      <c r="D934" s="108"/>
      <c r="E934" s="109"/>
      <c r="F934" s="109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 spans="1:26" ht="12.75" customHeight="1" x14ac:dyDescent="0.3">
      <c r="A935" s="107"/>
      <c r="B935" s="107"/>
      <c r="C935" s="107"/>
      <c r="D935" s="108"/>
      <c r="E935" s="109"/>
      <c r="F935" s="109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 spans="1:26" ht="12.75" customHeight="1" x14ac:dyDescent="0.3">
      <c r="A936" s="107"/>
      <c r="B936" s="107"/>
      <c r="C936" s="107"/>
      <c r="D936" s="108"/>
      <c r="E936" s="109"/>
      <c r="F936" s="109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 spans="1:26" ht="12.75" customHeight="1" x14ac:dyDescent="0.3">
      <c r="A937" s="107"/>
      <c r="B937" s="107"/>
      <c r="C937" s="107"/>
      <c r="D937" s="108"/>
      <c r="E937" s="109"/>
      <c r="F937" s="109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 spans="1:26" ht="12.75" customHeight="1" x14ac:dyDescent="0.3">
      <c r="A938" s="107"/>
      <c r="B938" s="107"/>
      <c r="C938" s="107"/>
      <c r="D938" s="108"/>
      <c r="E938" s="109"/>
      <c r="F938" s="109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 spans="1:26" ht="12.75" customHeight="1" x14ac:dyDescent="0.3">
      <c r="A939" s="107"/>
      <c r="B939" s="107"/>
      <c r="C939" s="107"/>
      <c r="D939" s="108"/>
      <c r="E939" s="109"/>
      <c r="F939" s="109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 spans="1:26" ht="12.75" customHeight="1" x14ac:dyDescent="0.3">
      <c r="A940" s="107"/>
      <c r="B940" s="107"/>
      <c r="C940" s="107"/>
      <c r="D940" s="108"/>
      <c r="E940" s="109"/>
      <c r="F940" s="109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 spans="1:26" ht="12.75" customHeight="1" x14ac:dyDescent="0.3">
      <c r="A941" s="107"/>
      <c r="B941" s="107"/>
      <c r="C941" s="107"/>
      <c r="D941" s="108"/>
      <c r="E941" s="109"/>
      <c r="F941" s="109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 spans="1:26" ht="12.75" customHeight="1" x14ac:dyDescent="0.3">
      <c r="A942" s="107"/>
      <c r="B942" s="107"/>
      <c r="C942" s="107"/>
      <c r="D942" s="108"/>
      <c r="E942" s="109"/>
      <c r="F942" s="109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 spans="1:26" ht="12.75" customHeight="1" x14ac:dyDescent="0.3">
      <c r="A943" s="107"/>
      <c r="B943" s="107"/>
      <c r="C943" s="107"/>
      <c r="D943" s="108"/>
      <c r="E943" s="109"/>
      <c r="F943" s="109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 spans="1:26" ht="12.75" customHeight="1" x14ac:dyDescent="0.3">
      <c r="A944" s="107"/>
      <c r="B944" s="107"/>
      <c r="C944" s="107"/>
      <c r="D944" s="108"/>
      <c r="E944" s="109"/>
      <c r="F944" s="109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 spans="1:26" ht="12.75" customHeight="1" x14ac:dyDescent="0.3">
      <c r="A945" s="107"/>
      <c r="B945" s="107"/>
      <c r="C945" s="107"/>
      <c r="D945" s="108"/>
      <c r="E945" s="109"/>
      <c r="F945" s="109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 spans="1:26" ht="12.75" customHeight="1" x14ac:dyDescent="0.3">
      <c r="A946" s="107"/>
      <c r="B946" s="107"/>
      <c r="C946" s="107"/>
      <c r="D946" s="108"/>
      <c r="E946" s="109"/>
      <c r="F946" s="109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 spans="1:26" ht="12.75" customHeight="1" x14ac:dyDescent="0.3">
      <c r="A947" s="107"/>
      <c r="B947" s="107"/>
      <c r="C947" s="107"/>
      <c r="D947" s="108"/>
      <c r="E947" s="109"/>
      <c r="F947" s="109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 spans="1:26" ht="12.75" customHeight="1" x14ac:dyDescent="0.3">
      <c r="A948" s="107"/>
      <c r="B948" s="107"/>
      <c r="C948" s="107"/>
      <c r="D948" s="108"/>
      <c r="E948" s="109"/>
      <c r="F948" s="109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 spans="1:26" ht="12.75" customHeight="1" x14ac:dyDescent="0.3">
      <c r="A949" s="107"/>
      <c r="B949" s="107"/>
      <c r="C949" s="107"/>
      <c r="D949" s="108"/>
      <c r="E949" s="109"/>
      <c r="F949" s="109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 spans="1:26" ht="12.75" customHeight="1" x14ac:dyDescent="0.3">
      <c r="A950" s="107"/>
      <c r="B950" s="107"/>
      <c r="C950" s="107"/>
      <c r="D950" s="108"/>
      <c r="E950" s="109"/>
      <c r="F950" s="109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 spans="1:26" ht="12.75" customHeight="1" x14ac:dyDescent="0.3">
      <c r="A951" s="107"/>
      <c r="B951" s="107"/>
      <c r="C951" s="107"/>
      <c r="D951" s="108"/>
      <c r="E951" s="109"/>
      <c r="F951" s="109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 spans="1:26" ht="12.75" customHeight="1" x14ac:dyDescent="0.3">
      <c r="A952" s="107"/>
      <c r="B952" s="107"/>
      <c r="C952" s="107"/>
      <c r="D952" s="108"/>
      <c r="E952" s="109"/>
      <c r="F952" s="109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 spans="1:26" ht="12.75" customHeight="1" x14ac:dyDescent="0.3">
      <c r="A953" s="107"/>
      <c r="B953" s="107"/>
      <c r="C953" s="107"/>
      <c r="D953" s="108"/>
      <c r="E953" s="109"/>
      <c r="F953" s="109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 spans="1:26" ht="12.75" customHeight="1" x14ac:dyDescent="0.3">
      <c r="A954" s="107"/>
      <c r="B954" s="107"/>
      <c r="C954" s="107"/>
      <c r="D954" s="108"/>
      <c r="E954" s="109"/>
      <c r="F954" s="109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 spans="1:26" ht="12.75" customHeight="1" x14ac:dyDescent="0.3">
      <c r="A955" s="107"/>
      <c r="B955" s="107"/>
      <c r="C955" s="107"/>
      <c r="D955" s="108"/>
      <c r="E955" s="109"/>
      <c r="F955" s="109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 spans="1:26" ht="12.75" customHeight="1" x14ac:dyDescent="0.3">
      <c r="A956" s="107"/>
      <c r="B956" s="107"/>
      <c r="C956" s="107"/>
      <c r="D956" s="108"/>
      <c r="E956" s="109"/>
      <c r="F956" s="109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 spans="1:26" ht="12.75" customHeight="1" x14ac:dyDescent="0.3">
      <c r="A957" s="107"/>
      <c r="B957" s="107"/>
      <c r="C957" s="107"/>
      <c r="D957" s="108"/>
      <c r="E957" s="109"/>
      <c r="F957" s="109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 spans="1:26" ht="12.75" customHeight="1" x14ac:dyDescent="0.3">
      <c r="A958" s="107"/>
      <c r="B958" s="107"/>
      <c r="C958" s="107"/>
      <c r="D958" s="108"/>
      <c r="E958" s="109"/>
      <c r="F958" s="109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 spans="1:26" ht="12.75" customHeight="1" x14ac:dyDescent="0.3">
      <c r="A959" s="107"/>
      <c r="B959" s="107"/>
      <c r="C959" s="107"/>
      <c r="D959" s="108"/>
      <c r="E959" s="109"/>
      <c r="F959" s="109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 spans="1:26" ht="12.75" customHeight="1" x14ac:dyDescent="0.3">
      <c r="A960" s="107"/>
      <c r="B960" s="107"/>
      <c r="C960" s="107"/>
      <c r="D960" s="108"/>
      <c r="E960" s="109"/>
      <c r="F960" s="109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 spans="1:26" ht="12.75" customHeight="1" x14ac:dyDescent="0.3">
      <c r="A961" s="107"/>
      <c r="B961" s="107"/>
      <c r="C961" s="107"/>
      <c r="D961" s="108"/>
      <c r="E961" s="109"/>
      <c r="F961" s="109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 spans="1:26" ht="12.75" customHeight="1" x14ac:dyDescent="0.3">
      <c r="A962" s="107"/>
      <c r="B962" s="107"/>
      <c r="C962" s="107"/>
      <c r="D962" s="108"/>
      <c r="E962" s="109"/>
      <c r="F962" s="109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 spans="1:26" ht="12.75" customHeight="1" x14ac:dyDescent="0.3">
      <c r="A963" s="107"/>
      <c r="B963" s="107"/>
      <c r="C963" s="107"/>
      <c r="D963" s="108"/>
      <c r="E963" s="109"/>
      <c r="F963" s="109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 spans="1:26" ht="12.75" customHeight="1" x14ac:dyDescent="0.3">
      <c r="A964" s="107"/>
      <c r="B964" s="107"/>
      <c r="C964" s="107"/>
      <c r="D964" s="108"/>
      <c r="E964" s="109"/>
      <c r="F964" s="109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 spans="1:26" ht="12.75" customHeight="1" x14ac:dyDescent="0.3">
      <c r="A965" s="107"/>
      <c r="B965" s="107"/>
      <c r="C965" s="107"/>
      <c r="D965" s="108"/>
      <c r="E965" s="109"/>
      <c r="F965" s="109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 spans="1:26" ht="12.75" customHeight="1" x14ac:dyDescent="0.3">
      <c r="A966" s="107"/>
      <c r="B966" s="107"/>
      <c r="C966" s="107"/>
      <c r="D966" s="108"/>
      <c r="E966" s="109"/>
      <c r="F966" s="109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 spans="1:26" ht="12.75" customHeight="1" x14ac:dyDescent="0.3">
      <c r="A967" s="107"/>
      <c r="B967" s="107"/>
      <c r="C967" s="107"/>
      <c r="D967" s="108"/>
      <c r="E967" s="109"/>
      <c r="F967" s="109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 spans="1:26" ht="12.75" customHeight="1" x14ac:dyDescent="0.3">
      <c r="A968" s="107"/>
      <c r="B968" s="107"/>
      <c r="C968" s="107"/>
      <c r="D968" s="108"/>
      <c r="E968" s="109"/>
      <c r="F968" s="109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 spans="1:26" ht="12.75" customHeight="1" x14ac:dyDescent="0.3">
      <c r="A969" s="107"/>
      <c r="B969" s="107"/>
      <c r="C969" s="107"/>
      <c r="D969" s="108"/>
      <c r="E969" s="109"/>
      <c r="F969" s="109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 spans="1:26" ht="12.75" customHeight="1" x14ac:dyDescent="0.3">
      <c r="A970" s="107"/>
      <c r="B970" s="107"/>
      <c r="C970" s="107"/>
      <c r="D970" s="108"/>
      <c r="E970" s="109"/>
      <c r="F970" s="109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 spans="1:26" ht="12.75" customHeight="1" x14ac:dyDescent="0.3">
      <c r="A971" s="107"/>
      <c r="B971" s="107"/>
      <c r="C971" s="107"/>
      <c r="D971" s="108"/>
      <c r="E971" s="109"/>
      <c r="F971" s="109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 spans="1:26" ht="12.75" customHeight="1" x14ac:dyDescent="0.3">
      <c r="A972" s="107"/>
      <c r="B972" s="107"/>
      <c r="C972" s="107"/>
      <c r="D972" s="108"/>
      <c r="E972" s="109"/>
      <c r="F972" s="109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 spans="1:26" ht="12.75" customHeight="1" x14ac:dyDescent="0.3">
      <c r="A973" s="107"/>
      <c r="B973" s="107"/>
      <c r="C973" s="107"/>
      <c r="D973" s="108"/>
      <c r="E973" s="109"/>
      <c r="F973" s="109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 spans="1:26" ht="12.75" customHeight="1" x14ac:dyDescent="0.3">
      <c r="A974" s="107"/>
      <c r="B974" s="107"/>
      <c r="C974" s="107"/>
      <c r="D974" s="108"/>
      <c r="E974" s="109"/>
      <c r="F974" s="109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 spans="1:26" ht="12.75" customHeight="1" x14ac:dyDescent="0.3">
      <c r="A975" s="107"/>
      <c r="B975" s="107"/>
      <c r="C975" s="107"/>
      <c r="D975" s="108"/>
      <c r="E975" s="109"/>
      <c r="F975" s="109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 spans="1:26" ht="12.75" customHeight="1" x14ac:dyDescent="0.3">
      <c r="A976" s="107"/>
      <c r="B976" s="107"/>
      <c r="C976" s="107"/>
      <c r="D976" s="108"/>
      <c r="E976" s="109"/>
      <c r="F976" s="109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 spans="1:26" ht="12.75" customHeight="1" x14ac:dyDescent="0.3">
      <c r="A977" s="107"/>
      <c r="B977" s="107"/>
      <c r="C977" s="107"/>
      <c r="D977" s="108"/>
      <c r="E977" s="109"/>
      <c r="F977" s="109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 spans="1:26" ht="12.75" customHeight="1" x14ac:dyDescent="0.3">
      <c r="A978" s="107"/>
      <c r="B978" s="107"/>
      <c r="C978" s="107"/>
      <c r="D978" s="108"/>
      <c r="E978" s="109"/>
      <c r="F978" s="109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 spans="1:26" ht="12.75" customHeight="1" x14ac:dyDescent="0.3">
      <c r="A979" s="107"/>
      <c r="B979" s="107"/>
      <c r="C979" s="107"/>
      <c r="D979" s="108"/>
      <c r="E979" s="109"/>
      <c r="F979" s="109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 spans="1:26" ht="12.75" customHeight="1" x14ac:dyDescent="0.3">
      <c r="A980" s="107"/>
      <c r="B980" s="107"/>
      <c r="C980" s="107"/>
      <c r="D980" s="108"/>
      <c r="E980" s="109"/>
      <c r="F980" s="109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 spans="1:26" ht="12.75" customHeight="1" x14ac:dyDescent="0.3">
      <c r="A981" s="107"/>
      <c r="B981" s="107"/>
      <c r="C981" s="107"/>
      <c r="D981" s="108"/>
      <c r="E981" s="109"/>
      <c r="F981" s="109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 spans="1:26" ht="12.75" customHeight="1" x14ac:dyDescent="0.3">
      <c r="A982" s="107"/>
      <c r="B982" s="107"/>
      <c r="C982" s="107"/>
      <c r="D982" s="108"/>
      <c r="E982" s="109"/>
      <c r="F982" s="109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 spans="1:26" ht="12.75" customHeight="1" x14ac:dyDescent="0.3">
      <c r="A983" s="107"/>
      <c r="B983" s="107"/>
      <c r="C983" s="107"/>
      <c r="D983" s="108"/>
      <c r="E983" s="109"/>
      <c r="F983" s="109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 spans="1:26" ht="12.75" customHeight="1" x14ac:dyDescent="0.3">
      <c r="A984" s="107"/>
      <c r="B984" s="107"/>
      <c r="C984" s="107"/>
      <c r="D984" s="108"/>
      <c r="E984" s="109"/>
      <c r="F984" s="109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 spans="1:26" ht="12.75" customHeight="1" x14ac:dyDescent="0.3">
      <c r="A985" s="107"/>
      <c r="B985" s="107"/>
      <c r="C985" s="107"/>
      <c r="D985" s="108"/>
      <c r="E985" s="109"/>
      <c r="F985" s="109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 spans="1:26" ht="12.75" customHeight="1" x14ac:dyDescent="0.3">
      <c r="A986" s="107"/>
      <c r="B986" s="107"/>
      <c r="C986" s="107"/>
      <c r="D986" s="108"/>
      <c r="E986" s="109"/>
      <c r="F986" s="109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 spans="1:26" ht="12.75" customHeight="1" x14ac:dyDescent="0.3">
      <c r="A987" s="107"/>
      <c r="B987" s="107"/>
      <c r="C987" s="107"/>
      <c r="D987" s="108"/>
      <c r="E987" s="109"/>
      <c r="F987" s="109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 spans="1:26" ht="12.75" customHeight="1" x14ac:dyDescent="0.3">
      <c r="A988" s="107"/>
      <c r="B988" s="107"/>
      <c r="C988" s="107"/>
      <c r="D988" s="108"/>
      <c r="E988" s="109"/>
      <c r="F988" s="109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 spans="1:26" ht="12.75" customHeight="1" x14ac:dyDescent="0.3">
      <c r="A989" s="107"/>
      <c r="B989" s="107"/>
      <c r="C989" s="107"/>
      <c r="D989" s="108"/>
      <c r="E989" s="109"/>
      <c r="F989" s="109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 spans="1:26" ht="12.75" customHeight="1" x14ac:dyDescent="0.3">
      <c r="A990" s="107"/>
      <c r="B990" s="107"/>
      <c r="C990" s="107"/>
      <c r="D990" s="108"/>
      <c r="E990" s="109"/>
      <c r="F990" s="109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 spans="1:26" ht="12.75" customHeight="1" x14ac:dyDescent="0.3">
      <c r="A991" s="107"/>
      <c r="B991" s="107"/>
      <c r="C991" s="107"/>
      <c r="D991" s="108"/>
      <c r="E991" s="109"/>
      <c r="F991" s="109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 spans="1:26" ht="12.75" customHeight="1" x14ac:dyDescent="0.3">
      <c r="A992" s="107"/>
      <c r="B992" s="107"/>
      <c r="C992" s="107"/>
      <c r="D992" s="108"/>
      <c r="E992" s="109"/>
      <c r="F992" s="109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96"/>
  <sheetViews>
    <sheetView workbookViewId="0">
      <pane ySplit="1" topLeftCell="A258" activePane="bottomLeft" state="frozen"/>
      <selection pane="bottomLeft" activeCell="I2" sqref="I2:I272"/>
    </sheetView>
  </sheetViews>
  <sheetFormatPr defaultColWidth="14.44140625" defaultRowHeight="15" customHeight="1" x14ac:dyDescent="0.3"/>
  <cols>
    <col min="1" max="1" width="13.33203125" customWidth="1"/>
    <col min="2" max="2" width="27.44140625" customWidth="1"/>
    <col min="3" max="3" width="64.5546875" customWidth="1"/>
    <col min="4" max="4" width="5.44140625" customWidth="1"/>
    <col min="5" max="5" width="14.33203125" customWidth="1"/>
    <col min="6" max="6" width="15" customWidth="1"/>
    <col min="7" max="7" width="12.109375" customWidth="1"/>
    <col min="8" max="8" width="1.6640625" customWidth="1"/>
    <col min="9" max="9" width="9.109375" customWidth="1"/>
    <col min="10" max="10" width="9.33203125" customWidth="1"/>
    <col min="11" max="11" width="7.5546875" customWidth="1"/>
    <col min="12" max="26" width="8.6640625" customWidth="1"/>
  </cols>
  <sheetData>
    <row r="1" spans="1:26" ht="14.4" x14ac:dyDescent="0.3">
      <c r="A1" s="102" t="s">
        <v>0</v>
      </c>
      <c r="B1" s="125" t="s">
        <v>1</v>
      </c>
      <c r="C1" s="125" t="s">
        <v>2</v>
      </c>
      <c r="D1" s="125" t="s">
        <v>3</v>
      </c>
      <c r="E1" s="126" t="s">
        <v>4</v>
      </c>
      <c r="F1" s="126" t="s">
        <v>162</v>
      </c>
      <c r="G1" s="127" t="s">
        <v>7</v>
      </c>
      <c r="H1" s="128"/>
      <c r="I1" s="127" t="s">
        <v>8</v>
      </c>
      <c r="J1" s="126" t="s">
        <v>9</v>
      </c>
      <c r="K1" s="127" t="s">
        <v>7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ht="14.4" x14ac:dyDescent="0.3">
      <c r="A2" s="107" t="s">
        <v>2692</v>
      </c>
      <c r="B2" s="107" t="s">
        <v>2693</v>
      </c>
      <c r="C2" s="107" t="s">
        <v>2694</v>
      </c>
      <c r="D2" s="108" t="s">
        <v>13</v>
      </c>
      <c r="E2" s="109">
        <v>41</v>
      </c>
      <c r="F2" s="109">
        <v>40</v>
      </c>
      <c r="G2" s="110">
        <f t="shared" ref="G2:G58" si="0">1-(F2/E2)</f>
        <v>2.4390243902439046E-2</v>
      </c>
      <c r="H2" s="110"/>
      <c r="I2" s="110">
        <v>0</v>
      </c>
      <c r="J2" s="109">
        <f t="shared" ref="J2:J58" si="1">E2*(1-I2)</f>
        <v>41</v>
      </c>
      <c r="K2" s="110">
        <f t="shared" ref="K2:K3" si="2">1-(F2/J2)</f>
        <v>2.4390243902439046E-2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spans="1:26" ht="14.4" x14ac:dyDescent="0.3">
      <c r="A3" s="107" t="s">
        <v>2692</v>
      </c>
      <c r="B3" s="107" t="s">
        <v>2695</v>
      </c>
      <c r="C3" s="107" t="s">
        <v>2696</v>
      </c>
      <c r="D3" s="108" t="s">
        <v>13</v>
      </c>
      <c r="E3" s="109">
        <v>36</v>
      </c>
      <c r="F3" s="109">
        <v>35.119999999999997</v>
      </c>
      <c r="G3" s="110">
        <f t="shared" si="0"/>
        <v>2.4444444444444491E-2</v>
      </c>
      <c r="H3" s="110"/>
      <c r="I3" s="110">
        <v>0</v>
      </c>
      <c r="J3" s="109">
        <f t="shared" si="1"/>
        <v>36</v>
      </c>
      <c r="K3" s="110">
        <f t="shared" si="2"/>
        <v>2.4444444444444491E-2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 spans="1:26" ht="14.4" x14ac:dyDescent="0.3">
      <c r="A4" s="107" t="s">
        <v>2692</v>
      </c>
      <c r="B4" s="107" t="s">
        <v>2697</v>
      </c>
      <c r="C4" s="107" t="s">
        <v>2698</v>
      </c>
      <c r="D4" s="108" t="s">
        <v>13</v>
      </c>
      <c r="E4" s="109">
        <v>90</v>
      </c>
      <c r="F4" s="109">
        <v>87.8</v>
      </c>
      <c r="G4" s="110">
        <f t="shared" si="0"/>
        <v>2.4444444444444491E-2</v>
      </c>
      <c r="H4" s="110"/>
      <c r="I4" s="110">
        <v>0</v>
      </c>
      <c r="J4" s="109">
        <f t="shared" si="1"/>
        <v>90</v>
      </c>
      <c r="K4" s="110">
        <f t="shared" ref="K4:K5" si="3">1-(E4/J4)</f>
        <v>0</v>
      </c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spans="1:26" ht="14.4" x14ac:dyDescent="0.3">
      <c r="A5" s="107" t="s">
        <v>2692</v>
      </c>
      <c r="B5" s="107" t="s">
        <v>2699</v>
      </c>
      <c r="C5" s="107" t="s">
        <v>2700</v>
      </c>
      <c r="D5" s="108" t="s">
        <v>13</v>
      </c>
      <c r="E5" s="109">
        <v>102</v>
      </c>
      <c r="F5" s="109">
        <v>99.51</v>
      </c>
      <c r="G5" s="110">
        <f t="shared" si="0"/>
        <v>2.4411764705882355E-2</v>
      </c>
      <c r="H5" s="110"/>
      <c r="I5" s="110">
        <v>0</v>
      </c>
      <c r="J5" s="109">
        <f t="shared" si="1"/>
        <v>102</v>
      </c>
      <c r="K5" s="110">
        <f t="shared" si="3"/>
        <v>0</v>
      </c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spans="1:26" ht="14.4" x14ac:dyDescent="0.3">
      <c r="A6" s="107" t="s">
        <v>2692</v>
      </c>
      <c r="B6" s="107" t="s">
        <v>2701</v>
      </c>
      <c r="C6" s="107" t="s">
        <v>2702</v>
      </c>
      <c r="D6" s="108" t="s">
        <v>13</v>
      </c>
      <c r="E6" s="109">
        <v>102</v>
      </c>
      <c r="F6" s="109">
        <v>99.51</v>
      </c>
      <c r="G6" s="110">
        <f t="shared" si="0"/>
        <v>2.4411764705882355E-2</v>
      </c>
      <c r="H6" s="110"/>
      <c r="I6" s="110">
        <v>0</v>
      </c>
      <c r="J6" s="109">
        <f t="shared" si="1"/>
        <v>102</v>
      </c>
      <c r="K6" s="110">
        <f t="shared" ref="K6:K58" si="4">1-(F6/J6)</f>
        <v>2.4411764705882355E-2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 spans="1:26" ht="14.4" x14ac:dyDescent="0.3">
      <c r="A7" s="107" t="s">
        <v>2692</v>
      </c>
      <c r="B7" s="107" t="s">
        <v>2703</v>
      </c>
      <c r="C7" s="107" t="s">
        <v>2704</v>
      </c>
      <c r="D7" s="108" t="s">
        <v>13</v>
      </c>
      <c r="E7" s="109">
        <v>90</v>
      </c>
      <c r="F7" s="109">
        <v>87.8</v>
      </c>
      <c r="G7" s="110">
        <f t="shared" si="0"/>
        <v>2.4444444444444491E-2</v>
      </c>
      <c r="H7" s="110"/>
      <c r="I7" s="110">
        <v>0</v>
      </c>
      <c r="J7" s="109">
        <f t="shared" si="1"/>
        <v>90</v>
      </c>
      <c r="K7" s="110">
        <f t="shared" si="4"/>
        <v>2.4444444444444491E-2</v>
      </c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 spans="1:26" ht="14.4" x14ac:dyDescent="0.3">
      <c r="A8" s="107" t="s">
        <v>2692</v>
      </c>
      <c r="B8" s="107" t="s">
        <v>2705</v>
      </c>
      <c r="C8" s="107" t="s">
        <v>2706</v>
      </c>
      <c r="D8" s="108" t="s">
        <v>13</v>
      </c>
      <c r="E8" s="109">
        <v>56</v>
      </c>
      <c r="F8" s="109">
        <v>54.63</v>
      </c>
      <c r="G8" s="110">
        <f t="shared" si="0"/>
        <v>2.4464285714285716E-2</v>
      </c>
      <c r="H8" s="110"/>
      <c r="I8" s="110">
        <v>0</v>
      </c>
      <c r="J8" s="109">
        <f t="shared" si="1"/>
        <v>56</v>
      </c>
      <c r="K8" s="110">
        <f t="shared" si="4"/>
        <v>2.4464285714285716E-2</v>
      </c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spans="1:26" ht="14.4" x14ac:dyDescent="0.3">
      <c r="A9" s="107" t="s">
        <v>2692</v>
      </c>
      <c r="B9" s="107" t="s">
        <v>2707</v>
      </c>
      <c r="C9" s="107" t="s">
        <v>2706</v>
      </c>
      <c r="D9" s="108" t="s">
        <v>13</v>
      </c>
      <c r="E9" s="109">
        <v>53</v>
      </c>
      <c r="F9" s="109">
        <v>51.71</v>
      </c>
      <c r="G9" s="110">
        <f t="shared" si="0"/>
        <v>2.4339622641509462E-2</v>
      </c>
      <c r="H9" s="110"/>
      <c r="I9" s="110">
        <v>0</v>
      </c>
      <c r="J9" s="109">
        <f t="shared" si="1"/>
        <v>53</v>
      </c>
      <c r="K9" s="110">
        <f t="shared" si="4"/>
        <v>2.4339622641509462E-2</v>
      </c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spans="1:26" ht="14.4" x14ac:dyDescent="0.3">
      <c r="A10" s="107" t="s">
        <v>2692</v>
      </c>
      <c r="B10" s="107" t="s">
        <v>2708</v>
      </c>
      <c r="C10" s="107" t="s">
        <v>2709</v>
      </c>
      <c r="D10" s="108" t="s">
        <v>13</v>
      </c>
      <c r="E10" s="109">
        <v>34</v>
      </c>
      <c r="F10" s="109">
        <v>33.17</v>
      </c>
      <c r="G10" s="110">
        <f t="shared" si="0"/>
        <v>2.4411764705882355E-2</v>
      </c>
      <c r="H10" s="110"/>
      <c r="I10" s="110">
        <v>0</v>
      </c>
      <c r="J10" s="109">
        <f t="shared" si="1"/>
        <v>34</v>
      </c>
      <c r="K10" s="110">
        <f t="shared" si="4"/>
        <v>2.4411764705882355E-2</v>
      </c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spans="1:26" ht="14.4" x14ac:dyDescent="0.3">
      <c r="A11" s="107" t="s">
        <v>2692</v>
      </c>
      <c r="B11" s="107" t="s">
        <v>2710</v>
      </c>
      <c r="C11" s="107" t="s">
        <v>2711</v>
      </c>
      <c r="D11" s="108" t="s">
        <v>13</v>
      </c>
      <c r="E11" s="109">
        <v>51</v>
      </c>
      <c r="F11" s="109">
        <v>49.76</v>
      </c>
      <c r="G11" s="110">
        <f t="shared" si="0"/>
        <v>2.431372549019617E-2</v>
      </c>
      <c r="H11" s="110"/>
      <c r="I11" s="110">
        <v>0</v>
      </c>
      <c r="J11" s="109">
        <f t="shared" si="1"/>
        <v>51</v>
      </c>
      <c r="K11" s="110">
        <f t="shared" si="4"/>
        <v>2.431372549019617E-2</v>
      </c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spans="1:26" ht="14.4" x14ac:dyDescent="0.3">
      <c r="A12" s="107" t="s">
        <v>2692</v>
      </c>
      <c r="B12" s="107" t="s">
        <v>2712</v>
      </c>
      <c r="C12" s="107" t="s">
        <v>2713</v>
      </c>
      <c r="D12" s="108" t="s">
        <v>13</v>
      </c>
      <c r="E12" s="109">
        <v>51</v>
      </c>
      <c r="F12" s="109">
        <v>49.76</v>
      </c>
      <c r="G12" s="110">
        <f t="shared" si="0"/>
        <v>2.431372549019617E-2</v>
      </c>
      <c r="H12" s="110"/>
      <c r="I12" s="110">
        <v>0</v>
      </c>
      <c r="J12" s="109">
        <f t="shared" si="1"/>
        <v>51</v>
      </c>
      <c r="K12" s="110">
        <f t="shared" si="4"/>
        <v>2.431372549019617E-2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spans="1:26" ht="14.4" x14ac:dyDescent="0.3">
      <c r="A13" s="107" t="s">
        <v>2692</v>
      </c>
      <c r="B13" s="107" t="s">
        <v>2714</v>
      </c>
      <c r="C13" s="107" t="s">
        <v>2715</v>
      </c>
      <c r="D13" s="108" t="s">
        <v>13</v>
      </c>
      <c r="E13" s="109">
        <v>71</v>
      </c>
      <c r="F13" s="109">
        <v>69.27</v>
      </c>
      <c r="G13" s="110">
        <f t="shared" si="0"/>
        <v>2.4366197183098626E-2</v>
      </c>
      <c r="H13" s="110"/>
      <c r="I13" s="110">
        <v>0</v>
      </c>
      <c r="J13" s="109">
        <f t="shared" si="1"/>
        <v>71</v>
      </c>
      <c r="K13" s="110">
        <f t="shared" si="4"/>
        <v>2.4366197183098626E-2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spans="1:26" ht="14.4" x14ac:dyDescent="0.3">
      <c r="A14" s="107" t="s">
        <v>2692</v>
      </c>
      <c r="B14" s="107" t="s">
        <v>2716</v>
      </c>
      <c r="C14" s="107" t="s">
        <v>2717</v>
      </c>
      <c r="D14" s="108" t="s">
        <v>13</v>
      </c>
      <c r="E14" s="109">
        <v>71</v>
      </c>
      <c r="F14" s="109">
        <v>69.27</v>
      </c>
      <c r="G14" s="110">
        <f t="shared" si="0"/>
        <v>2.4366197183098626E-2</v>
      </c>
      <c r="H14" s="110"/>
      <c r="I14" s="110">
        <v>0</v>
      </c>
      <c r="J14" s="109">
        <f t="shared" si="1"/>
        <v>71</v>
      </c>
      <c r="K14" s="110">
        <f t="shared" si="4"/>
        <v>2.4366197183098626E-2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 spans="1:26" ht="14.4" x14ac:dyDescent="0.3">
      <c r="A15" s="107" t="s">
        <v>2692</v>
      </c>
      <c r="B15" s="107" t="s">
        <v>2718</v>
      </c>
      <c r="C15" s="107" t="s">
        <v>2719</v>
      </c>
      <c r="D15" s="108" t="s">
        <v>13</v>
      </c>
      <c r="E15" s="109">
        <v>182</v>
      </c>
      <c r="F15" s="109">
        <v>177.56</v>
      </c>
      <c r="G15" s="110">
        <f t="shared" si="0"/>
        <v>2.4395604395604398E-2</v>
      </c>
      <c r="H15" s="110"/>
      <c r="I15" s="110">
        <v>0</v>
      </c>
      <c r="J15" s="109">
        <f t="shared" si="1"/>
        <v>182</v>
      </c>
      <c r="K15" s="110">
        <f t="shared" si="4"/>
        <v>2.4395604395604398E-2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spans="1:26" ht="14.4" x14ac:dyDescent="0.3">
      <c r="A16" s="107" t="s">
        <v>2692</v>
      </c>
      <c r="B16" s="107" t="s">
        <v>2720</v>
      </c>
      <c r="C16" s="107" t="s">
        <v>2721</v>
      </c>
      <c r="D16" s="108" t="s">
        <v>13</v>
      </c>
      <c r="E16" s="109">
        <v>67</v>
      </c>
      <c r="F16" s="109">
        <v>65.37</v>
      </c>
      <c r="G16" s="110">
        <f t="shared" si="0"/>
        <v>2.4328358208955181E-2</v>
      </c>
      <c r="H16" s="110"/>
      <c r="I16" s="110">
        <v>0</v>
      </c>
      <c r="J16" s="109">
        <f t="shared" si="1"/>
        <v>67</v>
      </c>
      <c r="K16" s="110">
        <f t="shared" si="4"/>
        <v>2.4328358208955181E-2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 spans="1:26" ht="14.4" x14ac:dyDescent="0.3">
      <c r="A17" s="107" t="s">
        <v>2692</v>
      </c>
      <c r="B17" s="107" t="s">
        <v>2722</v>
      </c>
      <c r="C17" s="107" t="s">
        <v>2723</v>
      </c>
      <c r="D17" s="108" t="s">
        <v>13</v>
      </c>
      <c r="E17" s="109">
        <v>45</v>
      </c>
      <c r="F17" s="109">
        <v>43.9</v>
      </c>
      <c r="G17" s="110">
        <f t="shared" si="0"/>
        <v>2.4444444444444491E-2</v>
      </c>
      <c r="H17" s="110"/>
      <c r="I17" s="110">
        <v>0</v>
      </c>
      <c r="J17" s="109">
        <f t="shared" si="1"/>
        <v>45</v>
      </c>
      <c r="K17" s="110">
        <f t="shared" si="4"/>
        <v>2.4444444444444491E-2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 spans="1:26" ht="14.4" x14ac:dyDescent="0.3">
      <c r="A18" s="107" t="s">
        <v>2692</v>
      </c>
      <c r="B18" s="107" t="s">
        <v>2724</v>
      </c>
      <c r="C18" s="107" t="s">
        <v>2725</v>
      </c>
      <c r="D18" s="108" t="s">
        <v>13</v>
      </c>
      <c r="E18" s="109">
        <v>43</v>
      </c>
      <c r="F18" s="109">
        <v>41.95</v>
      </c>
      <c r="G18" s="110">
        <f t="shared" si="0"/>
        <v>2.4418604651162745E-2</v>
      </c>
      <c r="H18" s="110"/>
      <c r="I18" s="110">
        <v>0</v>
      </c>
      <c r="J18" s="109">
        <f t="shared" si="1"/>
        <v>43</v>
      </c>
      <c r="K18" s="110">
        <f t="shared" si="4"/>
        <v>2.4418604651162745E-2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 spans="1:26" ht="14.4" x14ac:dyDescent="0.3">
      <c r="A19" s="107" t="s">
        <v>2692</v>
      </c>
      <c r="B19" s="107" t="s">
        <v>2726</v>
      </c>
      <c r="C19" s="107" t="s">
        <v>2727</v>
      </c>
      <c r="D19" s="108" t="s">
        <v>13</v>
      </c>
      <c r="E19" s="109">
        <v>26</v>
      </c>
      <c r="F19" s="109">
        <v>25.37</v>
      </c>
      <c r="G19" s="110">
        <f t="shared" si="0"/>
        <v>2.4230769230769167E-2</v>
      </c>
      <c r="H19" s="110"/>
      <c r="I19" s="110">
        <v>0</v>
      </c>
      <c r="J19" s="109">
        <f t="shared" si="1"/>
        <v>26</v>
      </c>
      <c r="K19" s="110">
        <f t="shared" si="4"/>
        <v>2.4230769230769167E-2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 spans="1:26" ht="15.75" customHeight="1" x14ac:dyDescent="0.3">
      <c r="A20" s="107" t="s">
        <v>2692</v>
      </c>
      <c r="B20" s="107" t="s">
        <v>2728</v>
      </c>
      <c r="C20" s="107" t="s">
        <v>2729</v>
      </c>
      <c r="D20" s="108" t="s">
        <v>13</v>
      </c>
      <c r="E20" s="109">
        <v>52</v>
      </c>
      <c r="F20" s="109">
        <v>50.73</v>
      </c>
      <c r="G20" s="110">
        <f t="shared" si="0"/>
        <v>2.4423076923076992E-2</v>
      </c>
      <c r="H20" s="110"/>
      <c r="I20" s="110">
        <v>0</v>
      </c>
      <c r="J20" s="109">
        <f t="shared" si="1"/>
        <v>52</v>
      </c>
      <c r="K20" s="110">
        <f t="shared" si="4"/>
        <v>2.4423076923076992E-2</v>
      </c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spans="1:26" ht="15.75" customHeight="1" x14ac:dyDescent="0.3">
      <c r="A21" s="107" t="s">
        <v>2692</v>
      </c>
      <c r="B21" s="107" t="s">
        <v>2730</v>
      </c>
      <c r="C21" s="107" t="s">
        <v>2731</v>
      </c>
      <c r="D21" s="108" t="s">
        <v>13</v>
      </c>
      <c r="E21" s="109">
        <v>47</v>
      </c>
      <c r="F21" s="109">
        <v>45.85</v>
      </c>
      <c r="G21" s="110">
        <f t="shared" si="0"/>
        <v>2.4468085106382986E-2</v>
      </c>
      <c r="H21" s="110"/>
      <c r="I21" s="110">
        <v>0</v>
      </c>
      <c r="J21" s="109">
        <f t="shared" si="1"/>
        <v>47</v>
      </c>
      <c r="K21" s="110">
        <f t="shared" si="4"/>
        <v>2.4468085106382986E-2</v>
      </c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 spans="1:26" ht="15.75" customHeight="1" x14ac:dyDescent="0.3">
      <c r="A22" s="107" t="s">
        <v>2692</v>
      </c>
      <c r="B22" s="107" t="s">
        <v>2732</v>
      </c>
      <c r="C22" s="107" t="s">
        <v>2733</v>
      </c>
      <c r="D22" s="108" t="s">
        <v>13</v>
      </c>
      <c r="E22" s="109">
        <v>35</v>
      </c>
      <c r="F22" s="109">
        <v>34.15</v>
      </c>
      <c r="G22" s="110">
        <f t="shared" si="0"/>
        <v>2.4285714285714355E-2</v>
      </c>
      <c r="H22" s="110"/>
      <c r="I22" s="110">
        <v>0</v>
      </c>
      <c r="J22" s="109">
        <f t="shared" si="1"/>
        <v>35</v>
      </c>
      <c r="K22" s="110">
        <f t="shared" si="4"/>
        <v>2.4285714285714355E-2</v>
      </c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 spans="1:26" ht="15.75" customHeight="1" x14ac:dyDescent="0.3">
      <c r="A23" s="107" t="s">
        <v>2692</v>
      </c>
      <c r="B23" s="107" t="s">
        <v>2734</v>
      </c>
      <c r="C23" s="107" t="s">
        <v>2735</v>
      </c>
      <c r="D23" s="108" t="s">
        <v>13</v>
      </c>
      <c r="E23" s="109">
        <v>33</v>
      </c>
      <c r="F23" s="109">
        <v>32.200000000000003</v>
      </c>
      <c r="G23" s="110">
        <f t="shared" si="0"/>
        <v>2.4242424242424176E-2</v>
      </c>
      <c r="H23" s="110"/>
      <c r="I23" s="110">
        <v>0</v>
      </c>
      <c r="J23" s="109">
        <f t="shared" si="1"/>
        <v>33</v>
      </c>
      <c r="K23" s="110">
        <f t="shared" si="4"/>
        <v>2.4242424242424176E-2</v>
      </c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spans="1:26" ht="15.75" customHeight="1" x14ac:dyDescent="0.3">
      <c r="A24" s="107" t="s">
        <v>2692</v>
      </c>
      <c r="B24" s="107" t="s">
        <v>2736</v>
      </c>
      <c r="C24" s="107" t="s">
        <v>2737</v>
      </c>
      <c r="D24" s="108" t="s">
        <v>13</v>
      </c>
      <c r="E24" s="109">
        <v>47</v>
      </c>
      <c r="F24" s="109">
        <v>45.85</v>
      </c>
      <c r="G24" s="110">
        <f t="shared" si="0"/>
        <v>2.4468085106382986E-2</v>
      </c>
      <c r="H24" s="110"/>
      <c r="I24" s="110">
        <v>0</v>
      </c>
      <c r="J24" s="109">
        <f t="shared" si="1"/>
        <v>47</v>
      </c>
      <c r="K24" s="110">
        <f t="shared" si="4"/>
        <v>2.4468085106382986E-2</v>
      </c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 spans="1:26" ht="15.75" customHeight="1" x14ac:dyDescent="0.3">
      <c r="A25" s="107" t="s">
        <v>2692</v>
      </c>
      <c r="B25" s="107" t="s">
        <v>2738</v>
      </c>
      <c r="C25" s="107" t="s">
        <v>2739</v>
      </c>
      <c r="D25" s="108" t="s">
        <v>13</v>
      </c>
      <c r="E25" s="109">
        <v>71</v>
      </c>
      <c r="F25" s="109">
        <v>69.27</v>
      </c>
      <c r="G25" s="110">
        <f t="shared" si="0"/>
        <v>2.4366197183098626E-2</v>
      </c>
      <c r="H25" s="110"/>
      <c r="I25" s="110">
        <v>0</v>
      </c>
      <c r="J25" s="109">
        <f t="shared" si="1"/>
        <v>71</v>
      </c>
      <c r="K25" s="110">
        <f t="shared" si="4"/>
        <v>2.4366197183098626E-2</v>
      </c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 spans="1:26" ht="15.75" customHeight="1" x14ac:dyDescent="0.3">
      <c r="A26" s="107" t="s">
        <v>2692</v>
      </c>
      <c r="B26" s="107" t="s">
        <v>2740</v>
      </c>
      <c r="C26" s="107" t="s">
        <v>2741</v>
      </c>
      <c r="D26" s="108" t="s">
        <v>13</v>
      </c>
      <c r="E26" s="109">
        <v>36</v>
      </c>
      <c r="F26" s="109">
        <v>35.119999999999997</v>
      </c>
      <c r="G26" s="110">
        <f t="shared" si="0"/>
        <v>2.4444444444444491E-2</v>
      </c>
      <c r="H26" s="110"/>
      <c r="I26" s="110">
        <v>0</v>
      </c>
      <c r="J26" s="109">
        <f t="shared" si="1"/>
        <v>36</v>
      </c>
      <c r="K26" s="110">
        <f t="shared" si="4"/>
        <v>2.4444444444444491E-2</v>
      </c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 spans="1:26" ht="15.75" customHeight="1" x14ac:dyDescent="0.3">
      <c r="A27" s="107" t="s">
        <v>2692</v>
      </c>
      <c r="B27" s="107" t="s">
        <v>2742</v>
      </c>
      <c r="C27" s="107" t="s">
        <v>2743</v>
      </c>
      <c r="D27" s="108" t="s">
        <v>13</v>
      </c>
      <c r="E27" s="109">
        <v>6</v>
      </c>
      <c r="F27" s="109">
        <v>5.85</v>
      </c>
      <c r="G27" s="110">
        <f t="shared" si="0"/>
        <v>2.5000000000000022E-2</v>
      </c>
      <c r="H27" s="110"/>
      <c r="I27" s="110">
        <v>0</v>
      </c>
      <c r="J27" s="109">
        <f t="shared" si="1"/>
        <v>6</v>
      </c>
      <c r="K27" s="110">
        <f t="shared" si="4"/>
        <v>2.5000000000000022E-2</v>
      </c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spans="1:26" ht="15.75" customHeight="1" x14ac:dyDescent="0.3">
      <c r="A28" s="107" t="s">
        <v>2692</v>
      </c>
      <c r="B28" s="107" t="s">
        <v>2744</v>
      </c>
      <c r="C28" s="107" t="s">
        <v>2745</v>
      </c>
      <c r="D28" s="108" t="s">
        <v>13</v>
      </c>
      <c r="E28" s="109">
        <v>47</v>
      </c>
      <c r="F28" s="109">
        <v>45.85</v>
      </c>
      <c r="G28" s="110">
        <f t="shared" si="0"/>
        <v>2.4468085106382986E-2</v>
      </c>
      <c r="H28" s="110"/>
      <c r="I28" s="110">
        <v>0</v>
      </c>
      <c r="J28" s="109">
        <f t="shared" si="1"/>
        <v>47</v>
      </c>
      <c r="K28" s="110">
        <f t="shared" si="4"/>
        <v>2.4468085106382986E-2</v>
      </c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 spans="1:26" ht="15.75" customHeight="1" x14ac:dyDescent="0.3">
      <c r="A29" s="107" t="s">
        <v>2692</v>
      </c>
      <c r="B29" s="107" t="s">
        <v>2746</v>
      </c>
      <c r="C29" s="107" t="s">
        <v>2747</v>
      </c>
      <c r="D29" s="108" t="s">
        <v>13</v>
      </c>
      <c r="E29" s="109">
        <v>83</v>
      </c>
      <c r="F29" s="109">
        <v>80.98</v>
      </c>
      <c r="G29" s="110">
        <f t="shared" si="0"/>
        <v>2.4337349397590358E-2</v>
      </c>
      <c r="H29" s="110"/>
      <c r="I29" s="110">
        <v>0</v>
      </c>
      <c r="J29" s="109">
        <f t="shared" si="1"/>
        <v>83</v>
      </c>
      <c r="K29" s="110">
        <f t="shared" si="4"/>
        <v>2.4337349397590358E-2</v>
      </c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 spans="1:26" ht="15.75" customHeight="1" x14ac:dyDescent="0.3">
      <c r="A30" s="107" t="s">
        <v>2692</v>
      </c>
      <c r="B30" s="107" t="s">
        <v>2748</v>
      </c>
      <c r="C30" s="107" t="s">
        <v>2749</v>
      </c>
      <c r="D30" s="108" t="s">
        <v>13</v>
      </c>
      <c r="E30" s="109">
        <v>104</v>
      </c>
      <c r="F30" s="109">
        <v>101.46</v>
      </c>
      <c r="G30" s="110">
        <f t="shared" si="0"/>
        <v>2.4423076923076992E-2</v>
      </c>
      <c r="H30" s="110"/>
      <c r="I30" s="110">
        <v>0</v>
      </c>
      <c r="J30" s="109">
        <f t="shared" si="1"/>
        <v>104</v>
      </c>
      <c r="K30" s="110">
        <f t="shared" si="4"/>
        <v>2.4423076923076992E-2</v>
      </c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spans="1:26" ht="15.75" customHeight="1" x14ac:dyDescent="0.3">
      <c r="A31" s="107" t="s">
        <v>2692</v>
      </c>
      <c r="B31" s="107" t="s">
        <v>2750</v>
      </c>
      <c r="C31" s="107" t="s">
        <v>2751</v>
      </c>
      <c r="D31" s="108" t="s">
        <v>13</v>
      </c>
      <c r="E31" s="109">
        <v>114</v>
      </c>
      <c r="F31" s="109">
        <v>111.22</v>
      </c>
      <c r="G31" s="110">
        <f t="shared" si="0"/>
        <v>2.4385964912280733E-2</v>
      </c>
      <c r="H31" s="110"/>
      <c r="I31" s="110">
        <v>0</v>
      </c>
      <c r="J31" s="109">
        <f t="shared" si="1"/>
        <v>114</v>
      </c>
      <c r="K31" s="110">
        <f t="shared" si="4"/>
        <v>2.4385964912280733E-2</v>
      </c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spans="1:26" ht="15.75" customHeight="1" x14ac:dyDescent="0.3">
      <c r="A32" s="107" t="s">
        <v>2692</v>
      </c>
      <c r="B32" s="107" t="s">
        <v>2752</v>
      </c>
      <c r="C32" s="107" t="s">
        <v>2753</v>
      </c>
      <c r="D32" s="108" t="s">
        <v>13</v>
      </c>
      <c r="E32" s="109">
        <v>114</v>
      </c>
      <c r="F32" s="109">
        <v>111.22</v>
      </c>
      <c r="G32" s="110">
        <f t="shared" si="0"/>
        <v>2.4385964912280733E-2</v>
      </c>
      <c r="H32" s="110"/>
      <c r="I32" s="110">
        <v>0</v>
      </c>
      <c r="J32" s="109">
        <f t="shared" si="1"/>
        <v>114</v>
      </c>
      <c r="K32" s="110">
        <f t="shared" si="4"/>
        <v>2.4385964912280733E-2</v>
      </c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 spans="1:26" ht="15.75" customHeight="1" x14ac:dyDescent="0.3">
      <c r="A33" s="107" t="s">
        <v>2692</v>
      </c>
      <c r="B33" s="107" t="s">
        <v>2754</v>
      </c>
      <c r="C33" s="107" t="s">
        <v>2755</v>
      </c>
      <c r="D33" s="108" t="s">
        <v>13</v>
      </c>
      <c r="E33" s="109">
        <v>41</v>
      </c>
      <c r="F33" s="109">
        <v>40</v>
      </c>
      <c r="G33" s="110">
        <f t="shared" si="0"/>
        <v>2.4390243902439046E-2</v>
      </c>
      <c r="H33" s="110"/>
      <c r="I33" s="110">
        <v>0</v>
      </c>
      <c r="J33" s="109">
        <f t="shared" si="1"/>
        <v>41</v>
      </c>
      <c r="K33" s="110">
        <f t="shared" si="4"/>
        <v>2.4390243902439046E-2</v>
      </c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 spans="1:26" ht="15.75" customHeight="1" x14ac:dyDescent="0.3">
      <c r="A34" s="107" t="s">
        <v>2692</v>
      </c>
      <c r="B34" s="107" t="s">
        <v>2756</v>
      </c>
      <c r="C34" s="107" t="s">
        <v>2757</v>
      </c>
      <c r="D34" s="108" t="s">
        <v>13</v>
      </c>
      <c r="E34" s="109">
        <v>41</v>
      </c>
      <c r="F34" s="109">
        <v>40</v>
      </c>
      <c r="G34" s="110">
        <f t="shared" si="0"/>
        <v>2.4390243902439046E-2</v>
      </c>
      <c r="H34" s="110"/>
      <c r="I34" s="110">
        <v>0</v>
      </c>
      <c r="J34" s="109">
        <f t="shared" si="1"/>
        <v>41</v>
      </c>
      <c r="K34" s="110">
        <f t="shared" si="4"/>
        <v>2.4390243902439046E-2</v>
      </c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 spans="1:26" ht="15.75" customHeight="1" x14ac:dyDescent="0.3">
      <c r="A35" s="107" t="s">
        <v>2692</v>
      </c>
      <c r="B35" s="107" t="s">
        <v>2758</v>
      </c>
      <c r="C35" s="107" t="s">
        <v>2759</v>
      </c>
      <c r="D35" s="108" t="s">
        <v>13</v>
      </c>
      <c r="E35" s="109">
        <v>26</v>
      </c>
      <c r="F35" s="109">
        <v>25.37</v>
      </c>
      <c r="G35" s="110">
        <f t="shared" si="0"/>
        <v>2.4230769230769167E-2</v>
      </c>
      <c r="H35" s="110"/>
      <c r="I35" s="110">
        <v>0</v>
      </c>
      <c r="J35" s="109">
        <f t="shared" si="1"/>
        <v>26</v>
      </c>
      <c r="K35" s="110">
        <f t="shared" si="4"/>
        <v>2.4230769230769167E-2</v>
      </c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spans="1:26" ht="15.75" customHeight="1" x14ac:dyDescent="0.3">
      <c r="A36" s="107" t="s">
        <v>2692</v>
      </c>
      <c r="B36" s="107" t="s">
        <v>2760</v>
      </c>
      <c r="C36" s="107" t="s">
        <v>2761</v>
      </c>
      <c r="D36" s="108" t="s">
        <v>13</v>
      </c>
      <c r="E36" s="109">
        <v>51</v>
      </c>
      <c r="F36" s="109">
        <v>49.76</v>
      </c>
      <c r="G36" s="110">
        <f t="shared" si="0"/>
        <v>2.431372549019617E-2</v>
      </c>
      <c r="H36" s="110"/>
      <c r="I36" s="110">
        <v>0</v>
      </c>
      <c r="J36" s="109">
        <f t="shared" si="1"/>
        <v>51</v>
      </c>
      <c r="K36" s="110">
        <f t="shared" si="4"/>
        <v>2.431372549019617E-2</v>
      </c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 spans="1:26" ht="15.75" customHeight="1" x14ac:dyDescent="0.3">
      <c r="A37" s="107" t="s">
        <v>2692</v>
      </c>
      <c r="B37" s="107" t="s">
        <v>2762</v>
      </c>
      <c r="C37" s="107" t="s">
        <v>2763</v>
      </c>
      <c r="D37" s="108" t="s">
        <v>13</v>
      </c>
      <c r="E37" s="109">
        <v>125</v>
      </c>
      <c r="F37" s="109">
        <v>121.95</v>
      </c>
      <c r="G37" s="110">
        <f t="shared" si="0"/>
        <v>2.4399999999999977E-2</v>
      </c>
      <c r="H37" s="110"/>
      <c r="I37" s="110">
        <v>0</v>
      </c>
      <c r="J37" s="109">
        <f t="shared" si="1"/>
        <v>125</v>
      </c>
      <c r="K37" s="110">
        <f t="shared" si="4"/>
        <v>2.4399999999999977E-2</v>
      </c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 spans="1:26" ht="15.75" customHeight="1" x14ac:dyDescent="0.3">
      <c r="A38" s="107" t="s">
        <v>2692</v>
      </c>
      <c r="B38" s="107" t="s">
        <v>2764</v>
      </c>
      <c r="C38" s="107" t="s">
        <v>2765</v>
      </c>
      <c r="D38" s="108" t="s">
        <v>13</v>
      </c>
      <c r="E38" s="109">
        <v>56</v>
      </c>
      <c r="F38" s="109">
        <v>54.63</v>
      </c>
      <c r="G38" s="110">
        <f t="shared" si="0"/>
        <v>2.4464285714285716E-2</v>
      </c>
      <c r="H38" s="110"/>
      <c r="I38" s="110">
        <v>0</v>
      </c>
      <c r="J38" s="109">
        <f t="shared" si="1"/>
        <v>56</v>
      </c>
      <c r="K38" s="110">
        <f t="shared" si="4"/>
        <v>2.4464285714285716E-2</v>
      </c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spans="1:26" ht="15.75" customHeight="1" x14ac:dyDescent="0.3">
      <c r="A39" s="107" t="s">
        <v>2692</v>
      </c>
      <c r="B39" s="107" t="s">
        <v>2766</v>
      </c>
      <c r="C39" s="107" t="s">
        <v>2767</v>
      </c>
      <c r="D39" s="108" t="s">
        <v>13</v>
      </c>
      <c r="E39" s="109">
        <v>104</v>
      </c>
      <c r="F39" s="109">
        <v>101.46</v>
      </c>
      <c r="G39" s="110">
        <f t="shared" si="0"/>
        <v>2.4423076923076992E-2</v>
      </c>
      <c r="H39" s="110"/>
      <c r="I39" s="110">
        <v>0</v>
      </c>
      <c r="J39" s="109">
        <f t="shared" si="1"/>
        <v>104</v>
      </c>
      <c r="K39" s="110">
        <f t="shared" si="4"/>
        <v>2.4423076923076992E-2</v>
      </c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 spans="1:26" ht="15.75" customHeight="1" x14ac:dyDescent="0.3">
      <c r="A40" s="107" t="s">
        <v>2692</v>
      </c>
      <c r="B40" s="107" t="s">
        <v>2768</v>
      </c>
      <c r="C40" s="107" t="s">
        <v>2769</v>
      </c>
      <c r="D40" s="108" t="s">
        <v>13</v>
      </c>
      <c r="E40" s="109">
        <v>70</v>
      </c>
      <c r="F40" s="109">
        <v>68.290000000000006</v>
      </c>
      <c r="G40" s="110">
        <f t="shared" si="0"/>
        <v>2.4428571428571355E-2</v>
      </c>
      <c r="H40" s="110"/>
      <c r="I40" s="110">
        <v>0</v>
      </c>
      <c r="J40" s="109">
        <f t="shared" si="1"/>
        <v>70</v>
      </c>
      <c r="K40" s="110">
        <f t="shared" si="4"/>
        <v>2.4428571428571355E-2</v>
      </c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 spans="1:26" ht="15.75" customHeight="1" x14ac:dyDescent="0.3">
      <c r="A41" s="107" t="s">
        <v>2692</v>
      </c>
      <c r="B41" s="107" t="s">
        <v>2770</v>
      </c>
      <c r="C41" s="107" t="s">
        <v>2771</v>
      </c>
      <c r="D41" s="108" t="s">
        <v>13</v>
      </c>
      <c r="E41" s="109">
        <v>50</v>
      </c>
      <c r="F41" s="109">
        <v>48.78</v>
      </c>
      <c r="G41" s="110">
        <f t="shared" si="0"/>
        <v>2.4399999999999977E-2</v>
      </c>
      <c r="H41" s="110"/>
      <c r="I41" s="110">
        <v>0</v>
      </c>
      <c r="J41" s="109">
        <f t="shared" si="1"/>
        <v>50</v>
      </c>
      <c r="K41" s="110">
        <f t="shared" si="4"/>
        <v>2.4399999999999977E-2</v>
      </c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spans="1:26" ht="15.75" customHeight="1" x14ac:dyDescent="0.3">
      <c r="A42" s="107" t="s">
        <v>2692</v>
      </c>
      <c r="B42" s="107" t="s">
        <v>2772</v>
      </c>
      <c r="C42" s="107" t="s">
        <v>2773</v>
      </c>
      <c r="D42" s="108" t="s">
        <v>13</v>
      </c>
      <c r="E42" s="109">
        <v>16</v>
      </c>
      <c r="F42" s="109">
        <v>15.61</v>
      </c>
      <c r="G42" s="110">
        <f t="shared" si="0"/>
        <v>2.4375000000000036E-2</v>
      </c>
      <c r="H42" s="110"/>
      <c r="I42" s="110">
        <v>0</v>
      </c>
      <c r="J42" s="109">
        <f t="shared" si="1"/>
        <v>16</v>
      </c>
      <c r="K42" s="110">
        <f t="shared" si="4"/>
        <v>2.4375000000000036E-2</v>
      </c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spans="1:26" ht="15.75" customHeight="1" x14ac:dyDescent="0.3">
      <c r="A43" s="107" t="s">
        <v>2692</v>
      </c>
      <c r="B43" s="107" t="s">
        <v>2774</v>
      </c>
      <c r="C43" s="107" t="s">
        <v>2775</v>
      </c>
      <c r="D43" s="108" t="s">
        <v>13</v>
      </c>
      <c r="E43" s="109">
        <v>93</v>
      </c>
      <c r="F43" s="109">
        <v>90.73</v>
      </c>
      <c r="G43" s="110">
        <f t="shared" si="0"/>
        <v>2.4408602150537639E-2</v>
      </c>
      <c r="H43" s="110"/>
      <c r="I43" s="110">
        <v>0</v>
      </c>
      <c r="J43" s="109">
        <f t="shared" si="1"/>
        <v>93</v>
      </c>
      <c r="K43" s="110">
        <f t="shared" si="4"/>
        <v>2.4408602150537639E-2</v>
      </c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spans="1:26" ht="15.75" customHeight="1" x14ac:dyDescent="0.3">
      <c r="A44" s="107" t="s">
        <v>2692</v>
      </c>
      <c r="B44" s="107" t="s">
        <v>2776</v>
      </c>
      <c r="C44" s="107" t="s">
        <v>2777</v>
      </c>
      <c r="D44" s="108" t="s">
        <v>13</v>
      </c>
      <c r="E44" s="109">
        <v>98</v>
      </c>
      <c r="F44" s="109">
        <v>95.61</v>
      </c>
      <c r="G44" s="110">
        <f t="shared" si="0"/>
        <v>2.4387755102040831E-2</v>
      </c>
      <c r="H44" s="110"/>
      <c r="I44" s="110">
        <v>0</v>
      </c>
      <c r="J44" s="109">
        <f t="shared" si="1"/>
        <v>98</v>
      </c>
      <c r="K44" s="110">
        <f t="shared" si="4"/>
        <v>2.4387755102040831E-2</v>
      </c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 spans="1:26" ht="15.75" customHeight="1" x14ac:dyDescent="0.3">
      <c r="A45" s="107" t="s">
        <v>2692</v>
      </c>
      <c r="B45" s="107" t="s">
        <v>2778</v>
      </c>
      <c r="C45" s="107" t="s">
        <v>2779</v>
      </c>
      <c r="D45" s="108" t="s">
        <v>13</v>
      </c>
      <c r="E45" s="109">
        <v>89</v>
      </c>
      <c r="F45" s="109">
        <v>86.83</v>
      </c>
      <c r="G45" s="110">
        <f t="shared" si="0"/>
        <v>2.4382022471910125E-2</v>
      </c>
      <c r="H45" s="110"/>
      <c r="I45" s="110">
        <v>0</v>
      </c>
      <c r="J45" s="109">
        <f t="shared" si="1"/>
        <v>89</v>
      </c>
      <c r="K45" s="110">
        <f t="shared" si="4"/>
        <v>2.4382022471910125E-2</v>
      </c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 spans="1:26" ht="15.75" customHeight="1" x14ac:dyDescent="0.3">
      <c r="A46" s="107" t="s">
        <v>2692</v>
      </c>
      <c r="B46" s="107" t="s">
        <v>2780</v>
      </c>
      <c r="C46" s="107" t="s">
        <v>2781</v>
      </c>
      <c r="D46" s="108" t="s">
        <v>13</v>
      </c>
      <c r="E46" s="109">
        <v>309</v>
      </c>
      <c r="F46" s="109">
        <v>301.45999999999998</v>
      </c>
      <c r="G46" s="110">
        <f t="shared" si="0"/>
        <v>2.4401294498381909E-2</v>
      </c>
      <c r="H46" s="110"/>
      <c r="I46" s="110">
        <v>0</v>
      </c>
      <c r="J46" s="109">
        <f t="shared" si="1"/>
        <v>309</v>
      </c>
      <c r="K46" s="110">
        <f t="shared" si="4"/>
        <v>2.4401294498381909E-2</v>
      </c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 spans="1:26" ht="15.75" customHeight="1" x14ac:dyDescent="0.3">
      <c r="A47" s="107" t="s">
        <v>2692</v>
      </c>
      <c r="B47" s="107" t="s">
        <v>2782</v>
      </c>
      <c r="C47" s="107" t="s">
        <v>2783</v>
      </c>
      <c r="D47" s="108" t="s">
        <v>13</v>
      </c>
      <c r="E47" s="109">
        <v>339</v>
      </c>
      <c r="F47" s="109">
        <v>330.73</v>
      </c>
      <c r="G47" s="110">
        <f t="shared" si="0"/>
        <v>2.4395280235988137E-2</v>
      </c>
      <c r="H47" s="110"/>
      <c r="I47" s="110">
        <v>0</v>
      </c>
      <c r="J47" s="109">
        <f t="shared" si="1"/>
        <v>339</v>
      </c>
      <c r="K47" s="110">
        <f t="shared" si="4"/>
        <v>2.4395280235988137E-2</v>
      </c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spans="1:26" ht="15.75" customHeight="1" x14ac:dyDescent="0.3">
      <c r="A48" s="107" t="s">
        <v>2692</v>
      </c>
      <c r="B48" s="107" t="s">
        <v>2784</v>
      </c>
      <c r="C48" s="107" t="s">
        <v>2719</v>
      </c>
      <c r="D48" s="108" t="s">
        <v>13</v>
      </c>
      <c r="E48" s="109">
        <v>399</v>
      </c>
      <c r="F48" s="109">
        <v>389.27</v>
      </c>
      <c r="G48" s="110">
        <f t="shared" si="0"/>
        <v>2.4385964912280733E-2</v>
      </c>
      <c r="H48" s="110"/>
      <c r="I48" s="110">
        <v>0</v>
      </c>
      <c r="J48" s="109">
        <f t="shared" si="1"/>
        <v>399</v>
      </c>
      <c r="K48" s="110">
        <f t="shared" si="4"/>
        <v>2.4385964912280733E-2</v>
      </c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 spans="1:26" ht="15.75" customHeight="1" x14ac:dyDescent="0.3">
      <c r="A49" s="107" t="s">
        <v>2692</v>
      </c>
      <c r="B49" s="107" t="s">
        <v>2785</v>
      </c>
      <c r="C49" s="107" t="s">
        <v>2786</v>
      </c>
      <c r="D49" s="108" t="s">
        <v>13</v>
      </c>
      <c r="E49" s="109">
        <v>319</v>
      </c>
      <c r="F49" s="109">
        <v>311.22000000000003</v>
      </c>
      <c r="G49" s="110">
        <f t="shared" si="0"/>
        <v>2.4388714733542205E-2</v>
      </c>
      <c r="H49" s="110"/>
      <c r="I49" s="110">
        <v>0</v>
      </c>
      <c r="J49" s="109">
        <f t="shared" si="1"/>
        <v>319</v>
      </c>
      <c r="K49" s="110">
        <f t="shared" si="4"/>
        <v>2.4388714733542205E-2</v>
      </c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 spans="1:26" ht="15.75" customHeight="1" x14ac:dyDescent="0.3">
      <c r="A50" s="107" t="s">
        <v>2692</v>
      </c>
      <c r="B50" s="107" t="s">
        <v>2787</v>
      </c>
      <c r="C50" s="107" t="s">
        <v>2788</v>
      </c>
      <c r="D50" s="108" t="s">
        <v>13</v>
      </c>
      <c r="E50" s="109">
        <v>359</v>
      </c>
      <c r="F50" s="109">
        <v>350.24</v>
      </c>
      <c r="G50" s="110">
        <f t="shared" si="0"/>
        <v>2.4401114206128116E-2</v>
      </c>
      <c r="H50" s="110"/>
      <c r="I50" s="110">
        <v>0</v>
      </c>
      <c r="J50" s="109">
        <f t="shared" si="1"/>
        <v>359</v>
      </c>
      <c r="K50" s="110">
        <f t="shared" si="4"/>
        <v>2.4401114206128116E-2</v>
      </c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 spans="1:26" ht="15.75" customHeight="1" x14ac:dyDescent="0.3">
      <c r="A51" s="107" t="s">
        <v>2692</v>
      </c>
      <c r="B51" s="107" t="s">
        <v>2789</v>
      </c>
      <c r="C51" s="107" t="s">
        <v>2790</v>
      </c>
      <c r="D51" s="108" t="s">
        <v>13</v>
      </c>
      <c r="E51" s="109">
        <v>379</v>
      </c>
      <c r="F51" s="109">
        <v>369.76</v>
      </c>
      <c r="G51" s="110">
        <f t="shared" si="0"/>
        <v>2.4379947229551502E-2</v>
      </c>
      <c r="H51" s="110"/>
      <c r="I51" s="110">
        <v>0</v>
      </c>
      <c r="J51" s="109">
        <f t="shared" si="1"/>
        <v>379</v>
      </c>
      <c r="K51" s="110">
        <f t="shared" si="4"/>
        <v>2.4379947229551502E-2</v>
      </c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 spans="1:26" ht="15.75" customHeight="1" x14ac:dyDescent="0.3">
      <c r="A52" s="107" t="s">
        <v>2692</v>
      </c>
      <c r="B52" s="107" t="s">
        <v>2791</v>
      </c>
      <c r="C52" s="107" t="s">
        <v>2792</v>
      </c>
      <c r="D52" s="108" t="s">
        <v>13</v>
      </c>
      <c r="E52" s="109">
        <v>419</v>
      </c>
      <c r="F52" s="109">
        <v>408.78</v>
      </c>
      <c r="G52" s="110">
        <f t="shared" si="0"/>
        <v>2.4391408114558533E-2</v>
      </c>
      <c r="H52" s="110"/>
      <c r="I52" s="110">
        <v>0</v>
      </c>
      <c r="J52" s="109">
        <f t="shared" si="1"/>
        <v>419</v>
      </c>
      <c r="K52" s="110">
        <f t="shared" si="4"/>
        <v>2.4391408114558533E-2</v>
      </c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spans="1:26" ht="15.75" customHeight="1" x14ac:dyDescent="0.3">
      <c r="A53" s="107" t="s">
        <v>2692</v>
      </c>
      <c r="B53" s="107" t="s">
        <v>2793</v>
      </c>
      <c r="C53" s="107" t="s">
        <v>2794</v>
      </c>
      <c r="D53" s="108" t="s">
        <v>13</v>
      </c>
      <c r="E53" s="109">
        <v>419</v>
      </c>
      <c r="F53" s="109">
        <v>408.78</v>
      </c>
      <c r="G53" s="110">
        <f t="shared" si="0"/>
        <v>2.4391408114558533E-2</v>
      </c>
      <c r="H53" s="110"/>
      <c r="I53" s="110">
        <v>0</v>
      </c>
      <c r="J53" s="109">
        <f t="shared" si="1"/>
        <v>419</v>
      </c>
      <c r="K53" s="110">
        <f t="shared" si="4"/>
        <v>2.4391408114558533E-2</v>
      </c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spans="1:26" ht="15.75" customHeight="1" x14ac:dyDescent="0.3">
      <c r="A54" s="107" t="s">
        <v>2692</v>
      </c>
      <c r="B54" s="107" t="s">
        <v>2795</v>
      </c>
      <c r="C54" s="107" t="s">
        <v>2796</v>
      </c>
      <c r="D54" s="108" t="s">
        <v>13</v>
      </c>
      <c r="E54" s="109">
        <v>399</v>
      </c>
      <c r="F54" s="109">
        <v>389.27</v>
      </c>
      <c r="G54" s="110">
        <f t="shared" si="0"/>
        <v>2.4385964912280733E-2</v>
      </c>
      <c r="H54" s="110"/>
      <c r="I54" s="110">
        <v>0</v>
      </c>
      <c r="J54" s="109">
        <f t="shared" si="1"/>
        <v>399</v>
      </c>
      <c r="K54" s="110">
        <f t="shared" si="4"/>
        <v>2.4385964912280733E-2</v>
      </c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spans="1:26" ht="15.75" customHeight="1" x14ac:dyDescent="0.3">
      <c r="A55" s="107" t="s">
        <v>2692</v>
      </c>
      <c r="B55" s="107" t="s">
        <v>2797</v>
      </c>
      <c r="C55" s="107" t="s">
        <v>2798</v>
      </c>
      <c r="D55" s="108" t="s">
        <v>13</v>
      </c>
      <c r="E55" s="109">
        <v>539</v>
      </c>
      <c r="F55" s="109">
        <v>525.85</v>
      </c>
      <c r="G55" s="110">
        <f t="shared" si="0"/>
        <v>2.4397031539888592E-2</v>
      </c>
      <c r="H55" s="110"/>
      <c r="I55" s="110">
        <v>0</v>
      </c>
      <c r="J55" s="109">
        <f t="shared" si="1"/>
        <v>539</v>
      </c>
      <c r="K55" s="110">
        <f t="shared" si="4"/>
        <v>2.4397031539888592E-2</v>
      </c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spans="1:26" ht="15.75" customHeight="1" x14ac:dyDescent="0.3">
      <c r="A56" s="107" t="s">
        <v>2692</v>
      </c>
      <c r="B56" s="107" t="s">
        <v>2799</v>
      </c>
      <c r="C56" s="107" t="s">
        <v>2800</v>
      </c>
      <c r="D56" s="108" t="s">
        <v>13</v>
      </c>
      <c r="E56" s="109">
        <v>379</v>
      </c>
      <c r="F56" s="109">
        <v>369.76</v>
      </c>
      <c r="G56" s="110">
        <f t="shared" si="0"/>
        <v>2.4379947229551502E-2</v>
      </c>
      <c r="H56" s="110"/>
      <c r="I56" s="110">
        <v>0</v>
      </c>
      <c r="J56" s="109">
        <f t="shared" si="1"/>
        <v>379</v>
      </c>
      <c r="K56" s="110">
        <f t="shared" si="4"/>
        <v>2.4379947229551502E-2</v>
      </c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spans="1:26" ht="15.75" customHeight="1" x14ac:dyDescent="0.3">
      <c r="A57" s="107" t="s">
        <v>2692</v>
      </c>
      <c r="B57" s="107" t="s">
        <v>2801</v>
      </c>
      <c r="C57" s="107" t="s">
        <v>2802</v>
      </c>
      <c r="D57" s="108" t="s">
        <v>13</v>
      </c>
      <c r="E57" s="109">
        <v>319</v>
      </c>
      <c r="F57" s="109">
        <v>311.22000000000003</v>
      </c>
      <c r="G57" s="110">
        <f t="shared" si="0"/>
        <v>2.4388714733542205E-2</v>
      </c>
      <c r="H57" s="110"/>
      <c r="I57" s="110">
        <v>0</v>
      </c>
      <c r="J57" s="109">
        <f t="shared" si="1"/>
        <v>319</v>
      </c>
      <c r="K57" s="110">
        <f t="shared" si="4"/>
        <v>2.4388714733542205E-2</v>
      </c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spans="1:26" ht="15.75" customHeight="1" x14ac:dyDescent="0.3">
      <c r="A58" s="107" t="s">
        <v>2692</v>
      </c>
      <c r="B58" s="107" t="s">
        <v>2803</v>
      </c>
      <c r="C58" s="107" t="s">
        <v>2804</v>
      </c>
      <c r="D58" s="108" t="s">
        <v>13</v>
      </c>
      <c r="E58" s="109">
        <v>589</v>
      </c>
      <c r="F58" s="109">
        <v>574.63</v>
      </c>
      <c r="G58" s="110">
        <f t="shared" si="0"/>
        <v>2.4397283531409131E-2</v>
      </c>
      <c r="H58" s="110"/>
      <c r="I58" s="110">
        <v>0</v>
      </c>
      <c r="J58" s="109">
        <f t="shared" si="1"/>
        <v>589</v>
      </c>
      <c r="K58" s="110">
        <f t="shared" si="4"/>
        <v>2.4397283531409131E-2</v>
      </c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spans="1:26" ht="15.75" customHeight="1" x14ac:dyDescent="0.3">
      <c r="A59" s="107" t="s">
        <v>2692</v>
      </c>
      <c r="B59" s="107" t="s">
        <v>2805</v>
      </c>
      <c r="C59" s="107" t="s">
        <v>2806</v>
      </c>
      <c r="D59" s="108" t="s">
        <v>13</v>
      </c>
      <c r="E59" s="109">
        <v>399</v>
      </c>
      <c r="F59" s="109">
        <v>389.27</v>
      </c>
      <c r="G59" s="110" t="e">
        <f>1-(#REF!/F59)</f>
        <v>#REF!</v>
      </c>
      <c r="H59" s="110"/>
      <c r="I59" s="110">
        <v>0</v>
      </c>
      <c r="J59" s="109">
        <f>F59*(1-I59)</f>
        <v>389.27</v>
      </c>
      <c r="K59" s="110" t="e">
        <f>1-(#REF!/J59)</f>
        <v>#REF!</v>
      </c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spans="1:26" ht="15.75" customHeight="1" x14ac:dyDescent="0.3">
      <c r="A60" s="107" t="s">
        <v>2692</v>
      </c>
      <c r="B60" s="107" t="s">
        <v>2807</v>
      </c>
      <c r="C60" s="107" t="s">
        <v>2808</v>
      </c>
      <c r="D60" s="108" t="s">
        <v>13</v>
      </c>
      <c r="E60" s="109">
        <v>439</v>
      </c>
      <c r="F60" s="109">
        <v>428.29</v>
      </c>
      <c r="G60" s="110">
        <f t="shared" ref="G60:G63" si="5">1-(F60/E60)</f>
        <v>2.4396355353075161E-2</v>
      </c>
      <c r="H60" s="110"/>
      <c r="I60" s="110">
        <v>0</v>
      </c>
      <c r="J60" s="109">
        <f t="shared" ref="J60:J63" si="6">E60*(1-I60)</f>
        <v>439</v>
      </c>
      <c r="K60" s="110">
        <f t="shared" ref="K60:K63" si="7">1-(F60/J60)</f>
        <v>2.4396355353075161E-2</v>
      </c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spans="1:26" ht="15.75" customHeight="1" x14ac:dyDescent="0.3">
      <c r="A61" s="107" t="s">
        <v>2692</v>
      </c>
      <c r="B61" s="107" t="s">
        <v>2809</v>
      </c>
      <c r="C61" s="107" t="s">
        <v>2810</v>
      </c>
      <c r="D61" s="108" t="s">
        <v>13</v>
      </c>
      <c r="E61" s="109">
        <v>439</v>
      </c>
      <c r="F61" s="109">
        <v>428.29</v>
      </c>
      <c r="G61" s="110">
        <f t="shared" si="5"/>
        <v>2.4396355353075161E-2</v>
      </c>
      <c r="H61" s="110"/>
      <c r="I61" s="110">
        <v>0</v>
      </c>
      <c r="J61" s="109">
        <f t="shared" si="6"/>
        <v>439</v>
      </c>
      <c r="K61" s="110">
        <f t="shared" si="7"/>
        <v>2.4396355353075161E-2</v>
      </c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spans="1:26" ht="15.75" customHeight="1" x14ac:dyDescent="0.3">
      <c r="A62" s="107" t="s">
        <v>2692</v>
      </c>
      <c r="B62" s="107" t="s">
        <v>2811</v>
      </c>
      <c r="C62" s="107" t="s">
        <v>2812</v>
      </c>
      <c r="D62" s="108" t="s">
        <v>13</v>
      </c>
      <c r="E62" s="109">
        <v>499</v>
      </c>
      <c r="F62" s="109">
        <v>486.83</v>
      </c>
      <c r="G62" s="110">
        <f t="shared" si="5"/>
        <v>2.4388777555110264E-2</v>
      </c>
      <c r="H62" s="110"/>
      <c r="I62" s="110">
        <v>0</v>
      </c>
      <c r="J62" s="109">
        <f t="shared" si="6"/>
        <v>499</v>
      </c>
      <c r="K62" s="110">
        <f t="shared" si="7"/>
        <v>2.4388777555110264E-2</v>
      </c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spans="1:26" ht="15.75" customHeight="1" x14ac:dyDescent="0.3">
      <c r="A63" s="112" t="s">
        <v>2692</v>
      </c>
      <c r="B63" s="107" t="s">
        <v>2813</v>
      </c>
      <c r="C63" s="107" t="s">
        <v>2814</v>
      </c>
      <c r="D63" s="114" t="s">
        <v>13</v>
      </c>
      <c r="E63" s="109">
        <v>84</v>
      </c>
      <c r="F63" s="109">
        <v>81.95</v>
      </c>
      <c r="G63" s="110">
        <f t="shared" si="5"/>
        <v>2.4404761904761818E-2</v>
      </c>
      <c r="H63" s="110"/>
      <c r="I63" s="110">
        <v>0</v>
      </c>
      <c r="J63" s="109">
        <f t="shared" si="6"/>
        <v>84</v>
      </c>
      <c r="K63" s="110">
        <f t="shared" si="7"/>
        <v>2.4404761904761818E-2</v>
      </c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spans="1:26" ht="15.75" customHeight="1" x14ac:dyDescent="0.3">
      <c r="A64" s="107" t="s">
        <v>2692</v>
      </c>
      <c r="B64" s="107" t="s">
        <v>2815</v>
      </c>
      <c r="C64" s="107" t="s">
        <v>2816</v>
      </c>
      <c r="D64" s="108" t="s">
        <v>13</v>
      </c>
      <c r="E64" s="109">
        <v>83</v>
      </c>
      <c r="F64" s="109">
        <v>80.98</v>
      </c>
      <c r="G64" s="110">
        <f t="shared" ref="G64:G92" si="8">1-(F64/E64)</f>
        <v>2.4337349397590358E-2</v>
      </c>
      <c r="H64" s="110"/>
      <c r="I64" s="110">
        <v>0</v>
      </c>
      <c r="J64" s="109">
        <f t="shared" ref="J64:J92" si="9">E64*(1-I64)</f>
        <v>83</v>
      </c>
      <c r="K64" s="110">
        <f t="shared" ref="K64:K92" si="10">1-(F64/J64)</f>
        <v>2.4337349397590358E-2</v>
      </c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spans="1:26" ht="15.75" customHeight="1" x14ac:dyDescent="0.3">
      <c r="A65" s="107" t="s">
        <v>2692</v>
      </c>
      <c r="B65" s="107" t="s">
        <v>2817</v>
      </c>
      <c r="C65" s="107" t="s">
        <v>2818</v>
      </c>
      <c r="D65" s="108" t="s">
        <v>13</v>
      </c>
      <c r="E65" s="109">
        <v>83</v>
      </c>
      <c r="F65" s="109">
        <v>80.98</v>
      </c>
      <c r="G65" s="110">
        <f t="shared" si="8"/>
        <v>2.4337349397590358E-2</v>
      </c>
      <c r="H65" s="110"/>
      <c r="I65" s="110">
        <v>0</v>
      </c>
      <c r="J65" s="109">
        <f t="shared" si="9"/>
        <v>83</v>
      </c>
      <c r="K65" s="110">
        <f t="shared" si="10"/>
        <v>2.4337349397590358E-2</v>
      </c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spans="1:26" ht="15.75" customHeight="1" x14ac:dyDescent="0.3">
      <c r="A66" s="107" t="s">
        <v>2692</v>
      </c>
      <c r="B66" s="107" t="s">
        <v>2819</v>
      </c>
      <c r="C66" s="107" t="s">
        <v>2820</v>
      </c>
      <c r="D66" s="108" t="s">
        <v>13</v>
      </c>
      <c r="E66" s="109">
        <v>93</v>
      </c>
      <c r="F66" s="109">
        <v>90.73</v>
      </c>
      <c r="G66" s="110">
        <f t="shared" si="8"/>
        <v>2.4408602150537639E-2</v>
      </c>
      <c r="H66" s="110"/>
      <c r="I66" s="110">
        <v>0</v>
      </c>
      <c r="J66" s="109">
        <f t="shared" si="9"/>
        <v>93</v>
      </c>
      <c r="K66" s="110">
        <f t="shared" si="10"/>
        <v>2.4408602150537639E-2</v>
      </c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spans="1:26" ht="15.75" customHeight="1" x14ac:dyDescent="0.3">
      <c r="A67" s="107" t="s">
        <v>2692</v>
      </c>
      <c r="B67" s="107" t="s">
        <v>2821</v>
      </c>
      <c r="C67" s="107" t="s">
        <v>2822</v>
      </c>
      <c r="D67" s="108" t="s">
        <v>13</v>
      </c>
      <c r="E67" s="109">
        <v>98</v>
      </c>
      <c r="F67" s="109">
        <v>95.61</v>
      </c>
      <c r="G67" s="110">
        <f t="shared" si="8"/>
        <v>2.4387755102040831E-2</v>
      </c>
      <c r="H67" s="110"/>
      <c r="I67" s="110">
        <v>0</v>
      </c>
      <c r="J67" s="109">
        <f t="shared" si="9"/>
        <v>98</v>
      </c>
      <c r="K67" s="110">
        <f t="shared" si="10"/>
        <v>2.4387755102040831E-2</v>
      </c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ht="15.75" customHeight="1" x14ac:dyDescent="0.3">
      <c r="A68" s="107" t="s">
        <v>2692</v>
      </c>
      <c r="B68" s="107" t="s">
        <v>2823</v>
      </c>
      <c r="C68" s="107" t="s">
        <v>2824</v>
      </c>
      <c r="D68" s="108" t="s">
        <v>13</v>
      </c>
      <c r="E68" s="109">
        <v>98</v>
      </c>
      <c r="F68" s="109">
        <v>95.61</v>
      </c>
      <c r="G68" s="110">
        <f t="shared" si="8"/>
        <v>2.4387755102040831E-2</v>
      </c>
      <c r="H68" s="110"/>
      <c r="I68" s="110">
        <v>0</v>
      </c>
      <c r="J68" s="109">
        <f t="shared" si="9"/>
        <v>98</v>
      </c>
      <c r="K68" s="110">
        <f t="shared" si="10"/>
        <v>2.4387755102040831E-2</v>
      </c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ht="15.75" customHeight="1" x14ac:dyDescent="0.3">
      <c r="A69" s="107" t="s">
        <v>2692</v>
      </c>
      <c r="B69" s="107" t="s">
        <v>2825</v>
      </c>
      <c r="C69" s="107" t="s">
        <v>2826</v>
      </c>
      <c r="D69" s="108" t="s">
        <v>13</v>
      </c>
      <c r="E69" s="109">
        <v>108</v>
      </c>
      <c r="F69" s="109">
        <v>105.37</v>
      </c>
      <c r="G69" s="110">
        <f t="shared" si="8"/>
        <v>2.4351851851851847E-2</v>
      </c>
      <c r="H69" s="110"/>
      <c r="I69" s="110">
        <v>0</v>
      </c>
      <c r="J69" s="109">
        <f t="shared" si="9"/>
        <v>108</v>
      </c>
      <c r="K69" s="110">
        <f t="shared" si="10"/>
        <v>2.4351851851851847E-2</v>
      </c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5.75" customHeight="1" x14ac:dyDescent="0.3">
      <c r="A70" s="107" t="s">
        <v>2692</v>
      </c>
      <c r="B70" s="107" t="s">
        <v>2827</v>
      </c>
      <c r="C70" s="107" t="s">
        <v>2828</v>
      </c>
      <c r="D70" s="108" t="s">
        <v>13</v>
      </c>
      <c r="E70" s="109">
        <v>114</v>
      </c>
      <c r="F70" s="109">
        <v>111.22</v>
      </c>
      <c r="G70" s="110">
        <f t="shared" si="8"/>
        <v>2.4385964912280733E-2</v>
      </c>
      <c r="H70" s="110"/>
      <c r="I70" s="110">
        <v>0</v>
      </c>
      <c r="J70" s="109">
        <f t="shared" si="9"/>
        <v>114</v>
      </c>
      <c r="K70" s="110">
        <f t="shared" si="10"/>
        <v>2.4385964912280733E-2</v>
      </c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spans="1:26" ht="15.75" customHeight="1" x14ac:dyDescent="0.3">
      <c r="A71" s="107" t="s">
        <v>2692</v>
      </c>
      <c r="B71" s="107" t="s">
        <v>2829</v>
      </c>
      <c r="C71" s="107" t="s">
        <v>2830</v>
      </c>
      <c r="D71" s="108" t="s">
        <v>13</v>
      </c>
      <c r="E71" s="109">
        <v>723</v>
      </c>
      <c r="F71" s="109">
        <v>705.37</v>
      </c>
      <c r="G71" s="110">
        <f t="shared" si="8"/>
        <v>2.4384508990318077E-2</v>
      </c>
      <c r="H71" s="110"/>
      <c r="I71" s="110">
        <v>0</v>
      </c>
      <c r="J71" s="109">
        <f t="shared" si="9"/>
        <v>723</v>
      </c>
      <c r="K71" s="110">
        <f t="shared" si="10"/>
        <v>2.4384508990318077E-2</v>
      </c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spans="1:26" ht="15.75" customHeight="1" x14ac:dyDescent="0.3">
      <c r="A72" s="107" t="s">
        <v>2692</v>
      </c>
      <c r="B72" s="107" t="s">
        <v>2831</v>
      </c>
      <c r="C72" s="107" t="s">
        <v>2832</v>
      </c>
      <c r="D72" s="108" t="s">
        <v>13</v>
      </c>
      <c r="E72" s="109">
        <v>59</v>
      </c>
      <c r="F72" s="109">
        <v>57.56</v>
      </c>
      <c r="G72" s="110">
        <f t="shared" si="8"/>
        <v>2.4406779661016897E-2</v>
      </c>
      <c r="H72" s="110"/>
      <c r="I72" s="110">
        <v>0</v>
      </c>
      <c r="J72" s="109">
        <f t="shared" si="9"/>
        <v>59</v>
      </c>
      <c r="K72" s="110">
        <f t="shared" si="10"/>
        <v>2.4406779661016897E-2</v>
      </c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spans="1:26" ht="15.75" customHeight="1" x14ac:dyDescent="0.3">
      <c r="A73" s="107" t="s">
        <v>2692</v>
      </c>
      <c r="B73" s="107" t="s">
        <v>2833</v>
      </c>
      <c r="C73" s="107" t="s">
        <v>2834</v>
      </c>
      <c r="D73" s="108" t="s">
        <v>13</v>
      </c>
      <c r="E73" s="109">
        <v>59</v>
      </c>
      <c r="F73" s="109">
        <v>57.56</v>
      </c>
      <c r="G73" s="110">
        <f t="shared" si="8"/>
        <v>2.4406779661016897E-2</v>
      </c>
      <c r="H73" s="110"/>
      <c r="I73" s="110">
        <v>0</v>
      </c>
      <c r="J73" s="109">
        <f t="shared" si="9"/>
        <v>59</v>
      </c>
      <c r="K73" s="110">
        <f t="shared" si="10"/>
        <v>2.4406779661016897E-2</v>
      </c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spans="1:26" ht="15.75" customHeight="1" x14ac:dyDescent="0.3">
      <c r="A74" s="107" t="s">
        <v>2692</v>
      </c>
      <c r="B74" s="107" t="s">
        <v>2835</v>
      </c>
      <c r="C74" s="107" t="s">
        <v>2836</v>
      </c>
      <c r="D74" s="108" t="s">
        <v>13</v>
      </c>
      <c r="E74" s="109">
        <v>65</v>
      </c>
      <c r="F74" s="109">
        <v>63.41</v>
      </c>
      <c r="G74" s="110">
        <f t="shared" si="8"/>
        <v>2.4461538461538535E-2</v>
      </c>
      <c r="H74" s="110"/>
      <c r="I74" s="110">
        <v>0</v>
      </c>
      <c r="J74" s="109">
        <f t="shared" si="9"/>
        <v>65</v>
      </c>
      <c r="K74" s="110">
        <f t="shared" si="10"/>
        <v>2.4461538461538535E-2</v>
      </c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spans="1:26" ht="15.75" customHeight="1" x14ac:dyDescent="0.3">
      <c r="A75" s="107" t="s">
        <v>2692</v>
      </c>
      <c r="B75" s="107" t="s">
        <v>2837</v>
      </c>
      <c r="C75" s="107" t="s">
        <v>2838</v>
      </c>
      <c r="D75" s="108" t="s">
        <v>13</v>
      </c>
      <c r="E75" s="109">
        <v>167</v>
      </c>
      <c r="F75" s="109">
        <v>162.93</v>
      </c>
      <c r="G75" s="110">
        <f t="shared" si="8"/>
        <v>2.4371257485029885E-2</v>
      </c>
      <c r="H75" s="110"/>
      <c r="I75" s="110">
        <v>0</v>
      </c>
      <c r="J75" s="109">
        <f t="shared" si="9"/>
        <v>167</v>
      </c>
      <c r="K75" s="110">
        <f t="shared" si="10"/>
        <v>2.4371257485029885E-2</v>
      </c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spans="1:26" ht="15.75" customHeight="1" x14ac:dyDescent="0.3">
      <c r="A76" s="107" t="s">
        <v>2692</v>
      </c>
      <c r="B76" s="107" t="s">
        <v>2839</v>
      </c>
      <c r="C76" s="107" t="s">
        <v>2840</v>
      </c>
      <c r="D76" s="108" t="s">
        <v>13</v>
      </c>
      <c r="E76" s="109">
        <v>79</v>
      </c>
      <c r="F76" s="109">
        <v>77.069999999999993</v>
      </c>
      <c r="G76" s="110">
        <f t="shared" si="8"/>
        <v>2.4430379746835484E-2</v>
      </c>
      <c r="H76" s="110"/>
      <c r="I76" s="110">
        <v>0</v>
      </c>
      <c r="J76" s="109">
        <f t="shared" si="9"/>
        <v>79</v>
      </c>
      <c r="K76" s="110">
        <f t="shared" si="10"/>
        <v>2.4430379746835484E-2</v>
      </c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spans="1:26" ht="15.75" customHeight="1" x14ac:dyDescent="0.3">
      <c r="A77" s="107" t="s">
        <v>2692</v>
      </c>
      <c r="B77" s="107" t="s">
        <v>2841</v>
      </c>
      <c r="C77" s="107" t="s">
        <v>2842</v>
      </c>
      <c r="D77" s="108" t="s">
        <v>13</v>
      </c>
      <c r="E77" s="109">
        <v>51</v>
      </c>
      <c r="F77" s="109">
        <v>49.76</v>
      </c>
      <c r="G77" s="110">
        <f t="shared" si="8"/>
        <v>2.431372549019617E-2</v>
      </c>
      <c r="H77" s="110"/>
      <c r="I77" s="110">
        <v>0</v>
      </c>
      <c r="J77" s="109">
        <f t="shared" si="9"/>
        <v>51</v>
      </c>
      <c r="K77" s="110">
        <f t="shared" si="10"/>
        <v>2.431372549019617E-2</v>
      </c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spans="1:26" ht="15.75" customHeight="1" x14ac:dyDescent="0.3">
      <c r="A78" s="107" t="s">
        <v>2692</v>
      </c>
      <c r="B78" s="107" t="s">
        <v>2843</v>
      </c>
      <c r="C78" s="107" t="s">
        <v>2844</v>
      </c>
      <c r="D78" s="108" t="s">
        <v>13</v>
      </c>
      <c r="E78" s="109">
        <v>389</v>
      </c>
      <c r="F78" s="109">
        <v>379.51</v>
      </c>
      <c r="G78" s="110">
        <f t="shared" si="8"/>
        <v>2.439588688946015E-2</v>
      </c>
      <c r="H78" s="110"/>
      <c r="I78" s="110">
        <v>0</v>
      </c>
      <c r="J78" s="109">
        <f t="shared" si="9"/>
        <v>389</v>
      </c>
      <c r="K78" s="110">
        <f t="shared" si="10"/>
        <v>2.439588688946015E-2</v>
      </c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spans="1:26" ht="15.75" customHeight="1" x14ac:dyDescent="0.3">
      <c r="A79" s="107" t="s">
        <v>2692</v>
      </c>
      <c r="B79" s="107" t="s">
        <v>2845</v>
      </c>
      <c r="C79" s="107" t="s">
        <v>2846</v>
      </c>
      <c r="D79" s="108" t="s">
        <v>13</v>
      </c>
      <c r="E79" s="109">
        <v>389</v>
      </c>
      <c r="F79" s="109">
        <v>379.51</v>
      </c>
      <c r="G79" s="110">
        <f t="shared" si="8"/>
        <v>2.439588688946015E-2</v>
      </c>
      <c r="H79" s="110"/>
      <c r="I79" s="110">
        <v>0</v>
      </c>
      <c r="J79" s="109">
        <f t="shared" si="9"/>
        <v>389</v>
      </c>
      <c r="K79" s="110">
        <f t="shared" si="10"/>
        <v>2.439588688946015E-2</v>
      </c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spans="1:26" ht="15.75" customHeight="1" x14ac:dyDescent="0.3">
      <c r="A80" s="107" t="s">
        <v>2692</v>
      </c>
      <c r="B80" s="107" t="s">
        <v>2847</v>
      </c>
      <c r="C80" s="107" t="s">
        <v>2848</v>
      </c>
      <c r="D80" s="108" t="s">
        <v>13</v>
      </c>
      <c r="E80" s="109">
        <v>399</v>
      </c>
      <c r="F80" s="109">
        <v>389.27</v>
      </c>
      <c r="G80" s="110">
        <f t="shared" si="8"/>
        <v>2.4385964912280733E-2</v>
      </c>
      <c r="H80" s="110"/>
      <c r="I80" s="110">
        <v>0</v>
      </c>
      <c r="J80" s="109">
        <f t="shared" si="9"/>
        <v>399</v>
      </c>
      <c r="K80" s="110">
        <f t="shared" si="10"/>
        <v>2.4385964912280733E-2</v>
      </c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spans="1:26" ht="15.75" customHeight="1" x14ac:dyDescent="0.3">
      <c r="A81" s="107" t="s">
        <v>2692</v>
      </c>
      <c r="B81" s="107" t="s">
        <v>2849</v>
      </c>
      <c r="C81" s="107" t="s">
        <v>2850</v>
      </c>
      <c r="D81" s="108" t="s">
        <v>13</v>
      </c>
      <c r="E81" s="109">
        <v>419</v>
      </c>
      <c r="F81" s="109">
        <v>408.78</v>
      </c>
      <c r="G81" s="110">
        <f t="shared" si="8"/>
        <v>2.4391408114558533E-2</v>
      </c>
      <c r="H81" s="110"/>
      <c r="I81" s="110">
        <v>0</v>
      </c>
      <c r="J81" s="109">
        <f t="shared" si="9"/>
        <v>419</v>
      </c>
      <c r="K81" s="110">
        <f t="shared" si="10"/>
        <v>2.4391408114558533E-2</v>
      </c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spans="1:26" ht="15.75" customHeight="1" x14ac:dyDescent="0.3">
      <c r="A82" s="107" t="s">
        <v>2692</v>
      </c>
      <c r="B82" s="107" t="s">
        <v>2851</v>
      </c>
      <c r="C82" s="107" t="s">
        <v>2852</v>
      </c>
      <c r="D82" s="108" t="s">
        <v>13</v>
      </c>
      <c r="E82" s="109">
        <v>419</v>
      </c>
      <c r="F82" s="109">
        <v>408.78</v>
      </c>
      <c r="G82" s="110">
        <f t="shared" si="8"/>
        <v>2.4391408114558533E-2</v>
      </c>
      <c r="H82" s="110"/>
      <c r="I82" s="110">
        <v>0</v>
      </c>
      <c r="J82" s="109">
        <f t="shared" si="9"/>
        <v>419</v>
      </c>
      <c r="K82" s="110">
        <f t="shared" si="10"/>
        <v>2.4391408114558533E-2</v>
      </c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spans="1:26" ht="15.75" customHeight="1" x14ac:dyDescent="0.3">
      <c r="A83" s="107" t="s">
        <v>2692</v>
      </c>
      <c r="B83" s="107" t="s">
        <v>2847</v>
      </c>
      <c r="C83" s="107" t="s">
        <v>2853</v>
      </c>
      <c r="D83" s="108" t="s">
        <v>13</v>
      </c>
      <c r="E83" s="109">
        <v>429</v>
      </c>
      <c r="F83" s="109">
        <v>418.54</v>
      </c>
      <c r="G83" s="110">
        <f t="shared" si="8"/>
        <v>2.4382284382284292E-2</v>
      </c>
      <c r="H83" s="110"/>
      <c r="I83" s="110">
        <v>0</v>
      </c>
      <c r="J83" s="109">
        <f t="shared" si="9"/>
        <v>429</v>
      </c>
      <c r="K83" s="110">
        <f t="shared" si="10"/>
        <v>2.4382284382284292E-2</v>
      </c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spans="1:26" ht="15.75" customHeight="1" x14ac:dyDescent="0.3">
      <c r="A84" s="107" t="s">
        <v>2692</v>
      </c>
      <c r="B84" s="107" t="s">
        <v>2854</v>
      </c>
      <c r="C84" s="107" t="s">
        <v>2855</v>
      </c>
      <c r="D84" s="108" t="s">
        <v>13</v>
      </c>
      <c r="E84" s="109">
        <v>429</v>
      </c>
      <c r="F84" s="109">
        <v>418.54</v>
      </c>
      <c r="G84" s="110">
        <f t="shared" si="8"/>
        <v>2.4382284382284292E-2</v>
      </c>
      <c r="H84" s="110"/>
      <c r="I84" s="110">
        <v>0</v>
      </c>
      <c r="J84" s="109">
        <f t="shared" si="9"/>
        <v>429</v>
      </c>
      <c r="K84" s="110">
        <f t="shared" si="10"/>
        <v>2.4382284382284292E-2</v>
      </c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spans="1:26" ht="15.75" customHeight="1" x14ac:dyDescent="0.3">
      <c r="A85" s="107" t="s">
        <v>2692</v>
      </c>
      <c r="B85" s="107" t="s">
        <v>2856</v>
      </c>
      <c r="C85" s="107" t="s">
        <v>2857</v>
      </c>
      <c r="D85" s="108" t="s">
        <v>13</v>
      </c>
      <c r="E85" s="109">
        <v>419</v>
      </c>
      <c r="F85" s="109">
        <v>408.78</v>
      </c>
      <c r="G85" s="110">
        <f t="shared" si="8"/>
        <v>2.4391408114558533E-2</v>
      </c>
      <c r="H85" s="110"/>
      <c r="I85" s="110">
        <v>0</v>
      </c>
      <c r="J85" s="109">
        <f t="shared" si="9"/>
        <v>419</v>
      </c>
      <c r="K85" s="110">
        <f t="shared" si="10"/>
        <v>2.4391408114558533E-2</v>
      </c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spans="1:26" ht="15.75" customHeight="1" x14ac:dyDescent="0.3">
      <c r="A86" s="107" t="s">
        <v>2692</v>
      </c>
      <c r="B86" s="107" t="s">
        <v>2858</v>
      </c>
      <c r="C86" s="107" t="s">
        <v>2859</v>
      </c>
      <c r="D86" s="108" t="s">
        <v>13</v>
      </c>
      <c r="E86" s="109">
        <v>419</v>
      </c>
      <c r="F86" s="109">
        <v>408.78</v>
      </c>
      <c r="G86" s="110">
        <f t="shared" si="8"/>
        <v>2.4391408114558533E-2</v>
      </c>
      <c r="H86" s="110"/>
      <c r="I86" s="110">
        <v>0</v>
      </c>
      <c r="J86" s="109">
        <f t="shared" si="9"/>
        <v>419</v>
      </c>
      <c r="K86" s="110">
        <f t="shared" si="10"/>
        <v>2.4391408114558533E-2</v>
      </c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spans="1:26" ht="15.75" customHeight="1" x14ac:dyDescent="0.3">
      <c r="A87" s="107" t="s">
        <v>2692</v>
      </c>
      <c r="B87" s="107" t="s">
        <v>2860</v>
      </c>
      <c r="C87" s="107" t="s">
        <v>2861</v>
      </c>
      <c r="D87" s="108" t="s">
        <v>13</v>
      </c>
      <c r="E87" s="109">
        <v>439</v>
      </c>
      <c r="F87" s="109">
        <v>428.29</v>
      </c>
      <c r="G87" s="110">
        <f t="shared" si="8"/>
        <v>2.4396355353075161E-2</v>
      </c>
      <c r="H87" s="110"/>
      <c r="I87" s="110">
        <v>0</v>
      </c>
      <c r="J87" s="109">
        <f t="shared" si="9"/>
        <v>439</v>
      </c>
      <c r="K87" s="110">
        <f t="shared" si="10"/>
        <v>2.4396355353075161E-2</v>
      </c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spans="1:26" ht="15.75" customHeight="1" x14ac:dyDescent="0.3">
      <c r="A88" s="107" t="s">
        <v>2692</v>
      </c>
      <c r="B88" s="107" t="s">
        <v>2862</v>
      </c>
      <c r="C88" s="107" t="s">
        <v>2863</v>
      </c>
      <c r="D88" s="108" t="s">
        <v>13</v>
      </c>
      <c r="E88" s="109">
        <v>379</v>
      </c>
      <c r="F88" s="109">
        <v>369.76</v>
      </c>
      <c r="G88" s="110">
        <f t="shared" si="8"/>
        <v>2.4379947229551502E-2</v>
      </c>
      <c r="H88" s="110"/>
      <c r="I88" s="110">
        <v>0</v>
      </c>
      <c r="J88" s="109">
        <f t="shared" si="9"/>
        <v>379</v>
      </c>
      <c r="K88" s="110">
        <f t="shared" si="10"/>
        <v>2.4379947229551502E-2</v>
      </c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spans="1:26" ht="15.75" customHeight="1" x14ac:dyDescent="0.3">
      <c r="A89" s="107" t="s">
        <v>2692</v>
      </c>
      <c r="B89" s="107" t="s">
        <v>2864</v>
      </c>
      <c r="C89" s="107" t="s">
        <v>2865</v>
      </c>
      <c r="D89" s="108" t="s">
        <v>13</v>
      </c>
      <c r="E89" s="109">
        <v>379</v>
      </c>
      <c r="F89" s="109">
        <v>369.76</v>
      </c>
      <c r="G89" s="110">
        <f t="shared" si="8"/>
        <v>2.4379947229551502E-2</v>
      </c>
      <c r="H89" s="110"/>
      <c r="I89" s="110">
        <v>0</v>
      </c>
      <c r="J89" s="109">
        <f t="shared" si="9"/>
        <v>379</v>
      </c>
      <c r="K89" s="110">
        <f t="shared" si="10"/>
        <v>2.4379947229551502E-2</v>
      </c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spans="1:26" ht="15.75" customHeight="1" x14ac:dyDescent="0.3">
      <c r="A90" s="107" t="s">
        <v>2692</v>
      </c>
      <c r="B90" s="107" t="s">
        <v>2866</v>
      </c>
      <c r="C90" s="107" t="s">
        <v>2867</v>
      </c>
      <c r="D90" s="108" t="s">
        <v>13</v>
      </c>
      <c r="E90" s="109">
        <v>419</v>
      </c>
      <c r="F90" s="109">
        <v>408.78</v>
      </c>
      <c r="G90" s="110">
        <f t="shared" si="8"/>
        <v>2.4391408114558533E-2</v>
      </c>
      <c r="H90" s="110"/>
      <c r="I90" s="110">
        <v>0</v>
      </c>
      <c r="J90" s="109">
        <f t="shared" si="9"/>
        <v>419</v>
      </c>
      <c r="K90" s="110">
        <f t="shared" si="10"/>
        <v>2.4391408114558533E-2</v>
      </c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spans="1:26" ht="15.75" customHeight="1" x14ac:dyDescent="0.3">
      <c r="A91" s="107" t="s">
        <v>2692</v>
      </c>
      <c r="B91" s="107" t="s">
        <v>2868</v>
      </c>
      <c r="C91" s="107" t="s">
        <v>2869</v>
      </c>
      <c r="D91" s="108" t="s">
        <v>13</v>
      </c>
      <c r="E91" s="109">
        <v>419</v>
      </c>
      <c r="F91" s="109">
        <v>408.78</v>
      </c>
      <c r="G91" s="110">
        <f t="shared" si="8"/>
        <v>2.4391408114558533E-2</v>
      </c>
      <c r="H91" s="110"/>
      <c r="I91" s="110">
        <v>0</v>
      </c>
      <c r="J91" s="109">
        <f t="shared" si="9"/>
        <v>419</v>
      </c>
      <c r="K91" s="110">
        <f t="shared" si="10"/>
        <v>2.4391408114558533E-2</v>
      </c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spans="1:26" ht="15.75" customHeight="1" x14ac:dyDescent="0.3">
      <c r="A92" s="112" t="s">
        <v>2692</v>
      </c>
      <c r="B92" s="107" t="s">
        <v>2870</v>
      </c>
      <c r="C92" s="107" t="s">
        <v>2871</v>
      </c>
      <c r="D92" s="114" t="s">
        <v>13</v>
      </c>
      <c r="E92" s="109">
        <v>419</v>
      </c>
      <c r="F92" s="109">
        <v>408.78</v>
      </c>
      <c r="G92" s="110">
        <f t="shared" si="8"/>
        <v>2.4391408114558533E-2</v>
      </c>
      <c r="H92" s="110"/>
      <c r="I92" s="110">
        <v>0</v>
      </c>
      <c r="J92" s="109">
        <f t="shared" si="9"/>
        <v>419</v>
      </c>
      <c r="K92" s="110">
        <f t="shared" si="10"/>
        <v>2.4391408114558533E-2</v>
      </c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spans="1:26" ht="15.75" customHeight="1" x14ac:dyDescent="0.3">
      <c r="A93" s="107" t="s">
        <v>2692</v>
      </c>
      <c r="B93" s="107" t="s">
        <v>2872</v>
      </c>
      <c r="C93" s="107" t="s">
        <v>2873</v>
      </c>
      <c r="D93" s="108" t="s">
        <v>13</v>
      </c>
      <c r="E93" s="109">
        <v>116</v>
      </c>
      <c r="F93" s="109">
        <v>113.17</v>
      </c>
      <c r="G93" s="110">
        <f t="shared" ref="G93:G108" si="11">1-(F93/E93)</f>
        <v>2.4396551724137905E-2</v>
      </c>
      <c r="H93" s="110"/>
      <c r="I93" s="110">
        <v>0</v>
      </c>
      <c r="J93" s="109">
        <f t="shared" ref="J93:J108" si="12">E93*(1-I93)</f>
        <v>116</v>
      </c>
      <c r="K93" s="110">
        <f t="shared" ref="K93:K108" si="13">1-(F93/J93)</f>
        <v>2.4396551724137905E-2</v>
      </c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spans="1:26" ht="15.75" customHeight="1" x14ac:dyDescent="0.3">
      <c r="A94" s="107" t="s">
        <v>2692</v>
      </c>
      <c r="B94" s="107" t="s">
        <v>2874</v>
      </c>
      <c r="C94" s="107" t="s">
        <v>2875</v>
      </c>
      <c r="D94" s="108" t="s">
        <v>13</v>
      </c>
      <c r="E94" s="109">
        <v>154</v>
      </c>
      <c r="F94" s="109">
        <v>150.24</v>
      </c>
      <c r="G94" s="110">
        <f t="shared" si="11"/>
        <v>2.4415584415584335E-2</v>
      </c>
      <c r="H94" s="110"/>
      <c r="I94" s="110">
        <v>0</v>
      </c>
      <c r="J94" s="109">
        <f t="shared" si="12"/>
        <v>154</v>
      </c>
      <c r="K94" s="110">
        <f t="shared" si="13"/>
        <v>2.4415584415584335E-2</v>
      </c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spans="1:26" ht="15.75" customHeight="1" x14ac:dyDescent="0.3">
      <c r="A95" s="107" t="s">
        <v>2692</v>
      </c>
      <c r="B95" s="107" t="s">
        <v>2876</v>
      </c>
      <c r="C95" s="107" t="s">
        <v>2877</v>
      </c>
      <c r="D95" s="108" t="s">
        <v>13</v>
      </c>
      <c r="E95" s="109">
        <v>150</v>
      </c>
      <c r="F95" s="109">
        <v>146.34</v>
      </c>
      <c r="G95" s="110">
        <f t="shared" si="11"/>
        <v>2.4399999999999977E-2</v>
      </c>
      <c r="H95" s="110"/>
      <c r="I95" s="110">
        <v>0</v>
      </c>
      <c r="J95" s="109">
        <f t="shared" si="12"/>
        <v>150</v>
      </c>
      <c r="K95" s="110">
        <f t="shared" si="13"/>
        <v>2.4399999999999977E-2</v>
      </c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spans="1:26" ht="15.75" customHeight="1" x14ac:dyDescent="0.3">
      <c r="A96" s="107" t="s">
        <v>2692</v>
      </c>
      <c r="B96" s="107" t="s">
        <v>2878</v>
      </c>
      <c r="C96" s="107" t="s">
        <v>2879</v>
      </c>
      <c r="D96" s="108" t="s">
        <v>13</v>
      </c>
      <c r="E96" s="109">
        <v>203</v>
      </c>
      <c r="F96" s="109">
        <v>198.05</v>
      </c>
      <c r="G96" s="110">
        <f t="shared" si="11"/>
        <v>2.4384236453201868E-2</v>
      </c>
      <c r="H96" s="110"/>
      <c r="I96" s="110">
        <v>0</v>
      </c>
      <c r="J96" s="109">
        <f t="shared" si="12"/>
        <v>203</v>
      </c>
      <c r="K96" s="110">
        <f t="shared" si="13"/>
        <v>2.4384236453201868E-2</v>
      </c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spans="1:26" ht="15.75" customHeight="1" x14ac:dyDescent="0.3">
      <c r="A97" s="107" t="s">
        <v>2692</v>
      </c>
      <c r="B97" s="107" t="s">
        <v>2880</v>
      </c>
      <c r="C97" s="107" t="s">
        <v>2881</v>
      </c>
      <c r="D97" s="108" t="s">
        <v>13</v>
      </c>
      <c r="E97" s="109">
        <v>157</v>
      </c>
      <c r="F97" s="109">
        <v>153.16999999999999</v>
      </c>
      <c r="G97" s="110">
        <f t="shared" si="11"/>
        <v>2.4394904458598821E-2</v>
      </c>
      <c r="H97" s="110"/>
      <c r="I97" s="110">
        <v>0</v>
      </c>
      <c r="J97" s="109">
        <f t="shared" si="12"/>
        <v>157</v>
      </c>
      <c r="K97" s="110">
        <f t="shared" si="13"/>
        <v>2.4394904458598821E-2</v>
      </c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spans="1:26" ht="15.75" customHeight="1" x14ac:dyDescent="0.3">
      <c r="A98" s="107" t="s">
        <v>2692</v>
      </c>
      <c r="B98" s="107" t="s">
        <v>2882</v>
      </c>
      <c r="C98" s="107" t="s">
        <v>2883</v>
      </c>
      <c r="D98" s="108" t="s">
        <v>13</v>
      </c>
      <c r="E98" s="109">
        <v>187</v>
      </c>
      <c r="F98" s="109">
        <v>182.44</v>
      </c>
      <c r="G98" s="110">
        <f t="shared" si="11"/>
        <v>2.4385026737967941E-2</v>
      </c>
      <c r="H98" s="110"/>
      <c r="I98" s="110">
        <v>0</v>
      </c>
      <c r="J98" s="109">
        <f t="shared" si="12"/>
        <v>187</v>
      </c>
      <c r="K98" s="110">
        <f t="shared" si="13"/>
        <v>2.4385026737967941E-2</v>
      </c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spans="1:26" ht="15.75" customHeight="1" x14ac:dyDescent="0.3">
      <c r="A99" s="107" t="s">
        <v>2692</v>
      </c>
      <c r="B99" s="107" t="s">
        <v>2884</v>
      </c>
      <c r="C99" s="107" t="s">
        <v>2885</v>
      </c>
      <c r="D99" s="108" t="s">
        <v>13</v>
      </c>
      <c r="E99" s="109">
        <v>239</v>
      </c>
      <c r="F99" s="109">
        <v>233.17</v>
      </c>
      <c r="G99" s="110">
        <f t="shared" si="11"/>
        <v>2.4393305439330604E-2</v>
      </c>
      <c r="H99" s="110"/>
      <c r="I99" s="110">
        <v>0</v>
      </c>
      <c r="J99" s="109">
        <f t="shared" si="12"/>
        <v>239</v>
      </c>
      <c r="K99" s="110">
        <f t="shared" si="13"/>
        <v>2.4393305439330604E-2</v>
      </c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spans="1:26" ht="15.75" customHeight="1" x14ac:dyDescent="0.3">
      <c r="A100" s="107" t="s">
        <v>2692</v>
      </c>
      <c r="B100" s="107" t="s">
        <v>2886</v>
      </c>
      <c r="C100" s="107" t="s">
        <v>2885</v>
      </c>
      <c r="D100" s="108" t="s">
        <v>13</v>
      </c>
      <c r="E100" s="109">
        <v>339</v>
      </c>
      <c r="F100" s="109">
        <v>330.73</v>
      </c>
      <c r="G100" s="110">
        <f t="shared" si="11"/>
        <v>2.4395280235988137E-2</v>
      </c>
      <c r="H100" s="110"/>
      <c r="I100" s="110">
        <v>0</v>
      </c>
      <c r="J100" s="109">
        <f t="shared" si="12"/>
        <v>339</v>
      </c>
      <c r="K100" s="110">
        <f t="shared" si="13"/>
        <v>2.4395280235988137E-2</v>
      </c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spans="1:26" ht="15.75" customHeight="1" x14ac:dyDescent="0.3">
      <c r="A101" s="107" t="s">
        <v>2692</v>
      </c>
      <c r="B101" s="107" t="s">
        <v>2887</v>
      </c>
      <c r="C101" s="107" t="s">
        <v>2888</v>
      </c>
      <c r="D101" s="108" t="s">
        <v>13</v>
      </c>
      <c r="E101" s="109">
        <v>284</v>
      </c>
      <c r="F101" s="109">
        <v>277.07</v>
      </c>
      <c r="G101" s="110">
        <f t="shared" si="11"/>
        <v>2.4401408450704265E-2</v>
      </c>
      <c r="H101" s="110"/>
      <c r="I101" s="110">
        <v>0</v>
      </c>
      <c r="J101" s="109">
        <f t="shared" si="12"/>
        <v>284</v>
      </c>
      <c r="K101" s="110">
        <f t="shared" si="13"/>
        <v>2.4401408450704265E-2</v>
      </c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spans="1:26" ht="15.75" customHeight="1" x14ac:dyDescent="0.3">
      <c r="A102" s="107" t="s">
        <v>2692</v>
      </c>
      <c r="B102" s="107" t="s">
        <v>2889</v>
      </c>
      <c r="C102" s="107" t="s">
        <v>2888</v>
      </c>
      <c r="D102" s="108" t="s">
        <v>13</v>
      </c>
      <c r="E102" s="109">
        <v>384</v>
      </c>
      <c r="F102" s="109">
        <v>374.63</v>
      </c>
      <c r="G102" s="110">
        <f t="shared" si="11"/>
        <v>2.4401041666666679E-2</v>
      </c>
      <c r="H102" s="110"/>
      <c r="I102" s="110">
        <v>0</v>
      </c>
      <c r="J102" s="109">
        <f t="shared" si="12"/>
        <v>384</v>
      </c>
      <c r="K102" s="110">
        <f t="shared" si="13"/>
        <v>2.4401041666666679E-2</v>
      </c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spans="1:26" ht="15.75" customHeight="1" x14ac:dyDescent="0.3">
      <c r="A103" s="107" t="s">
        <v>2692</v>
      </c>
      <c r="B103" s="107" t="s">
        <v>2890</v>
      </c>
      <c r="C103" s="107" t="s">
        <v>2891</v>
      </c>
      <c r="D103" s="108" t="s">
        <v>13</v>
      </c>
      <c r="E103" s="109">
        <v>250</v>
      </c>
      <c r="F103" s="109">
        <v>242.93</v>
      </c>
      <c r="G103" s="110">
        <f t="shared" si="11"/>
        <v>2.8279999999999972E-2</v>
      </c>
      <c r="H103" s="110"/>
      <c r="I103" s="110">
        <v>0</v>
      </c>
      <c r="J103" s="109">
        <f t="shared" si="12"/>
        <v>250</v>
      </c>
      <c r="K103" s="110">
        <f t="shared" si="13"/>
        <v>2.8279999999999972E-2</v>
      </c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spans="1:26" ht="15.75" customHeight="1" x14ac:dyDescent="0.3">
      <c r="A104" s="107" t="s">
        <v>2692</v>
      </c>
      <c r="B104" s="107" t="s">
        <v>2892</v>
      </c>
      <c r="C104" s="107" t="s">
        <v>2893</v>
      </c>
      <c r="D104" s="108" t="s">
        <v>13</v>
      </c>
      <c r="E104" s="109">
        <v>299</v>
      </c>
      <c r="F104" s="109">
        <v>291.70999999999998</v>
      </c>
      <c r="G104" s="110">
        <f t="shared" si="11"/>
        <v>2.4381270903010122E-2</v>
      </c>
      <c r="H104" s="110"/>
      <c r="I104" s="110">
        <v>0</v>
      </c>
      <c r="J104" s="109">
        <f t="shared" si="12"/>
        <v>299</v>
      </c>
      <c r="K104" s="110">
        <f t="shared" si="13"/>
        <v>2.4381270903010122E-2</v>
      </c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spans="1:26" ht="15.75" customHeight="1" x14ac:dyDescent="0.3">
      <c r="A105" s="107" t="s">
        <v>2692</v>
      </c>
      <c r="B105" s="107" t="s">
        <v>2894</v>
      </c>
      <c r="C105" s="107" t="s">
        <v>2895</v>
      </c>
      <c r="D105" s="108" t="s">
        <v>13</v>
      </c>
      <c r="E105" s="109">
        <v>399</v>
      </c>
      <c r="F105" s="109">
        <v>389.27</v>
      </c>
      <c r="G105" s="110">
        <f t="shared" si="11"/>
        <v>2.4385964912280733E-2</v>
      </c>
      <c r="H105" s="110"/>
      <c r="I105" s="110">
        <v>0</v>
      </c>
      <c r="J105" s="109">
        <f t="shared" si="12"/>
        <v>399</v>
      </c>
      <c r="K105" s="110">
        <f t="shared" si="13"/>
        <v>2.4385964912280733E-2</v>
      </c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spans="1:26" ht="15.75" customHeight="1" x14ac:dyDescent="0.3">
      <c r="A106" s="107" t="s">
        <v>2692</v>
      </c>
      <c r="B106" s="107" t="s">
        <v>2896</v>
      </c>
      <c r="C106" s="107" t="s">
        <v>2897</v>
      </c>
      <c r="D106" s="108" t="s">
        <v>13</v>
      </c>
      <c r="E106" s="109">
        <v>299</v>
      </c>
      <c r="F106" s="109">
        <v>291.70999999999998</v>
      </c>
      <c r="G106" s="110">
        <f t="shared" si="11"/>
        <v>2.4381270903010122E-2</v>
      </c>
      <c r="H106" s="110"/>
      <c r="I106" s="110">
        <v>0</v>
      </c>
      <c r="J106" s="109">
        <f t="shared" si="12"/>
        <v>299</v>
      </c>
      <c r="K106" s="110">
        <f t="shared" si="13"/>
        <v>2.4381270903010122E-2</v>
      </c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spans="1:26" ht="15.75" customHeight="1" x14ac:dyDescent="0.3">
      <c r="A107" s="107" t="s">
        <v>2692</v>
      </c>
      <c r="B107" s="107" t="s">
        <v>2898</v>
      </c>
      <c r="C107" s="107" t="s">
        <v>2899</v>
      </c>
      <c r="D107" s="108" t="s">
        <v>13</v>
      </c>
      <c r="E107" s="109">
        <v>349</v>
      </c>
      <c r="F107" s="109">
        <v>340.49</v>
      </c>
      <c r="G107" s="110">
        <f t="shared" si="11"/>
        <v>2.4383954154727716E-2</v>
      </c>
      <c r="H107" s="110"/>
      <c r="I107" s="110">
        <v>0</v>
      </c>
      <c r="J107" s="109">
        <f t="shared" si="12"/>
        <v>349</v>
      </c>
      <c r="K107" s="110">
        <f t="shared" si="13"/>
        <v>2.4383954154727716E-2</v>
      </c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spans="1:26" ht="15.75" customHeight="1" x14ac:dyDescent="0.3">
      <c r="A108" s="112" t="s">
        <v>2692</v>
      </c>
      <c r="B108" s="107" t="s">
        <v>2900</v>
      </c>
      <c r="C108" s="107" t="s">
        <v>2901</v>
      </c>
      <c r="D108" s="114" t="s">
        <v>13</v>
      </c>
      <c r="E108" s="109">
        <v>429</v>
      </c>
      <c r="F108" s="109">
        <v>418.54</v>
      </c>
      <c r="G108" s="110">
        <f t="shared" si="11"/>
        <v>2.4382284382284292E-2</v>
      </c>
      <c r="H108" s="110"/>
      <c r="I108" s="110">
        <v>0</v>
      </c>
      <c r="J108" s="109">
        <f t="shared" si="12"/>
        <v>429</v>
      </c>
      <c r="K108" s="110">
        <f t="shared" si="13"/>
        <v>2.4382284382284292E-2</v>
      </c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spans="1:26" ht="15.75" customHeight="1" x14ac:dyDescent="0.3">
      <c r="A109" s="107" t="s">
        <v>2692</v>
      </c>
      <c r="B109" s="107" t="s">
        <v>2902</v>
      </c>
      <c r="C109" s="107" t="s">
        <v>2903</v>
      </c>
      <c r="D109" s="108" t="s">
        <v>13</v>
      </c>
      <c r="E109" s="109">
        <v>25</v>
      </c>
      <c r="F109" s="109">
        <v>24.39</v>
      </c>
      <c r="G109" s="110">
        <f t="shared" ref="G109:G272" si="14">1-(F109/E109)</f>
        <v>2.4399999999999977E-2</v>
      </c>
      <c r="H109" s="110"/>
      <c r="I109" s="110">
        <v>0</v>
      </c>
      <c r="J109" s="109">
        <f t="shared" ref="J109:J272" si="15">E109*(1-I109)</f>
        <v>25</v>
      </c>
      <c r="K109" s="110">
        <f t="shared" ref="K109:K272" si="16">1-(F109/J109)</f>
        <v>2.4399999999999977E-2</v>
      </c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spans="1:26" ht="15.75" customHeight="1" x14ac:dyDescent="0.3">
      <c r="A110" s="107" t="s">
        <v>2692</v>
      </c>
      <c r="B110" s="107" t="s">
        <v>2904</v>
      </c>
      <c r="C110" s="107" t="s">
        <v>2905</v>
      </c>
      <c r="D110" s="108" t="s">
        <v>13</v>
      </c>
      <c r="E110" s="109">
        <v>30</v>
      </c>
      <c r="F110" s="109">
        <v>29.27</v>
      </c>
      <c r="G110" s="110">
        <f t="shared" si="14"/>
        <v>2.4333333333333318E-2</v>
      </c>
      <c r="H110" s="110"/>
      <c r="I110" s="110">
        <v>0</v>
      </c>
      <c r="J110" s="109">
        <f t="shared" si="15"/>
        <v>30</v>
      </c>
      <c r="K110" s="110">
        <f t="shared" si="16"/>
        <v>2.4333333333333318E-2</v>
      </c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spans="1:26" ht="15.75" customHeight="1" x14ac:dyDescent="0.3">
      <c r="A111" s="107" t="s">
        <v>2692</v>
      </c>
      <c r="B111" s="107" t="s">
        <v>2906</v>
      </c>
      <c r="C111" s="107" t="s">
        <v>2907</v>
      </c>
      <c r="D111" s="108" t="s">
        <v>13</v>
      </c>
      <c r="E111" s="109">
        <v>36</v>
      </c>
      <c r="F111" s="109">
        <v>35.119999999999997</v>
      </c>
      <c r="G111" s="110">
        <f t="shared" si="14"/>
        <v>2.4444444444444491E-2</v>
      </c>
      <c r="H111" s="110"/>
      <c r="I111" s="110">
        <v>0</v>
      </c>
      <c r="J111" s="109">
        <f t="shared" si="15"/>
        <v>36</v>
      </c>
      <c r="K111" s="110">
        <f t="shared" si="16"/>
        <v>2.4444444444444491E-2</v>
      </c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spans="1:26" ht="15.75" customHeight="1" x14ac:dyDescent="0.3">
      <c r="A112" s="107" t="s">
        <v>2692</v>
      </c>
      <c r="B112" s="107" t="s">
        <v>2908</v>
      </c>
      <c r="C112" s="107" t="s">
        <v>2909</v>
      </c>
      <c r="D112" s="108" t="s">
        <v>13</v>
      </c>
      <c r="E112" s="109">
        <v>34</v>
      </c>
      <c r="F112" s="109">
        <v>33.17</v>
      </c>
      <c r="G112" s="110">
        <f t="shared" si="14"/>
        <v>2.4411764705882355E-2</v>
      </c>
      <c r="H112" s="110"/>
      <c r="I112" s="110">
        <v>0</v>
      </c>
      <c r="J112" s="109">
        <f t="shared" si="15"/>
        <v>34</v>
      </c>
      <c r="K112" s="110">
        <f t="shared" si="16"/>
        <v>2.4411764705882355E-2</v>
      </c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spans="1:26" ht="15.75" customHeight="1" x14ac:dyDescent="0.3">
      <c r="A113" s="107" t="s">
        <v>2692</v>
      </c>
      <c r="B113" s="107" t="s">
        <v>2910</v>
      </c>
      <c r="C113" s="107" t="s">
        <v>2911</v>
      </c>
      <c r="D113" s="108" t="s">
        <v>13</v>
      </c>
      <c r="E113" s="109">
        <v>41</v>
      </c>
      <c r="F113" s="109">
        <v>40</v>
      </c>
      <c r="G113" s="110">
        <f t="shared" si="14"/>
        <v>2.4390243902439046E-2</v>
      </c>
      <c r="H113" s="110"/>
      <c r="I113" s="110">
        <v>0</v>
      </c>
      <c r="J113" s="109">
        <f t="shared" si="15"/>
        <v>41</v>
      </c>
      <c r="K113" s="110">
        <f t="shared" si="16"/>
        <v>2.4390243902439046E-2</v>
      </c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spans="1:26" ht="15.75" customHeight="1" x14ac:dyDescent="0.3">
      <c r="A114" s="107" t="s">
        <v>2692</v>
      </c>
      <c r="B114" s="107" t="s">
        <v>2912</v>
      </c>
      <c r="C114" s="107" t="s">
        <v>2913</v>
      </c>
      <c r="D114" s="108" t="s">
        <v>13</v>
      </c>
      <c r="E114" s="109">
        <v>28</v>
      </c>
      <c r="F114" s="109">
        <v>27.32</v>
      </c>
      <c r="G114" s="110">
        <f t="shared" si="14"/>
        <v>2.4285714285714244E-2</v>
      </c>
      <c r="H114" s="110"/>
      <c r="I114" s="110">
        <v>0</v>
      </c>
      <c r="J114" s="109">
        <f t="shared" si="15"/>
        <v>28</v>
      </c>
      <c r="K114" s="110">
        <f t="shared" si="16"/>
        <v>2.4285714285714244E-2</v>
      </c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spans="1:26" ht="15.75" customHeight="1" x14ac:dyDescent="0.3">
      <c r="A115" s="107" t="s">
        <v>2692</v>
      </c>
      <c r="B115" s="107" t="s">
        <v>2914</v>
      </c>
      <c r="C115" s="107" t="s">
        <v>2915</v>
      </c>
      <c r="D115" s="108" t="s">
        <v>13</v>
      </c>
      <c r="E115" s="109">
        <v>104</v>
      </c>
      <c r="F115" s="109">
        <v>101.46</v>
      </c>
      <c r="G115" s="110">
        <f t="shared" si="14"/>
        <v>2.4423076923076992E-2</v>
      </c>
      <c r="H115" s="110"/>
      <c r="I115" s="110">
        <v>0</v>
      </c>
      <c r="J115" s="109">
        <f t="shared" si="15"/>
        <v>104</v>
      </c>
      <c r="K115" s="110">
        <f t="shared" si="16"/>
        <v>2.4423076923076992E-2</v>
      </c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spans="1:26" ht="15.75" customHeight="1" x14ac:dyDescent="0.3">
      <c r="A116" s="107" t="s">
        <v>2692</v>
      </c>
      <c r="B116" s="107" t="s">
        <v>2916</v>
      </c>
      <c r="C116" s="107" t="s">
        <v>2917</v>
      </c>
      <c r="D116" s="108" t="s">
        <v>13</v>
      </c>
      <c r="E116" s="109">
        <v>156</v>
      </c>
      <c r="F116" s="109">
        <v>152.19999999999999</v>
      </c>
      <c r="G116" s="110">
        <f t="shared" si="14"/>
        <v>2.4358974358974383E-2</v>
      </c>
      <c r="H116" s="110"/>
      <c r="I116" s="110">
        <v>0</v>
      </c>
      <c r="J116" s="109">
        <f t="shared" si="15"/>
        <v>156</v>
      </c>
      <c r="K116" s="110">
        <f t="shared" si="16"/>
        <v>2.4358974358974383E-2</v>
      </c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spans="1:26" ht="15.75" customHeight="1" x14ac:dyDescent="0.3">
      <c r="A117" s="107" t="s">
        <v>2692</v>
      </c>
      <c r="B117" s="107" t="s">
        <v>2918</v>
      </c>
      <c r="C117" s="107" t="s">
        <v>2919</v>
      </c>
      <c r="D117" s="108" t="s">
        <v>13</v>
      </c>
      <c r="E117" s="109">
        <v>240</v>
      </c>
      <c r="F117" s="109">
        <v>234.15</v>
      </c>
      <c r="G117" s="110">
        <f t="shared" si="14"/>
        <v>2.4374999999999925E-2</v>
      </c>
      <c r="H117" s="110"/>
      <c r="I117" s="110">
        <v>0</v>
      </c>
      <c r="J117" s="109">
        <f t="shared" si="15"/>
        <v>240</v>
      </c>
      <c r="K117" s="110">
        <f t="shared" si="16"/>
        <v>2.4374999999999925E-2</v>
      </c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spans="1:26" ht="15.75" customHeight="1" x14ac:dyDescent="0.3">
      <c r="A118" s="107" t="s">
        <v>2692</v>
      </c>
      <c r="B118" s="107" t="s">
        <v>2920</v>
      </c>
      <c r="C118" s="107" t="s">
        <v>2921</v>
      </c>
      <c r="D118" s="108" t="s">
        <v>13</v>
      </c>
      <c r="E118" s="109">
        <v>366</v>
      </c>
      <c r="F118" s="109">
        <v>357.07</v>
      </c>
      <c r="G118" s="110">
        <f t="shared" si="14"/>
        <v>2.4398907103825196E-2</v>
      </c>
      <c r="H118" s="110"/>
      <c r="I118" s="110">
        <v>0</v>
      </c>
      <c r="J118" s="109">
        <f t="shared" si="15"/>
        <v>366</v>
      </c>
      <c r="K118" s="110">
        <f t="shared" si="16"/>
        <v>2.4398907103825196E-2</v>
      </c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spans="1:26" ht="15.75" customHeight="1" x14ac:dyDescent="0.3">
      <c r="A119" s="107" t="s">
        <v>2692</v>
      </c>
      <c r="B119" s="107" t="s">
        <v>2922</v>
      </c>
      <c r="C119" s="107" t="s">
        <v>2923</v>
      </c>
      <c r="D119" s="108" t="s">
        <v>13</v>
      </c>
      <c r="E119" s="109">
        <v>314</v>
      </c>
      <c r="F119" s="109">
        <v>306.33999999999997</v>
      </c>
      <c r="G119" s="110">
        <f t="shared" si="14"/>
        <v>2.4394904458598821E-2</v>
      </c>
      <c r="H119" s="110"/>
      <c r="I119" s="110">
        <v>0</v>
      </c>
      <c r="J119" s="109">
        <f t="shared" si="15"/>
        <v>314</v>
      </c>
      <c r="K119" s="110">
        <f t="shared" si="16"/>
        <v>2.4394904458598821E-2</v>
      </c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spans="1:26" ht="15.75" customHeight="1" x14ac:dyDescent="0.3">
      <c r="A120" s="107" t="s">
        <v>2692</v>
      </c>
      <c r="B120" s="107" t="s">
        <v>2924</v>
      </c>
      <c r="C120" s="107" t="s">
        <v>2925</v>
      </c>
      <c r="D120" s="108" t="s">
        <v>13</v>
      </c>
      <c r="E120" s="109">
        <v>523</v>
      </c>
      <c r="F120" s="109">
        <v>510.24</v>
      </c>
      <c r="G120" s="110">
        <f t="shared" si="14"/>
        <v>2.4397705544933035E-2</v>
      </c>
      <c r="H120" s="110"/>
      <c r="I120" s="110">
        <v>0</v>
      </c>
      <c r="J120" s="109">
        <f t="shared" si="15"/>
        <v>523</v>
      </c>
      <c r="K120" s="110">
        <f t="shared" si="16"/>
        <v>2.4397705544933035E-2</v>
      </c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spans="1:26" ht="15.75" customHeight="1" x14ac:dyDescent="0.3">
      <c r="A121" s="107" t="s">
        <v>2692</v>
      </c>
      <c r="B121" s="107" t="s">
        <v>2926</v>
      </c>
      <c r="C121" s="107" t="s">
        <v>2927</v>
      </c>
      <c r="D121" s="108" t="s">
        <v>13</v>
      </c>
      <c r="E121" s="109">
        <v>175</v>
      </c>
      <c r="F121" s="109">
        <v>170.73</v>
      </c>
      <c r="G121" s="110">
        <f t="shared" si="14"/>
        <v>2.4400000000000088E-2</v>
      </c>
      <c r="H121" s="110"/>
      <c r="I121" s="110">
        <v>0</v>
      </c>
      <c r="J121" s="109">
        <f t="shared" si="15"/>
        <v>175</v>
      </c>
      <c r="K121" s="110">
        <f t="shared" si="16"/>
        <v>2.4400000000000088E-2</v>
      </c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spans="1:26" ht="15.75" customHeight="1" x14ac:dyDescent="0.3">
      <c r="A122" s="107" t="s">
        <v>2692</v>
      </c>
      <c r="B122" s="107" t="s">
        <v>2928</v>
      </c>
      <c r="C122" s="107" t="s">
        <v>2929</v>
      </c>
      <c r="D122" s="108" t="s">
        <v>13</v>
      </c>
      <c r="E122" s="109">
        <v>274</v>
      </c>
      <c r="F122" s="109">
        <v>267.32</v>
      </c>
      <c r="G122" s="110">
        <f t="shared" si="14"/>
        <v>2.4379562043795655E-2</v>
      </c>
      <c r="H122" s="110"/>
      <c r="I122" s="110">
        <v>0</v>
      </c>
      <c r="J122" s="109">
        <f t="shared" si="15"/>
        <v>274</v>
      </c>
      <c r="K122" s="110">
        <f t="shared" si="16"/>
        <v>2.4379562043795655E-2</v>
      </c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spans="1:26" ht="15.75" customHeight="1" x14ac:dyDescent="0.3">
      <c r="A123" s="107" t="s">
        <v>2692</v>
      </c>
      <c r="B123" s="107" t="s">
        <v>2930</v>
      </c>
      <c r="C123" s="107" t="s">
        <v>2931</v>
      </c>
      <c r="D123" s="108" t="s">
        <v>13</v>
      </c>
      <c r="E123" s="109">
        <v>440</v>
      </c>
      <c r="F123" s="109">
        <v>429.27</v>
      </c>
      <c r="G123" s="110">
        <f t="shared" si="14"/>
        <v>2.4386363636363706E-2</v>
      </c>
      <c r="H123" s="110"/>
      <c r="I123" s="110">
        <v>0</v>
      </c>
      <c r="J123" s="109">
        <f t="shared" si="15"/>
        <v>440</v>
      </c>
      <c r="K123" s="110">
        <f t="shared" si="16"/>
        <v>2.4386363636363706E-2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spans="1:26" ht="15.75" customHeight="1" x14ac:dyDescent="0.3">
      <c r="A124" s="107" t="s">
        <v>2692</v>
      </c>
      <c r="B124" s="107" t="s">
        <v>2932</v>
      </c>
      <c r="C124" s="107" t="s">
        <v>2933</v>
      </c>
      <c r="D124" s="108" t="s">
        <v>13</v>
      </c>
      <c r="E124" s="109">
        <v>25</v>
      </c>
      <c r="F124" s="109">
        <v>24.39</v>
      </c>
      <c r="G124" s="110">
        <f t="shared" si="14"/>
        <v>2.4399999999999977E-2</v>
      </c>
      <c r="H124" s="110"/>
      <c r="I124" s="110">
        <v>0</v>
      </c>
      <c r="J124" s="109">
        <f t="shared" si="15"/>
        <v>25</v>
      </c>
      <c r="K124" s="110">
        <f t="shared" si="16"/>
        <v>2.4399999999999977E-2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spans="1:26" ht="15.75" customHeight="1" x14ac:dyDescent="0.3">
      <c r="A125" s="107" t="s">
        <v>2692</v>
      </c>
      <c r="B125" s="107" t="s">
        <v>2934</v>
      </c>
      <c r="C125" s="107" t="s">
        <v>2935</v>
      </c>
      <c r="D125" s="108" t="s">
        <v>13</v>
      </c>
      <c r="E125" s="109">
        <v>18.899999999999999</v>
      </c>
      <c r="F125" s="109">
        <v>18.440000000000001</v>
      </c>
      <c r="G125" s="110">
        <f t="shared" si="14"/>
        <v>2.4338624338624215E-2</v>
      </c>
      <c r="H125" s="110"/>
      <c r="I125" s="110">
        <v>0</v>
      </c>
      <c r="J125" s="109">
        <f t="shared" si="15"/>
        <v>18.899999999999999</v>
      </c>
      <c r="K125" s="110">
        <f t="shared" si="16"/>
        <v>2.4338624338624215E-2</v>
      </c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spans="1:26" ht="15.75" customHeight="1" x14ac:dyDescent="0.3">
      <c r="A126" s="107" t="s">
        <v>2692</v>
      </c>
      <c r="B126" s="107" t="s">
        <v>2936</v>
      </c>
      <c r="C126" s="107" t="s">
        <v>2937</v>
      </c>
      <c r="D126" s="108" t="s">
        <v>13</v>
      </c>
      <c r="E126" s="109">
        <v>10</v>
      </c>
      <c r="F126" s="109">
        <v>9.76</v>
      </c>
      <c r="G126" s="110">
        <f t="shared" si="14"/>
        <v>2.4000000000000021E-2</v>
      </c>
      <c r="H126" s="110"/>
      <c r="I126" s="110">
        <v>0</v>
      </c>
      <c r="J126" s="109">
        <f t="shared" si="15"/>
        <v>10</v>
      </c>
      <c r="K126" s="110">
        <f t="shared" si="16"/>
        <v>2.4000000000000021E-2</v>
      </c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spans="1:26" ht="15.75" customHeight="1" x14ac:dyDescent="0.3">
      <c r="A127" s="107" t="s">
        <v>2692</v>
      </c>
      <c r="B127" s="107" t="s">
        <v>2938</v>
      </c>
      <c r="C127" s="107" t="s">
        <v>2939</v>
      </c>
      <c r="D127" s="108" t="s">
        <v>13</v>
      </c>
      <c r="E127" s="109">
        <v>54</v>
      </c>
      <c r="F127" s="109">
        <v>52.68</v>
      </c>
      <c r="G127" s="110">
        <f t="shared" si="14"/>
        <v>2.4444444444444491E-2</v>
      </c>
      <c r="H127" s="110"/>
      <c r="I127" s="110">
        <v>0</v>
      </c>
      <c r="J127" s="109">
        <f t="shared" si="15"/>
        <v>54</v>
      </c>
      <c r="K127" s="110">
        <f t="shared" si="16"/>
        <v>2.4444444444444491E-2</v>
      </c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spans="1:26" ht="15.75" customHeight="1" x14ac:dyDescent="0.3">
      <c r="A128" s="107" t="s">
        <v>2692</v>
      </c>
      <c r="B128" s="107" t="s">
        <v>2940</v>
      </c>
      <c r="C128" s="107" t="s">
        <v>2941</v>
      </c>
      <c r="D128" s="108" t="s">
        <v>13</v>
      </c>
      <c r="E128" s="109">
        <v>18.899999999999999</v>
      </c>
      <c r="F128" s="109">
        <v>18.440000000000001</v>
      </c>
      <c r="G128" s="110">
        <f t="shared" si="14"/>
        <v>2.4338624338624215E-2</v>
      </c>
      <c r="H128" s="110"/>
      <c r="I128" s="110">
        <v>0</v>
      </c>
      <c r="J128" s="109">
        <f t="shared" si="15"/>
        <v>18.899999999999999</v>
      </c>
      <c r="K128" s="110">
        <f t="shared" si="16"/>
        <v>2.4338624338624215E-2</v>
      </c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spans="1:26" ht="15.75" customHeight="1" x14ac:dyDescent="0.3">
      <c r="A129" s="107" t="s">
        <v>2692</v>
      </c>
      <c r="B129" s="107" t="s">
        <v>2942</v>
      </c>
      <c r="C129" s="107" t="s">
        <v>2943</v>
      </c>
      <c r="D129" s="108" t="s">
        <v>13</v>
      </c>
      <c r="E129" s="109">
        <v>25</v>
      </c>
      <c r="F129" s="109">
        <v>24.39</v>
      </c>
      <c r="G129" s="110">
        <f t="shared" si="14"/>
        <v>2.4399999999999977E-2</v>
      </c>
      <c r="H129" s="110"/>
      <c r="I129" s="110">
        <v>0</v>
      </c>
      <c r="J129" s="109">
        <f t="shared" si="15"/>
        <v>25</v>
      </c>
      <c r="K129" s="110">
        <f t="shared" si="16"/>
        <v>2.4399999999999977E-2</v>
      </c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spans="1:26" ht="15.75" customHeight="1" x14ac:dyDescent="0.3">
      <c r="A130" s="107" t="s">
        <v>2692</v>
      </c>
      <c r="B130" s="107" t="s">
        <v>2944</v>
      </c>
      <c r="C130" s="107" t="s">
        <v>2945</v>
      </c>
      <c r="D130" s="108" t="s">
        <v>13</v>
      </c>
      <c r="E130" s="109">
        <v>36</v>
      </c>
      <c r="F130" s="109">
        <v>35.119999999999997</v>
      </c>
      <c r="G130" s="110">
        <f t="shared" si="14"/>
        <v>2.4444444444444491E-2</v>
      </c>
      <c r="H130" s="110"/>
      <c r="I130" s="110">
        <v>0</v>
      </c>
      <c r="J130" s="109">
        <f t="shared" si="15"/>
        <v>36</v>
      </c>
      <c r="K130" s="110">
        <f t="shared" si="16"/>
        <v>2.4444444444444491E-2</v>
      </c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spans="1:26" ht="15.75" customHeight="1" x14ac:dyDescent="0.3">
      <c r="A131" s="107" t="s">
        <v>2692</v>
      </c>
      <c r="B131" s="107" t="s">
        <v>2946</v>
      </c>
      <c r="C131" s="107" t="s">
        <v>2947</v>
      </c>
      <c r="D131" s="108" t="s">
        <v>13</v>
      </c>
      <c r="E131" s="109">
        <v>24</v>
      </c>
      <c r="F131" s="109">
        <v>23.41</v>
      </c>
      <c r="G131" s="110">
        <f t="shared" si="14"/>
        <v>2.458333333333329E-2</v>
      </c>
      <c r="H131" s="110"/>
      <c r="I131" s="110">
        <v>0</v>
      </c>
      <c r="J131" s="109">
        <f t="shared" si="15"/>
        <v>24</v>
      </c>
      <c r="K131" s="110">
        <f t="shared" si="16"/>
        <v>2.458333333333329E-2</v>
      </c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spans="1:26" ht="15.75" customHeight="1" x14ac:dyDescent="0.3">
      <c r="A132" s="107" t="s">
        <v>2692</v>
      </c>
      <c r="B132" s="107" t="s">
        <v>2948</v>
      </c>
      <c r="C132" s="107" t="s">
        <v>2949</v>
      </c>
      <c r="D132" s="108" t="s">
        <v>13</v>
      </c>
      <c r="E132" s="109">
        <v>91</v>
      </c>
      <c r="F132" s="109">
        <v>88.78</v>
      </c>
      <c r="G132" s="110">
        <f t="shared" si="14"/>
        <v>2.4395604395604398E-2</v>
      </c>
      <c r="H132" s="110"/>
      <c r="I132" s="110">
        <v>0</v>
      </c>
      <c r="J132" s="109">
        <f t="shared" si="15"/>
        <v>91</v>
      </c>
      <c r="K132" s="110">
        <f t="shared" si="16"/>
        <v>2.4395604395604398E-2</v>
      </c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spans="1:26" ht="15.75" customHeight="1" x14ac:dyDescent="0.3">
      <c r="A133" s="107" t="s">
        <v>2692</v>
      </c>
      <c r="B133" s="107" t="s">
        <v>2950</v>
      </c>
      <c r="C133" s="107" t="s">
        <v>2951</v>
      </c>
      <c r="D133" s="108" t="s">
        <v>13</v>
      </c>
      <c r="E133" s="109">
        <v>91</v>
      </c>
      <c r="F133" s="109">
        <v>88.78</v>
      </c>
      <c r="G133" s="110">
        <f t="shared" si="14"/>
        <v>2.4395604395604398E-2</v>
      </c>
      <c r="H133" s="110"/>
      <c r="I133" s="110">
        <v>0</v>
      </c>
      <c r="J133" s="109">
        <f t="shared" si="15"/>
        <v>91</v>
      </c>
      <c r="K133" s="110">
        <f t="shared" si="16"/>
        <v>2.4395604395604398E-2</v>
      </c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spans="1:26" ht="15.75" customHeight="1" x14ac:dyDescent="0.3">
      <c r="A134" s="107" t="s">
        <v>2692</v>
      </c>
      <c r="B134" s="107" t="s">
        <v>2952</v>
      </c>
      <c r="C134" s="107" t="s">
        <v>2953</v>
      </c>
      <c r="D134" s="108" t="s">
        <v>13</v>
      </c>
      <c r="E134" s="109">
        <v>91</v>
      </c>
      <c r="F134" s="109">
        <v>88.78</v>
      </c>
      <c r="G134" s="110">
        <f t="shared" si="14"/>
        <v>2.4395604395604398E-2</v>
      </c>
      <c r="H134" s="110"/>
      <c r="I134" s="110">
        <v>0</v>
      </c>
      <c r="J134" s="109">
        <f t="shared" si="15"/>
        <v>91</v>
      </c>
      <c r="K134" s="110">
        <f t="shared" si="16"/>
        <v>2.4395604395604398E-2</v>
      </c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spans="1:26" ht="15.75" customHeight="1" x14ac:dyDescent="0.3">
      <c r="A135" s="107" t="s">
        <v>2692</v>
      </c>
      <c r="B135" s="107" t="s">
        <v>2954</v>
      </c>
      <c r="C135" s="107" t="s">
        <v>2955</v>
      </c>
      <c r="D135" s="108" t="s">
        <v>13</v>
      </c>
      <c r="E135" s="109">
        <v>865</v>
      </c>
      <c r="F135" s="109">
        <v>685.67</v>
      </c>
      <c r="G135" s="110">
        <f t="shared" si="14"/>
        <v>0.20731791907514452</v>
      </c>
      <c r="H135" s="110"/>
      <c r="I135" s="110">
        <v>0</v>
      </c>
      <c r="J135" s="109">
        <f t="shared" si="15"/>
        <v>865</v>
      </c>
      <c r="K135" s="110">
        <f t="shared" si="16"/>
        <v>0.20731791907514452</v>
      </c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spans="1:26" ht="15.75" customHeight="1" x14ac:dyDescent="0.3">
      <c r="A136" s="107" t="s">
        <v>2692</v>
      </c>
      <c r="B136" s="107" t="s">
        <v>2956</v>
      </c>
      <c r="C136" s="107" t="s">
        <v>2957</v>
      </c>
      <c r="D136" s="108" t="s">
        <v>13</v>
      </c>
      <c r="E136" s="109">
        <v>315.99</v>
      </c>
      <c r="F136" s="109">
        <v>307.32</v>
      </c>
      <c r="G136" s="110">
        <f t="shared" si="14"/>
        <v>2.7437577138517133E-2</v>
      </c>
      <c r="H136" s="110"/>
      <c r="I136" s="110">
        <v>0</v>
      </c>
      <c r="J136" s="109">
        <f t="shared" si="15"/>
        <v>315.99</v>
      </c>
      <c r="K136" s="110">
        <f t="shared" si="16"/>
        <v>2.7437577138517133E-2</v>
      </c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spans="1:26" ht="15.75" customHeight="1" x14ac:dyDescent="0.3">
      <c r="A137" s="107" t="s">
        <v>2692</v>
      </c>
      <c r="B137" s="107" t="s">
        <v>2958</v>
      </c>
      <c r="C137" s="107" t="s">
        <v>2959</v>
      </c>
      <c r="D137" s="108" t="s">
        <v>13</v>
      </c>
      <c r="E137" s="109">
        <v>419</v>
      </c>
      <c r="F137" s="109">
        <v>408.78</v>
      </c>
      <c r="G137" s="110">
        <f t="shared" si="14"/>
        <v>2.4391408114558533E-2</v>
      </c>
      <c r="H137" s="110"/>
      <c r="I137" s="110">
        <v>0</v>
      </c>
      <c r="J137" s="109">
        <f t="shared" si="15"/>
        <v>419</v>
      </c>
      <c r="K137" s="110">
        <f t="shared" si="16"/>
        <v>2.4391408114558533E-2</v>
      </c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spans="1:26" ht="15.75" customHeight="1" x14ac:dyDescent="0.3">
      <c r="A138" s="107" t="s">
        <v>2692</v>
      </c>
      <c r="B138" s="107" t="s">
        <v>2960</v>
      </c>
      <c r="C138" s="107" t="s">
        <v>2961</v>
      </c>
      <c r="D138" s="108" t="s">
        <v>13</v>
      </c>
      <c r="E138" s="109">
        <v>39</v>
      </c>
      <c r="F138" s="109">
        <v>38.049999999999997</v>
      </c>
      <c r="G138" s="110">
        <f t="shared" si="14"/>
        <v>2.4358974358974383E-2</v>
      </c>
      <c r="H138" s="110"/>
      <c r="I138" s="110">
        <v>0</v>
      </c>
      <c r="J138" s="109">
        <f t="shared" si="15"/>
        <v>39</v>
      </c>
      <c r="K138" s="110">
        <f t="shared" si="16"/>
        <v>2.4358974358974383E-2</v>
      </c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spans="1:26" ht="15.75" customHeight="1" x14ac:dyDescent="0.3">
      <c r="A139" s="107" t="s">
        <v>2692</v>
      </c>
      <c r="B139" s="107" t="s">
        <v>2962</v>
      </c>
      <c r="C139" s="107" t="s">
        <v>2963</v>
      </c>
      <c r="D139" s="108" t="s">
        <v>13</v>
      </c>
      <c r="E139" s="109">
        <v>8</v>
      </c>
      <c r="F139" s="109">
        <v>7.8</v>
      </c>
      <c r="G139" s="110">
        <f t="shared" si="14"/>
        <v>2.5000000000000022E-2</v>
      </c>
      <c r="H139" s="110"/>
      <c r="I139" s="110">
        <v>0</v>
      </c>
      <c r="J139" s="109">
        <f t="shared" si="15"/>
        <v>8</v>
      </c>
      <c r="K139" s="110">
        <f t="shared" si="16"/>
        <v>2.5000000000000022E-2</v>
      </c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spans="1:26" ht="15.75" customHeight="1" x14ac:dyDescent="0.3">
      <c r="A140" s="107" t="s">
        <v>2692</v>
      </c>
      <c r="B140" s="107" t="s">
        <v>2964</v>
      </c>
      <c r="C140" s="107" t="s">
        <v>2965</v>
      </c>
      <c r="D140" s="108" t="s">
        <v>13</v>
      </c>
      <c r="E140" s="109">
        <v>17</v>
      </c>
      <c r="F140" s="109">
        <v>16.59</v>
      </c>
      <c r="G140" s="110">
        <f t="shared" si="14"/>
        <v>2.4117647058823577E-2</v>
      </c>
      <c r="H140" s="110"/>
      <c r="I140" s="110">
        <v>0</v>
      </c>
      <c r="J140" s="109">
        <f t="shared" si="15"/>
        <v>17</v>
      </c>
      <c r="K140" s="110">
        <f t="shared" si="16"/>
        <v>2.4117647058823577E-2</v>
      </c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spans="1:26" ht="15.75" customHeight="1" x14ac:dyDescent="0.3">
      <c r="A141" s="107" t="s">
        <v>2692</v>
      </c>
      <c r="B141" s="107" t="s">
        <v>2966</v>
      </c>
      <c r="C141" s="107" t="s">
        <v>2967</v>
      </c>
      <c r="D141" s="108" t="s">
        <v>13</v>
      </c>
      <c r="E141" s="109">
        <v>57</v>
      </c>
      <c r="F141" s="109">
        <v>55.61</v>
      </c>
      <c r="G141" s="110">
        <f t="shared" si="14"/>
        <v>2.4385964912280733E-2</v>
      </c>
      <c r="H141" s="110"/>
      <c r="I141" s="110">
        <v>0</v>
      </c>
      <c r="J141" s="109">
        <f t="shared" si="15"/>
        <v>57</v>
      </c>
      <c r="K141" s="110">
        <f t="shared" si="16"/>
        <v>2.4385964912280733E-2</v>
      </c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spans="1:26" ht="15.75" customHeight="1" x14ac:dyDescent="0.3">
      <c r="A142" s="107" t="s">
        <v>2692</v>
      </c>
      <c r="B142" s="107" t="s">
        <v>2968</v>
      </c>
      <c r="C142" s="107" t="s">
        <v>2969</v>
      </c>
      <c r="D142" s="108" t="s">
        <v>13</v>
      </c>
      <c r="E142" s="109">
        <v>60</v>
      </c>
      <c r="F142" s="109">
        <v>58.54</v>
      </c>
      <c r="G142" s="110">
        <f t="shared" si="14"/>
        <v>2.4333333333333318E-2</v>
      </c>
      <c r="H142" s="110"/>
      <c r="I142" s="110">
        <v>0</v>
      </c>
      <c r="J142" s="109">
        <f t="shared" si="15"/>
        <v>60</v>
      </c>
      <c r="K142" s="110">
        <f t="shared" si="16"/>
        <v>2.4333333333333318E-2</v>
      </c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spans="1:26" ht="15.75" customHeight="1" x14ac:dyDescent="0.3">
      <c r="A143" s="107" t="s">
        <v>2692</v>
      </c>
      <c r="B143" s="107" t="s">
        <v>2970</v>
      </c>
      <c r="C143" s="107" t="s">
        <v>2971</v>
      </c>
      <c r="D143" s="108" t="s">
        <v>13</v>
      </c>
      <c r="E143" s="109">
        <v>60</v>
      </c>
      <c r="F143" s="109">
        <v>58.54</v>
      </c>
      <c r="G143" s="110">
        <f t="shared" si="14"/>
        <v>2.4333333333333318E-2</v>
      </c>
      <c r="H143" s="110"/>
      <c r="I143" s="110">
        <v>0</v>
      </c>
      <c r="J143" s="109">
        <f t="shared" si="15"/>
        <v>60</v>
      </c>
      <c r="K143" s="110">
        <f t="shared" si="16"/>
        <v>2.4333333333333318E-2</v>
      </c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spans="1:26" ht="15.75" customHeight="1" x14ac:dyDescent="0.3">
      <c r="A144" s="107" t="s">
        <v>2692</v>
      </c>
      <c r="B144" s="107" t="s">
        <v>2972</v>
      </c>
      <c r="C144" s="107" t="s">
        <v>2973</v>
      </c>
      <c r="D144" s="108" t="s">
        <v>13</v>
      </c>
      <c r="E144" s="109">
        <v>45</v>
      </c>
      <c r="F144" s="109">
        <v>43.9</v>
      </c>
      <c r="G144" s="110">
        <f t="shared" si="14"/>
        <v>2.4444444444444491E-2</v>
      </c>
      <c r="H144" s="110"/>
      <c r="I144" s="110">
        <v>0</v>
      </c>
      <c r="J144" s="109">
        <f t="shared" si="15"/>
        <v>45</v>
      </c>
      <c r="K144" s="110">
        <f t="shared" si="16"/>
        <v>2.4444444444444491E-2</v>
      </c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spans="1:26" ht="15.75" customHeight="1" x14ac:dyDescent="0.3">
      <c r="A145" s="107" t="s">
        <v>2692</v>
      </c>
      <c r="B145" s="107" t="s">
        <v>2974</v>
      </c>
      <c r="C145" s="107" t="s">
        <v>2975</v>
      </c>
      <c r="D145" s="108" t="s">
        <v>13</v>
      </c>
      <c r="E145" s="109">
        <v>142</v>
      </c>
      <c r="F145" s="109">
        <v>138.54</v>
      </c>
      <c r="G145" s="110">
        <f t="shared" si="14"/>
        <v>2.4366197183098626E-2</v>
      </c>
      <c r="H145" s="110"/>
      <c r="I145" s="110">
        <v>0</v>
      </c>
      <c r="J145" s="109">
        <f t="shared" si="15"/>
        <v>142</v>
      </c>
      <c r="K145" s="110">
        <f t="shared" si="16"/>
        <v>2.4366197183098626E-2</v>
      </c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spans="1:26" ht="15.75" customHeight="1" x14ac:dyDescent="0.3">
      <c r="A146" s="107" t="s">
        <v>2692</v>
      </c>
      <c r="B146" s="107" t="s">
        <v>2976</v>
      </c>
      <c r="C146" s="107" t="s">
        <v>2977</v>
      </c>
      <c r="D146" s="108" t="s">
        <v>13</v>
      </c>
      <c r="E146" s="109">
        <v>142</v>
      </c>
      <c r="F146" s="109">
        <v>138.54</v>
      </c>
      <c r="G146" s="110">
        <f t="shared" si="14"/>
        <v>2.4366197183098626E-2</v>
      </c>
      <c r="H146" s="110"/>
      <c r="I146" s="110">
        <v>0</v>
      </c>
      <c r="J146" s="109">
        <f t="shared" si="15"/>
        <v>142</v>
      </c>
      <c r="K146" s="110">
        <f t="shared" si="16"/>
        <v>2.4366197183098626E-2</v>
      </c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spans="1:26" ht="15.75" customHeight="1" x14ac:dyDescent="0.3">
      <c r="A147" s="107" t="s">
        <v>2692</v>
      </c>
      <c r="B147" s="107" t="s">
        <v>2978</v>
      </c>
      <c r="C147" s="107" t="s">
        <v>2979</v>
      </c>
      <c r="D147" s="108" t="s">
        <v>13</v>
      </c>
      <c r="E147" s="109">
        <v>40</v>
      </c>
      <c r="F147" s="109">
        <v>39.020000000000003</v>
      </c>
      <c r="G147" s="110">
        <f t="shared" si="14"/>
        <v>2.4499999999999966E-2</v>
      </c>
      <c r="H147" s="110"/>
      <c r="I147" s="110">
        <v>0</v>
      </c>
      <c r="J147" s="109">
        <f t="shared" si="15"/>
        <v>40</v>
      </c>
      <c r="K147" s="110">
        <f t="shared" si="16"/>
        <v>2.4499999999999966E-2</v>
      </c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spans="1:26" ht="15.75" customHeight="1" x14ac:dyDescent="0.3">
      <c r="A148" s="107" t="s">
        <v>2692</v>
      </c>
      <c r="B148" s="107" t="s">
        <v>2980</v>
      </c>
      <c r="C148" s="107" t="s">
        <v>2981</v>
      </c>
      <c r="D148" s="108" t="s">
        <v>13</v>
      </c>
      <c r="E148" s="109">
        <v>520</v>
      </c>
      <c r="F148" s="109">
        <v>507.32</v>
      </c>
      <c r="G148" s="110">
        <f t="shared" si="14"/>
        <v>2.4384615384615449E-2</v>
      </c>
      <c r="H148" s="110"/>
      <c r="I148" s="110">
        <v>0</v>
      </c>
      <c r="J148" s="109">
        <f t="shared" si="15"/>
        <v>520</v>
      </c>
      <c r="K148" s="110">
        <f t="shared" si="16"/>
        <v>2.4384615384615449E-2</v>
      </c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spans="1:26" ht="15.75" customHeight="1" x14ac:dyDescent="0.3">
      <c r="A149" s="107" t="s">
        <v>2692</v>
      </c>
      <c r="B149" s="107" t="s">
        <v>2982</v>
      </c>
      <c r="C149" s="107" t="s">
        <v>2983</v>
      </c>
      <c r="D149" s="108" t="s">
        <v>13</v>
      </c>
      <c r="E149" s="109">
        <v>21</v>
      </c>
      <c r="F149" s="109">
        <v>20.49</v>
      </c>
      <c r="G149" s="110">
        <f t="shared" si="14"/>
        <v>2.4285714285714355E-2</v>
      </c>
      <c r="H149" s="110"/>
      <c r="I149" s="110">
        <v>0</v>
      </c>
      <c r="J149" s="109">
        <f t="shared" si="15"/>
        <v>21</v>
      </c>
      <c r="K149" s="110">
        <f t="shared" si="16"/>
        <v>2.4285714285714355E-2</v>
      </c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spans="1:26" ht="15.75" customHeight="1" x14ac:dyDescent="0.3">
      <c r="A150" s="107" t="s">
        <v>2692</v>
      </c>
      <c r="B150" s="107" t="s">
        <v>2984</v>
      </c>
      <c r="C150" s="107" t="s">
        <v>2985</v>
      </c>
      <c r="D150" s="108" t="s">
        <v>13</v>
      </c>
      <c r="E150" s="109">
        <v>160</v>
      </c>
      <c r="F150" s="109">
        <v>156.1</v>
      </c>
      <c r="G150" s="110">
        <f t="shared" si="14"/>
        <v>2.4375000000000036E-2</v>
      </c>
      <c r="H150" s="110"/>
      <c r="I150" s="110">
        <v>0</v>
      </c>
      <c r="J150" s="109">
        <f t="shared" si="15"/>
        <v>160</v>
      </c>
      <c r="K150" s="110">
        <f t="shared" si="16"/>
        <v>2.4375000000000036E-2</v>
      </c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spans="1:26" ht="15.75" customHeight="1" x14ac:dyDescent="0.3">
      <c r="A151" s="107" t="s">
        <v>2692</v>
      </c>
      <c r="B151" s="107" t="s">
        <v>2986</v>
      </c>
      <c r="C151" s="107" t="s">
        <v>2987</v>
      </c>
      <c r="D151" s="108" t="s">
        <v>13</v>
      </c>
      <c r="E151" s="109">
        <v>96</v>
      </c>
      <c r="F151" s="109">
        <v>93.66</v>
      </c>
      <c r="G151" s="110">
        <f t="shared" si="14"/>
        <v>2.4375000000000036E-2</v>
      </c>
      <c r="H151" s="110"/>
      <c r="I151" s="110">
        <v>0</v>
      </c>
      <c r="J151" s="109">
        <f t="shared" si="15"/>
        <v>96</v>
      </c>
      <c r="K151" s="110">
        <f t="shared" si="16"/>
        <v>2.4375000000000036E-2</v>
      </c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spans="1:26" ht="15.75" customHeight="1" x14ac:dyDescent="0.3">
      <c r="A152" s="107" t="s">
        <v>2692</v>
      </c>
      <c r="B152" s="107" t="s">
        <v>2988</v>
      </c>
      <c r="C152" s="107" t="s">
        <v>2989</v>
      </c>
      <c r="D152" s="108" t="s">
        <v>13</v>
      </c>
      <c r="E152" s="109">
        <v>50</v>
      </c>
      <c r="F152" s="109">
        <v>48.78</v>
      </c>
      <c r="G152" s="110">
        <f t="shared" si="14"/>
        <v>2.4399999999999977E-2</v>
      </c>
      <c r="H152" s="110"/>
      <c r="I152" s="110">
        <v>0</v>
      </c>
      <c r="J152" s="109">
        <f t="shared" si="15"/>
        <v>50</v>
      </c>
      <c r="K152" s="110">
        <f t="shared" si="16"/>
        <v>2.4399999999999977E-2</v>
      </c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spans="1:26" ht="15.75" customHeight="1" x14ac:dyDescent="0.3">
      <c r="A153" s="107" t="s">
        <v>2692</v>
      </c>
      <c r="B153" s="107" t="s">
        <v>2990</v>
      </c>
      <c r="C153" s="107" t="s">
        <v>2991</v>
      </c>
      <c r="D153" s="108" t="s">
        <v>13</v>
      </c>
      <c r="E153" s="109">
        <v>50</v>
      </c>
      <c r="F153" s="109">
        <v>48.78</v>
      </c>
      <c r="G153" s="110">
        <f t="shared" si="14"/>
        <v>2.4399999999999977E-2</v>
      </c>
      <c r="H153" s="110"/>
      <c r="I153" s="110">
        <v>0</v>
      </c>
      <c r="J153" s="109">
        <f t="shared" si="15"/>
        <v>50</v>
      </c>
      <c r="K153" s="110">
        <f t="shared" si="16"/>
        <v>2.4399999999999977E-2</v>
      </c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spans="1:26" ht="15.75" customHeight="1" x14ac:dyDescent="0.3">
      <c r="A154" s="107" t="s">
        <v>2692</v>
      </c>
      <c r="B154" s="107" t="s">
        <v>2992</v>
      </c>
      <c r="C154" s="107" t="s">
        <v>2993</v>
      </c>
      <c r="D154" s="108" t="s">
        <v>13</v>
      </c>
      <c r="E154" s="109">
        <v>19</v>
      </c>
      <c r="F154" s="109">
        <v>18.54</v>
      </c>
      <c r="G154" s="110">
        <f t="shared" si="14"/>
        <v>2.4210526315789571E-2</v>
      </c>
      <c r="H154" s="110"/>
      <c r="I154" s="110">
        <v>0</v>
      </c>
      <c r="J154" s="109">
        <f t="shared" si="15"/>
        <v>19</v>
      </c>
      <c r="K154" s="110">
        <f t="shared" si="16"/>
        <v>2.4210526315789571E-2</v>
      </c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spans="1:26" ht="15.75" customHeight="1" x14ac:dyDescent="0.3">
      <c r="A155" s="107" t="s">
        <v>2692</v>
      </c>
      <c r="B155" s="107" t="s">
        <v>2994</v>
      </c>
      <c r="C155" s="107" t="s">
        <v>2995</v>
      </c>
      <c r="D155" s="108" t="s">
        <v>13</v>
      </c>
      <c r="E155" s="109">
        <v>80</v>
      </c>
      <c r="F155" s="109">
        <v>78.05</v>
      </c>
      <c r="G155" s="110">
        <f t="shared" si="14"/>
        <v>2.4375000000000036E-2</v>
      </c>
      <c r="H155" s="110"/>
      <c r="I155" s="110">
        <v>0</v>
      </c>
      <c r="J155" s="109">
        <f t="shared" si="15"/>
        <v>80</v>
      </c>
      <c r="K155" s="110">
        <f t="shared" si="16"/>
        <v>2.4375000000000036E-2</v>
      </c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spans="1:26" ht="15.75" customHeight="1" x14ac:dyDescent="0.3">
      <c r="A156" s="107" t="s">
        <v>2692</v>
      </c>
      <c r="B156" s="107" t="s">
        <v>2996</v>
      </c>
      <c r="C156" s="107" t="s">
        <v>2997</v>
      </c>
      <c r="D156" s="108" t="s">
        <v>13</v>
      </c>
      <c r="E156" s="109">
        <v>103</v>
      </c>
      <c r="F156" s="109">
        <v>100.49</v>
      </c>
      <c r="G156" s="110">
        <f t="shared" si="14"/>
        <v>2.4368932038835056E-2</v>
      </c>
      <c r="H156" s="110"/>
      <c r="I156" s="110">
        <v>0</v>
      </c>
      <c r="J156" s="109">
        <f t="shared" si="15"/>
        <v>103</v>
      </c>
      <c r="K156" s="110">
        <f t="shared" si="16"/>
        <v>2.4368932038835056E-2</v>
      </c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spans="1:26" ht="15.75" customHeight="1" x14ac:dyDescent="0.3">
      <c r="A157" s="107" t="s">
        <v>2692</v>
      </c>
      <c r="B157" s="107" t="s">
        <v>2998</v>
      </c>
      <c r="C157" s="107" t="s">
        <v>2636</v>
      </c>
      <c r="D157" s="108" t="s">
        <v>13</v>
      </c>
      <c r="E157" s="109">
        <v>87</v>
      </c>
      <c r="F157" s="109">
        <v>84.88</v>
      </c>
      <c r="G157" s="110">
        <f t="shared" si="14"/>
        <v>2.4367816091954042E-2</v>
      </c>
      <c r="H157" s="110"/>
      <c r="I157" s="110">
        <v>0</v>
      </c>
      <c r="J157" s="109">
        <f t="shared" si="15"/>
        <v>87</v>
      </c>
      <c r="K157" s="110">
        <f t="shared" si="16"/>
        <v>2.4367816091954042E-2</v>
      </c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spans="1:26" ht="15.75" customHeight="1" x14ac:dyDescent="0.3">
      <c r="A158" s="107" t="s">
        <v>2692</v>
      </c>
      <c r="B158" s="107" t="s">
        <v>2999</v>
      </c>
      <c r="C158" s="107" t="s">
        <v>3000</v>
      </c>
      <c r="D158" s="108" t="s">
        <v>13</v>
      </c>
      <c r="E158" s="109">
        <v>203</v>
      </c>
      <c r="F158" s="109">
        <v>198.05</v>
      </c>
      <c r="G158" s="110">
        <f t="shared" si="14"/>
        <v>2.4384236453201868E-2</v>
      </c>
      <c r="H158" s="110"/>
      <c r="I158" s="110">
        <v>0</v>
      </c>
      <c r="J158" s="109">
        <f t="shared" si="15"/>
        <v>203</v>
      </c>
      <c r="K158" s="110">
        <f t="shared" si="16"/>
        <v>2.4384236453201868E-2</v>
      </c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spans="1:26" ht="15.75" customHeight="1" x14ac:dyDescent="0.3">
      <c r="A159" s="107" t="s">
        <v>2692</v>
      </c>
      <c r="B159" s="107" t="s">
        <v>3001</v>
      </c>
      <c r="C159" s="107" t="s">
        <v>3002</v>
      </c>
      <c r="D159" s="108" t="s">
        <v>13</v>
      </c>
      <c r="E159" s="109">
        <v>23</v>
      </c>
      <c r="F159" s="109">
        <v>22.44</v>
      </c>
      <c r="G159" s="110">
        <f t="shared" si="14"/>
        <v>2.4347826086956514E-2</v>
      </c>
      <c r="H159" s="110"/>
      <c r="I159" s="110">
        <v>0</v>
      </c>
      <c r="J159" s="109">
        <f t="shared" si="15"/>
        <v>23</v>
      </c>
      <c r="K159" s="110">
        <f t="shared" si="16"/>
        <v>2.4347826086956514E-2</v>
      </c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spans="1:26" ht="15.75" customHeight="1" x14ac:dyDescent="0.3">
      <c r="A160" s="107" t="s">
        <v>2692</v>
      </c>
      <c r="B160" s="107" t="s">
        <v>3003</v>
      </c>
      <c r="C160" s="107" t="s">
        <v>3004</v>
      </c>
      <c r="D160" s="108" t="s">
        <v>13</v>
      </c>
      <c r="E160" s="109">
        <v>109</v>
      </c>
      <c r="F160" s="109">
        <v>106.34</v>
      </c>
      <c r="G160" s="110">
        <f t="shared" si="14"/>
        <v>2.4403669724770594E-2</v>
      </c>
      <c r="H160" s="110"/>
      <c r="I160" s="110">
        <v>0</v>
      </c>
      <c r="J160" s="109">
        <f t="shared" si="15"/>
        <v>109</v>
      </c>
      <c r="K160" s="110">
        <f t="shared" si="16"/>
        <v>2.4403669724770594E-2</v>
      </c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spans="1:26" ht="15.75" customHeight="1" x14ac:dyDescent="0.3">
      <c r="A161" s="107" t="s">
        <v>2692</v>
      </c>
      <c r="B161" s="107" t="s">
        <v>3005</v>
      </c>
      <c r="C161" s="107" t="s">
        <v>3006</v>
      </c>
      <c r="D161" s="108" t="s">
        <v>13</v>
      </c>
      <c r="E161" s="109">
        <v>76</v>
      </c>
      <c r="F161" s="109">
        <v>74.150000000000006</v>
      </c>
      <c r="G161" s="110">
        <f t="shared" si="14"/>
        <v>2.4342105263157832E-2</v>
      </c>
      <c r="H161" s="110"/>
      <c r="I161" s="110">
        <v>0</v>
      </c>
      <c r="J161" s="109">
        <f t="shared" si="15"/>
        <v>76</v>
      </c>
      <c r="K161" s="110">
        <f t="shared" si="16"/>
        <v>2.4342105263157832E-2</v>
      </c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spans="1:26" ht="15.75" customHeight="1" x14ac:dyDescent="0.3">
      <c r="A162" s="107" t="s">
        <v>2692</v>
      </c>
      <c r="B162" s="107" t="s">
        <v>3007</v>
      </c>
      <c r="C162" s="107" t="s">
        <v>3008</v>
      </c>
      <c r="D162" s="108" t="s">
        <v>13</v>
      </c>
      <c r="E162" s="109">
        <v>177</v>
      </c>
      <c r="F162" s="109">
        <v>172.68</v>
      </c>
      <c r="G162" s="110">
        <f t="shared" si="14"/>
        <v>2.4406779661016897E-2</v>
      </c>
      <c r="H162" s="110"/>
      <c r="I162" s="110">
        <v>0</v>
      </c>
      <c r="J162" s="109">
        <f t="shared" si="15"/>
        <v>177</v>
      </c>
      <c r="K162" s="110">
        <f t="shared" si="16"/>
        <v>2.4406779661016897E-2</v>
      </c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spans="1:26" ht="15.75" customHeight="1" x14ac:dyDescent="0.3">
      <c r="A163" s="107" t="s">
        <v>2692</v>
      </c>
      <c r="B163" s="107" t="s">
        <v>3009</v>
      </c>
      <c r="C163" s="107" t="s">
        <v>3010</v>
      </c>
      <c r="D163" s="108" t="s">
        <v>13</v>
      </c>
      <c r="E163" s="109">
        <v>177</v>
      </c>
      <c r="F163" s="109">
        <v>172.68</v>
      </c>
      <c r="G163" s="110">
        <f t="shared" si="14"/>
        <v>2.4406779661016897E-2</v>
      </c>
      <c r="H163" s="110"/>
      <c r="I163" s="110">
        <v>0</v>
      </c>
      <c r="J163" s="109">
        <f t="shared" si="15"/>
        <v>177</v>
      </c>
      <c r="K163" s="110">
        <f t="shared" si="16"/>
        <v>2.4406779661016897E-2</v>
      </c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spans="1:26" ht="15.75" customHeight="1" x14ac:dyDescent="0.3">
      <c r="A164" s="107" t="s">
        <v>2692</v>
      </c>
      <c r="B164" s="107" t="s">
        <v>3011</v>
      </c>
      <c r="C164" s="107" t="s">
        <v>3012</v>
      </c>
      <c r="D164" s="108" t="s">
        <v>13</v>
      </c>
      <c r="E164" s="109">
        <v>98</v>
      </c>
      <c r="F164" s="109">
        <v>95.61</v>
      </c>
      <c r="G164" s="110">
        <f t="shared" si="14"/>
        <v>2.4387755102040831E-2</v>
      </c>
      <c r="H164" s="110"/>
      <c r="I164" s="110">
        <v>0</v>
      </c>
      <c r="J164" s="109">
        <f t="shared" si="15"/>
        <v>98</v>
      </c>
      <c r="K164" s="110">
        <f t="shared" si="16"/>
        <v>2.4387755102040831E-2</v>
      </c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spans="1:26" ht="15.75" customHeight="1" x14ac:dyDescent="0.3">
      <c r="A165" s="107" t="s">
        <v>2692</v>
      </c>
      <c r="B165" s="107" t="s">
        <v>3013</v>
      </c>
      <c r="C165" s="107" t="s">
        <v>3014</v>
      </c>
      <c r="D165" s="108" t="s">
        <v>13</v>
      </c>
      <c r="E165" s="109">
        <v>57</v>
      </c>
      <c r="F165" s="109">
        <v>55.61</v>
      </c>
      <c r="G165" s="110">
        <f t="shared" si="14"/>
        <v>2.4385964912280733E-2</v>
      </c>
      <c r="H165" s="110"/>
      <c r="I165" s="110">
        <v>0</v>
      </c>
      <c r="J165" s="109">
        <f t="shared" si="15"/>
        <v>57</v>
      </c>
      <c r="K165" s="110">
        <f t="shared" si="16"/>
        <v>2.4385964912280733E-2</v>
      </c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spans="1:26" ht="15.75" customHeight="1" x14ac:dyDescent="0.3">
      <c r="A166" s="107" t="s">
        <v>2692</v>
      </c>
      <c r="B166" s="107" t="s">
        <v>3015</v>
      </c>
      <c r="C166" s="107" t="s">
        <v>3016</v>
      </c>
      <c r="D166" s="108" t="s">
        <v>13</v>
      </c>
      <c r="E166" s="109">
        <v>458</v>
      </c>
      <c r="F166" s="109">
        <v>446.83</v>
      </c>
      <c r="G166" s="110">
        <f t="shared" si="14"/>
        <v>2.4388646288209692E-2</v>
      </c>
      <c r="H166" s="110"/>
      <c r="I166" s="110">
        <v>0</v>
      </c>
      <c r="J166" s="109">
        <f t="shared" si="15"/>
        <v>458</v>
      </c>
      <c r="K166" s="110">
        <f t="shared" si="16"/>
        <v>2.4388646288209692E-2</v>
      </c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spans="1:26" ht="15.75" customHeight="1" x14ac:dyDescent="0.3">
      <c r="A167" s="107" t="s">
        <v>2692</v>
      </c>
      <c r="B167" s="107" t="s">
        <v>3017</v>
      </c>
      <c r="C167" s="107" t="s">
        <v>3018</v>
      </c>
      <c r="D167" s="108" t="s">
        <v>13</v>
      </c>
      <c r="E167" s="109">
        <v>199</v>
      </c>
      <c r="F167" s="109">
        <v>194.15</v>
      </c>
      <c r="G167" s="110">
        <f t="shared" si="14"/>
        <v>2.4371859296482334E-2</v>
      </c>
      <c r="H167" s="110"/>
      <c r="I167" s="110">
        <v>0</v>
      </c>
      <c r="J167" s="109">
        <f t="shared" si="15"/>
        <v>199</v>
      </c>
      <c r="K167" s="110">
        <f t="shared" si="16"/>
        <v>2.4371859296482334E-2</v>
      </c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spans="1:26" ht="15.75" customHeight="1" x14ac:dyDescent="0.3">
      <c r="A168" s="107" t="s">
        <v>2692</v>
      </c>
      <c r="B168" s="107" t="s">
        <v>3019</v>
      </c>
      <c r="C168" s="107" t="s">
        <v>3020</v>
      </c>
      <c r="D168" s="108" t="s">
        <v>13</v>
      </c>
      <c r="E168" s="109">
        <v>248</v>
      </c>
      <c r="F168" s="109">
        <v>241.95</v>
      </c>
      <c r="G168" s="110">
        <f t="shared" si="14"/>
        <v>2.4395161290322598E-2</v>
      </c>
      <c r="H168" s="110"/>
      <c r="I168" s="110">
        <v>0</v>
      </c>
      <c r="J168" s="109">
        <f t="shared" si="15"/>
        <v>248</v>
      </c>
      <c r="K168" s="110">
        <f t="shared" si="16"/>
        <v>2.4395161290322598E-2</v>
      </c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spans="1:26" ht="15.75" customHeight="1" x14ac:dyDescent="0.3">
      <c r="A169" s="107" t="s">
        <v>2692</v>
      </c>
      <c r="B169" s="107" t="s">
        <v>3021</v>
      </c>
      <c r="C169" s="107" t="s">
        <v>3022</v>
      </c>
      <c r="D169" s="108" t="s">
        <v>13</v>
      </c>
      <c r="E169" s="109">
        <v>105</v>
      </c>
      <c r="F169" s="109">
        <v>102.44</v>
      </c>
      <c r="G169" s="110">
        <f t="shared" si="14"/>
        <v>2.4380952380952392E-2</v>
      </c>
      <c r="H169" s="110"/>
      <c r="I169" s="110">
        <v>0</v>
      </c>
      <c r="J169" s="109">
        <f t="shared" si="15"/>
        <v>105</v>
      </c>
      <c r="K169" s="110">
        <f t="shared" si="16"/>
        <v>2.4380952380952392E-2</v>
      </c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spans="1:26" ht="15.75" customHeight="1" x14ac:dyDescent="0.3">
      <c r="A170" s="107" t="s">
        <v>2692</v>
      </c>
      <c r="B170" s="107" t="s">
        <v>3023</v>
      </c>
      <c r="C170" s="107" t="s">
        <v>3024</v>
      </c>
      <c r="D170" s="108" t="s">
        <v>13</v>
      </c>
      <c r="E170" s="109">
        <v>330</v>
      </c>
      <c r="F170" s="109">
        <v>321.95</v>
      </c>
      <c r="G170" s="110">
        <f t="shared" si="14"/>
        <v>2.4393939393939412E-2</v>
      </c>
      <c r="H170" s="110"/>
      <c r="I170" s="110">
        <v>0</v>
      </c>
      <c r="J170" s="109">
        <f t="shared" si="15"/>
        <v>330</v>
      </c>
      <c r="K170" s="110">
        <f t="shared" si="16"/>
        <v>2.4393939393939412E-2</v>
      </c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spans="1:26" ht="15.75" customHeight="1" x14ac:dyDescent="0.3">
      <c r="A171" s="107" t="s">
        <v>2692</v>
      </c>
      <c r="B171" s="107" t="s">
        <v>3025</v>
      </c>
      <c r="C171" s="107" t="s">
        <v>3026</v>
      </c>
      <c r="D171" s="108" t="s">
        <v>13</v>
      </c>
      <c r="E171" s="109">
        <v>236</v>
      </c>
      <c r="F171" s="109">
        <v>230.24</v>
      </c>
      <c r="G171" s="110">
        <f t="shared" si="14"/>
        <v>2.4406779661016897E-2</v>
      </c>
      <c r="H171" s="110"/>
      <c r="I171" s="110">
        <v>0</v>
      </c>
      <c r="J171" s="109">
        <f t="shared" si="15"/>
        <v>236</v>
      </c>
      <c r="K171" s="110">
        <f t="shared" si="16"/>
        <v>2.4406779661016897E-2</v>
      </c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spans="1:26" ht="15.75" customHeight="1" x14ac:dyDescent="0.3">
      <c r="A172" s="107" t="s">
        <v>2692</v>
      </c>
      <c r="B172" s="107" t="s">
        <v>3027</v>
      </c>
      <c r="C172" s="107" t="s">
        <v>3028</v>
      </c>
      <c r="D172" s="108" t="s">
        <v>13</v>
      </c>
      <c r="E172" s="109">
        <v>289</v>
      </c>
      <c r="F172" s="109">
        <v>281.95</v>
      </c>
      <c r="G172" s="110">
        <f t="shared" si="14"/>
        <v>2.4394463667820054E-2</v>
      </c>
      <c r="H172" s="110"/>
      <c r="I172" s="110">
        <v>0</v>
      </c>
      <c r="J172" s="109">
        <f t="shared" si="15"/>
        <v>289</v>
      </c>
      <c r="K172" s="110">
        <f t="shared" si="16"/>
        <v>2.4394463667820054E-2</v>
      </c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spans="1:26" ht="15.75" customHeight="1" x14ac:dyDescent="0.3">
      <c r="A173" s="107" t="s">
        <v>2692</v>
      </c>
      <c r="B173" s="107" t="s">
        <v>3029</v>
      </c>
      <c r="C173" s="107" t="s">
        <v>3030</v>
      </c>
      <c r="D173" s="108" t="s">
        <v>13</v>
      </c>
      <c r="E173" s="109">
        <v>5580</v>
      </c>
      <c r="F173" s="109">
        <v>2657.14</v>
      </c>
      <c r="G173" s="110">
        <f t="shared" si="14"/>
        <v>0.52381003584229391</v>
      </c>
      <c r="H173" s="110"/>
      <c r="I173" s="110">
        <v>0</v>
      </c>
      <c r="J173" s="109">
        <f t="shared" si="15"/>
        <v>5580</v>
      </c>
      <c r="K173" s="110">
        <f t="shared" si="16"/>
        <v>0.52381003584229391</v>
      </c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spans="1:26" ht="15.75" customHeight="1" x14ac:dyDescent="0.3">
      <c r="A174" s="107" t="s">
        <v>2692</v>
      </c>
      <c r="B174" s="107" t="s">
        <v>3031</v>
      </c>
      <c r="C174" s="107" t="s">
        <v>3032</v>
      </c>
      <c r="D174" s="108" t="s">
        <v>13</v>
      </c>
      <c r="E174" s="109">
        <v>5780</v>
      </c>
      <c r="F174" s="109">
        <v>2657.14</v>
      </c>
      <c r="G174" s="110">
        <f t="shared" si="14"/>
        <v>0.54028719723183394</v>
      </c>
      <c r="H174" s="110"/>
      <c r="I174" s="110">
        <v>0</v>
      </c>
      <c r="J174" s="109">
        <f t="shared" si="15"/>
        <v>5780</v>
      </c>
      <c r="K174" s="110">
        <f t="shared" si="16"/>
        <v>0.54028719723183394</v>
      </c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spans="1:26" ht="15.75" customHeight="1" x14ac:dyDescent="0.3">
      <c r="A175" s="107" t="s">
        <v>2692</v>
      </c>
      <c r="B175" s="107" t="s">
        <v>3033</v>
      </c>
      <c r="C175" s="107" t="s">
        <v>3034</v>
      </c>
      <c r="D175" s="108" t="s">
        <v>13</v>
      </c>
      <c r="E175" s="109">
        <v>97</v>
      </c>
      <c r="F175" s="109">
        <v>94.63</v>
      </c>
      <c r="G175" s="110">
        <f t="shared" si="14"/>
        <v>2.4432989690721718E-2</v>
      </c>
      <c r="H175" s="110"/>
      <c r="I175" s="110">
        <v>0</v>
      </c>
      <c r="J175" s="109">
        <f t="shared" si="15"/>
        <v>97</v>
      </c>
      <c r="K175" s="110">
        <f t="shared" si="16"/>
        <v>2.4432989690721718E-2</v>
      </c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spans="1:26" ht="15.75" customHeight="1" x14ac:dyDescent="0.3">
      <c r="A176" s="107" t="s">
        <v>2692</v>
      </c>
      <c r="B176" s="107" t="s">
        <v>3035</v>
      </c>
      <c r="C176" s="107" t="s">
        <v>3036</v>
      </c>
      <c r="D176" s="108" t="s">
        <v>13</v>
      </c>
      <c r="E176" s="109">
        <v>175</v>
      </c>
      <c r="F176" s="109">
        <v>170.73</v>
      </c>
      <c r="G176" s="110">
        <f t="shared" si="14"/>
        <v>2.4400000000000088E-2</v>
      </c>
      <c r="H176" s="110"/>
      <c r="I176" s="110">
        <v>0</v>
      </c>
      <c r="J176" s="109">
        <f t="shared" si="15"/>
        <v>175</v>
      </c>
      <c r="K176" s="110">
        <f t="shared" si="16"/>
        <v>2.4400000000000088E-2</v>
      </c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spans="1:26" ht="15.75" customHeight="1" x14ac:dyDescent="0.3">
      <c r="A177" s="107" t="s">
        <v>2692</v>
      </c>
      <c r="B177" s="107" t="s">
        <v>3037</v>
      </c>
      <c r="C177" s="111" t="s">
        <v>3038</v>
      </c>
      <c r="D177" s="108" t="s">
        <v>13</v>
      </c>
      <c r="E177" s="109">
        <v>43</v>
      </c>
      <c r="F177" s="109">
        <v>41.95</v>
      </c>
      <c r="G177" s="110">
        <f t="shared" si="14"/>
        <v>2.4418604651162745E-2</v>
      </c>
      <c r="H177" s="110"/>
      <c r="I177" s="110">
        <v>0</v>
      </c>
      <c r="J177" s="109">
        <f t="shared" si="15"/>
        <v>43</v>
      </c>
      <c r="K177" s="110">
        <f t="shared" si="16"/>
        <v>2.4418604651162745E-2</v>
      </c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spans="1:26" ht="15.75" customHeight="1" x14ac:dyDescent="0.3">
      <c r="A178" s="107" t="s">
        <v>2692</v>
      </c>
      <c r="B178" s="107" t="s">
        <v>3039</v>
      </c>
      <c r="C178" s="111" t="s">
        <v>3040</v>
      </c>
      <c r="D178" s="108" t="s">
        <v>13</v>
      </c>
      <c r="E178" s="109">
        <v>629</v>
      </c>
      <c r="F178" s="109">
        <v>613.66</v>
      </c>
      <c r="G178" s="110">
        <f t="shared" si="14"/>
        <v>2.4387917329093844E-2</v>
      </c>
      <c r="H178" s="110"/>
      <c r="I178" s="110">
        <v>0</v>
      </c>
      <c r="J178" s="109">
        <f t="shared" si="15"/>
        <v>629</v>
      </c>
      <c r="K178" s="110">
        <f t="shared" si="16"/>
        <v>2.4387917329093844E-2</v>
      </c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spans="1:26" ht="15.75" customHeight="1" x14ac:dyDescent="0.3">
      <c r="A179" s="107" t="s">
        <v>2692</v>
      </c>
      <c r="B179" s="107" t="s">
        <v>3041</v>
      </c>
      <c r="C179" s="111" t="s">
        <v>3042</v>
      </c>
      <c r="D179" s="108" t="s">
        <v>13</v>
      </c>
      <c r="E179" s="109">
        <v>43</v>
      </c>
      <c r="F179" s="109">
        <v>41.95</v>
      </c>
      <c r="G179" s="110">
        <f t="shared" si="14"/>
        <v>2.4418604651162745E-2</v>
      </c>
      <c r="H179" s="110"/>
      <c r="I179" s="110">
        <v>0</v>
      </c>
      <c r="J179" s="109">
        <f t="shared" si="15"/>
        <v>43</v>
      </c>
      <c r="K179" s="110">
        <f t="shared" si="16"/>
        <v>2.4418604651162745E-2</v>
      </c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spans="1:26" ht="15.75" customHeight="1" x14ac:dyDescent="0.3">
      <c r="A180" s="107" t="s">
        <v>2692</v>
      </c>
      <c r="B180" s="107" t="s">
        <v>3043</v>
      </c>
      <c r="C180" s="107" t="s">
        <v>3044</v>
      </c>
      <c r="D180" s="108" t="s">
        <v>13</v>
      </c>
      <c r="E180" s="109">
        <v>47</v>
      </c>
      <c r="F180" s="109">
        <v>45.85</v>
      </c>
      <c r="G180" s="110">
        <f t="shared" si="14"/>
        <v>2.4468085106382986E-2</v>
      </c>
      <c r="H180" s="110"/>
      <c r="I180" s="110">
        <v>0</v>
      </c>
      <c r="J180" s="109">
        <f t="shared" si="15"/>
        <v>47</v>
      </c>
      <c r="K180" s="110">
        <f t="shared" si="16"/>
        <v>2.4468085106382986E-2</v>
      </c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spans="1:26" ht="15.75" customHeight="1" x14ac:dyDescent="0.3">
      <c r="A181" s="107" t="s">
        <v>2692</v>
      </c>
      <c r="B181" s="107" t="s">
        <v>3045</v>
      </c>
      <c r="C181" s="111" t="s">
        <v>3046</v>
      </c>
      <c r="D181" s="108" t="s">
        <v>13</v>
      </c>
      <c r="E181" s="109">
        <v>47</v>
      </c>
      <c r="F181" s="109">
        <v>45.85</v>
      </c>
      <c r="G181" s="110">
        <f t="shared" si="14"/>
        <v>2.4468085106382986E-2</v>
      </c>
      <c r="H181" s="110"/>
      <c r="I181" s="110">
        <v>0</v>
      </c>
      <c r="J181" s="109">
        <f t="shared" si="15"/>
        <v>47</v>
      </c>
      <c r="K181" s="110">
        <f t="shared" si="16"/>
        <v>2.4468085106382986E-2</v>
      </c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spans="1:26" ht="15.75" customHeight="1" x14ac:dyDescent="0.3">
      <c r="A182" s="107" t="s">
        <v>2692</v>
      </c>
      <c r="B182" s="107" t="s">
        <v>3047</v>
      </c>
      <c r="C182" s="111" t="s">
        <v>3048</v>
      </c>
      <c r="D182" s="108" t="s">
        <v>13</v>
      </c>
      <c r="E182" s="109">
        <v>41</v>
      </c>
      <c r="F182" s="109">
        <v>40</v>
      </c>
      <c r="G182" s="110">
        <f t="shared" si="14"/>
        <v>2.4390243902439046E-2</v>
      </c>
      <c r="H182" s="110"/>
      <c r="I182" s="110">
        <v>0</v>
      </c>
      <c r="J182" s="109">
        <f t="shared" si="15"/>
        <v>41</v>
      </c>
      <c r="K182" s="110">
        <f t="shared" si="16"/>
        <v>2.4390243902439046E-2</v>
      </c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spans="1:26" ht="15.75" customHeight="1" x14ac:dyDescent="0.3">
      <c r="A183" s="107" t="s">
        <v>2692</v>
      </c>
      <c r="B183" s="107" t="s">
        <v>3049</v>
      </c>
      <c r="C183" s="111" t="s">
        <v>3050</v>
      </c>
      <c r="D183" s="108" t="s">
        <v>13</v>
      </c>
      <c r="E183" s="109">
        <v>43</v>
      </c>
      <c r="F183" s="109">
        <v>41.95</v>
      </c>
      <c r="G183" s="110">
        <f t="shared" si="14"/>
        <v>2.4418604651162745E-2</v>
      </c>
      <c r="H183" s="110"/>
      <c r="I183" s="110">
        <v>0</v>
      </c>
      <c r="J183" s="109">
        <f t="shared" si="15"/>
        <v>43</v>
      </c>
      <c r="K183" s="110">
        <f t="shared" si="16"/>
        <v>2.4418604651162745E-2</v>
      </c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spans="1:26" ht="15.75" customHeight="1" x14ac:dyDescent="0.3">
      <c r="A184" s="107" t="s">
        <v>2692</v>
      </c>
      <c r="B184" s="107" t="s">
        <v>3051</v>
      </c>
      <c r="C184" s="111" t="s">
        <v>3052</v>
      </c>
      <c r="D184" s="108" t="s">
        <v>13</v>
      </c>
      <c r="E184" s="109">
        <v>47</v>
      </c>
      <c r="F184" s="109">
        <v>45.85</v>
      </c>
      <c r="G184" s="110">
        <f t="shared" si="14"/>
        <v>2.4468085106382986E-2</v>
      </c>
      <c r="H184" s="110"/>
      <c r="I184" s="110">
        <v>0</v>
      </c>
      <c r="J184" s="109">
        <f t="shared" si="15"/>
        <v>47</v>
      </c>
      <c r="K184" s="110">
        <f t="shared" si="16"/>
        <v>2.4468085106382986E-2</v>
      </c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spans="1:26" ht="15.75" customHeight="1" x14ac:dyDescent="0.3">
      <c r="A185" s="107" t="s">
        <v>2692</v>
      </c>
      <c r="B185" s="107" t="s">
        <v>3053</v>
      </c>
      <c r="C185" s="111" t="s">
        <v>3054</v>
      </c>
      <c r="D185" s="108" t="s">
        <v>13</v>
      </c>
      <c r="E185" s="109">
        <v>43</v>
      </c>
      <c r="F185" s="109">
        <v>41.95</v>
      </c>
      <c r="G185" s="110">
        <f t="shared" si="14"/>
        <v>2.4418604651162745E-2</v>
      </c>
      <c r="H185" s="110"/>
      <c r="I185" s="110">
        <v>0</v>
      </c>
      <c r="J185" s="109">
        <f t="shared" si="15"/>
        <v>43</v>
      </c>
      <c r="K185" s="110">
        <f t="shared" si="16"/>
        <v>2.4418604651162745E-2</v>
      </c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spans="1:26" ht="15.75" customHeight="1" x14ac:dyDescent="0.3">
      <c r="A186" s="107" t="s">
        <v>2692</v>
      </c>
      <c r="B186" s="107" t="s">
        <v>3055</v>
      </c>
      <c r="C186" s="107" t="s">
        <v>3056</v>
      </c>
      <c r="D186" s="108" t="s">
        <v>13</v>
      </c>
      <c r="E186" s="109">
        <v>51</v>
      </c>
      <c r="F186" s="109">
        <v>49.76</v>
      </c>
      <c r="G186" s="110">
        <f t="shared" si="14"/>
        <v>2.431372549019617E-2</v>
      </c>
      <c r="H186" s="110"/>
      <c r="I186" s="110">
        <v>0</v>
      </c>
      <c r="J186" s="109">
        <f t="shared" si="15"/>
        <v>51</v>
      </c>
      <c r="K186" s="110">
        <f t="shared" si="16"/>
        <v>2.431372549019617E-2</v>
      </c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spans="1:26" ht="15.75" customHeight="1" x14ac:dyDescent="0.3">
      <c r="A187" s="107" t="s">
        <v>2692</v>
      </c>
      <c r="B187" s="107" t="s">
        <v>3057</v>
      </c>
      <c r="C187" s="107" t="s">
        <v>3058</v>
      </c>
      <c r="D187" s="108" t="s">
        <v>13</v>
      </c>
      <c r="E187" s="109">
        <v>62</v>
      </c>
      <c r="F187" s="109">
        <v>60.49</v>
      </c>
      <c r="G187" s="110">
        <f t="shared" si="14"/>
        <v>2.4354838709677362E-2</v>
      </c>
      <c r="H187" s="110"/>
      <c r="I187" s="110">
        <v>0</v>
      </c>
      <c r="J187" s="109">
        <f t="shared" si="15"/>
        <v>62</v>
      </c>
      <c r="K187" s="110">
        <f t="shared" si="16"/>
        <v>2.4354838709677362E-2</v>
      </c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spans="1:26" ht="15.75" customHeight="1" x14ac:dyDescent="0.3">
      <c r="A188" s="107" t="s">
        <v>2692</v>
      </c>
      <c r="B188" s="107" t="s">
        <v>3059</v>
      </c>
      <c r="C188" s="107" t="s">
        <v>3060</v>
      </c>
      <c r="D188" s="108" t="s">
        <v>13</v>
      </c>
      <c r="E188" s="109">
        <v>91</v>
      </c>
      <c r="F188" s="109">
        <v>88.78</v>
      </c>
      <c r="G188" s="110">
        <f t="shared" si="14"/>
        <v>2.4395604395604398E-2</v>
      </c>
      <c r="H188" s="110"/>
      <c r="I188" s="110">
        <v>0</v>
      </c>
      <c r="J188" s="109">
        <f t="shared" si="15"/>
        <v>91</v>
      </c>
      <c r="K188" s="110">
        <f t="shared" si="16"/>
        <v>2.4395604395604398E-2</v>
      </c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spans="1:26" ht="15.75" customHeight="1" x14ac:dyDescent="0.3">
      <c r="A189" s="107" t="s">
        <v>2692</v>
      </c>
      <c r="B189" s="107" t="s">
        <v>3061</v>
      </c>
      <c r="C189" s="107" t="s">
        <v>3062</v>
      </c>
      <c r="D189" s="108" t="s">
        <v>13</v>
      </c>
      <c r="E189" s="109">
        <v>167</v>
      </c>
      <c r="F189" s="109">
        <v>162.93</v>
      </c>
      <c r="G189" s="110">
        <f t="shared" si="14"/>
        <v>2.4371257485029885E-2</v>
      </c>
      <c r="H189" s="110"/>
      <c r="I189" s="110">
        <v>0</v>
      </c>
      <c r="J189" s="109">
        <f t="shared" si="15"/>
        <v>167</v>
      </c>
      <c r="K189" s="110">
        <f t="shared" si="16"/>
        <v>2.4371257485029885E-2</v>
      </c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spans="1:26" ht="15.75" customHeight="1" x14ac:dyDescent="0.3">
      <c r="A190" s="107" t="s">
        <v>2692</v>
      </c>
      <c r="B190" s="107" t="s">
        <v>3063</v>
      </c>
      <c r="C190" s="107" t="s">
        <v>3064</v>
      </c>
      <c r="D190" s="108" t="s">
        <v>13</v>
      </c>
      <c r="E190" s="109">
        <v>199</v>
      </c>
      <c r="F190" s="109">
        <v>194.15</v>
      </c>
      <c r="G190" s="110">
        <f t="shared" si="14"/>
        <v>2.4371859296482334E-2</v>
      </c>
      <c r="H190" s="110"/>
      <c r="I190" s="110">
        <v>0</v>
      </c>
      <c r="J190" s="109">
        <f t="shared" si="15"/>
        <v>199</v>
      </c>
      <c r="K190" s="110">
        <f t="shared" si="16"/>
        <v>2.4371859296482334E-2</v>
      </c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spans="1:26" ht="15.75" customHeight="1" x14ac:dyDescent="0.3">
      <c r="A191" s="107" t="s">
        <v>2692</v>
      </c>
      <c r="B191" s="107" t="s">
        <v>3065</v>
      </c>
      <c r="C191" s="107" t="s">
        <v>3066</v>
      </c>
      <c r="D191" s="108" t="s">
        <v>13</v>
      </c>
      <c r="E191" s="109">
        <v>15</v>
      </c>
      <c r="F191" s="109">
        <v>14.63</v>
      </c>
      <c r="G191" s="110">
        <f t="shared" si="14"/>
        <v>2.4666666666666615E-2</v>
      </c>
      <c r="H191" s="110"/>
      <c r="I191" s="110">
        <v>0</v>
      </c>
      <c r="J191" s="109">
        <f t="shared" si="15"/>
        <v>15</v>
      </c>
      <c r="K191" s="110">
        <f t="shared" si="16"/>
        <v>2.4666666666666615E-2</v>
      </c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spans="1:26" ht="15.75" customHeight="1" x14ac:dyDescent="0.3">
      <c r="A192" s="107" t="s">
        <v>2692</v>
      </c>
      <c r="B192" s="107" t="s">
        <v>3067</v>
      </c>
      <c r="C192" s="107" t="s">
        <v>3068</v>
      </c>
      <c r="D192" s="108" t="s">
        <v>13</v>
      </c>
      <c r="E192" s="109">
        <v>467.5</v>
      </c>
      <c r="F192" s="109">
        <v>456.1</v>
      </c>
      <c r="G192" s="110">
        <f t="shared" si="14"/>
        <v>2.438502673796783E-2</v>
      </c>
      <c r="H192" s="110"/>
      <c r="I192" s="110">
        <v>0</v>
      </c>
      <c r="J192" s="109">
        <f t="shared" si="15"/>
        <v>467.5</v>
      </c>
      <c r="K192" s="110">
        <f t="shared" si="16"/>
        <v>2.438502673796783E-2</v>
      </c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 spans="1:26" ht="15.75" customHeight="1" x14ac:dyDescent="0.3">
      <c r="A193" s="107" t="s">
        <v>2692</v>
      </c>
      <c r="B193" s="107" t="s">
        <v>3069</v>
      </c>
      <c r="C193" s="107" t="s">
        <v>3070</v>
      </c>
      <c r="D193" s="108" t="s">
        <v>13</v>
      </c>
      <c r="E193" s="109">
        <v>797</v>
      </c>
      <c r="F193" s="109">
        <v>777.56</v>
      </c>
      <c r="G193" s="110">
        <f t="shared" si="14"/>
        <v>2.4391468005018901E-2</v>
      </c>
      <c r="H193" s="110"/>
      <c r="I193" s="110">
        <v>0</v>
      </c>
      <c r="J193" s="109">
        <f t="shared" si="15"/>
        <v>797</v>
      </c>
      <c r="K193" s="110">
        <f t="shared" si="16"/>
        <v>2.4391468005018901E-2</v>
      </c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 spans="1:26" ht="15.75" customHeight="1" x14ac:dyDescent="0.3">
      <c r="A194" s="107" t="s">
        <v>2692</v>
      </c>
      <c r="B194" s="107" t="s">
        <v>3071</v>
      </c>
      <c r="C194" s="107" t="s">
        <v>3072</v>
      </c>
      <c r="D194" s="108" t="s">
        <v>13</v>
      </c>
      <c r="E194" s="109">
        <v>40</v>
      </c>
      <c r="F194" s="109">
        <v>39.020000000000003</v>
      </c>
      <c r="G194" s="110">
        <f t="shared" si="14"/>
        <v>2.4499999999999966E-2</v>
      </c>
      <c r="H194" s="110"/>
      <c r="I194" s="110">
        <v>0</v>
      </c>
      <c r="J194" s="109">
        <f t="shared" si="15"/>
        <v>40</v>
      </c>
      <c r="K194" s="110">
        <f t="shared" si="16"/>
        <v>2.4499999999999966E-2</v>
      </c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 spans="1:26" ht="15.75" customHeight="1" x14ac:dyDescent="0.3">
      <c r="A195" s="107" t="s">
        <v>2692</v>
      </c>
      <c r="B195" s="107" t="s">
        <v>3073</v>
      </c>
      <c r="C195" s="107" t="s">
        <v>3074</v>
      </c>
      <c r="D195" s="108" t="s">
        <v>13</v>
      </c>
      <c r="E195" s="109">
        <v>29</v>
      </c>
      <c r="F195" s="109">
        <v>28.29</v>
      </c>
      <c r="G195" s="110">
        <f t="shared" si="14"/>
        <v>2.4482758620689715E-2</v>
      </c>
      <c r="H195" s="110"/>
      <c r="I195" s="110">
        <v>0</v>
      </c>
      <c r="J195" s="109">
        <f t="shared" si="15"/>
        <v>29</v>
      </c>
      <c r="K195" s="110">
        <f t="shared" si="16"/>
        <v>2.4482758620689715E-2</v>
      </c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 spans="1:26" ht="15.75" customHeight="1" x14ac:dyDescent="0.3">
      <c r="A196" s="107" t="s">
        <v>2692</v>
      </c>
      <c r="B196" s="107" t="s">
        <v>3075</v>
      </c>
      <c r="C196" s="107" t="s">
        <v>3076</v>
      </c>
      <c r="D196" s="108" t="s">
        <v>13</v>
      </c>
      <c r="E196" s="109">
        <v>618</v>
      </c>
      <c r="F196" s="109">
        <v>602.92999999999995</v>
      </c>
      <c r="G196" s="110">
        <f t="shared" si="14"/>
        <v>2.4385113268608483E-2</v>
      </c>
      <c r="H196" s="110"/>
      <c r="I196" s="110">
        <v>0</v>
      </c>
      <c r="J196" s="109">
        <f t="shared" si="15"/>
        <v>618</v>
      </c>
      <c r="K196" s="110">
        <f t="shared" si="16"/>
        <v>2.4385113268608483E-2</v>
      </c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 spans="1:26" ht="15.75" customHeight="1" x14ac:dyDescent="0.3">
      <c r="A197" s="107" t="s">
        <v>2692</v>
      </c>
      <c r="B197" s="107" t="s">
        <v>3077</v>
      </c>
      <c r="C197" s="107" t="s">
        <v>3078</v>
      </c>
      <c r="D197" s="108" t="s">
        <v>13</v>
      </c>
      <c r="E197" s="109">
        <v>126</v>
      </c>
      <c r="F197" s="109">
        <v>122.93</v>
      </c>
      <c r="G197" s="110">
        <f t="shared" si="14"/>
        <v>2.4365079365079256E-2</v>
      </c>
      <c r="H197" s="110"/>
      <c r="I197" s="110">
        <v>0</v>
      </c>
      <c r="J197" s="109">
        <f t="shared" si="15"/>
        <v>126</v>
      </c>
      <c r="K197" s="110">
        <f t="shared" si="16"/>
        <v>2.4365079365079256E-2</v>
      </c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 spans="1:26" ht="15.75" customHeight="1" x14ac:dyDescent="0.3">
      <c r="A198" s="107" t="s">
        <v>2692</v>
      </c>
      <c r="B198" s="107" t="s">
        <v>3079</v>
      </c>
      <c r="C198" s="107" t="s">
        <v>3080</v>
      </c>
      <c r="D198" s="108" t="s">
        <v>13</v>
      </c>
      <c r="E198" s="109">
        <v>93</v>
      </c>
      <c r="F198" s="109">
        <v>90.73</v>
      </c>
      <c r="G198" s="110">
        <f t="shared" si="14"/>
        <v>2.4408602150537639E-2</v>
      </c>
      <c r="H198" s="110"/>
      <c r="I198" s="110">
        <v>0</v>
      </c>
      <c r="J198" s="109">
        <f t="shared" si="15"/>
        <v>93</v>
      </c>
      <c r="K198" s="110">
        <f t="shared" si="16"/>
        <v>2.4408602150537639E-2</v>
      </c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 spans="1:26" ht="15.75" customHeight="1" x14ac:dyDescent="0.3">
      <c r="A199" s="107" t="s">
        <v>2692</v>
      </c>
      <c r="B199" s="107" t="s">
        <v>3081</v>
      </c>
      <c r="C199" s="107" t="s">
        <v>3082</v>
      </c>
      <c r="D199" s="108" t="s">
        <v>13</v>
      </c>
      <c r="E199" s="109">
        <v>289</v>
      </c>
      <c r="F199" s="109">
        <v>281.95</v>
      </c>
      <c r="G199" s="110">
        <f t="shared" si="14"/>
        <v>2.4394463667820054E-2</v>
      </c>
      <c r="H199" s="110"/>
      <c r="I199" s="110">
        <v>0</v>
      </c>
      <c r="J199" s="109">
        <f t="shared" si="15"/>
        <v>289</v>
      </c>
      <c r="K199" s="110">
        <f t="shared" si="16"/>
        <v>2.4394463667820054E-2</v>
      </c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 spans="1:26" ht="15.75" customHeight="1" x14ac:dyDescent="0.3">
      <c r="A200" s="107" t="s">
        <v>2692</v>
      </c>
      <c r="B200" s="107" t="s">
        <v>3083</v>
      </c>
      <c r="C200" s="107" t="s">
        <v>3084</v>
      </c>
      <c r="D200" s="108" t="s">
        <v>13</v>
      </c>
      <c r="E200" s="109">
        <v>891</v>
      </c>
      <c r="F200" s="109">
        <v>869.27</v>
      </c>
      <c r="G200" s="110">
        <f t="shared" si="14"/>
        <v>2.4388327721661107E-2</v>
      </c>
      <c r="H200" s="110"/>
      <c r="I200" s="110">
        <v>0</v>
      </c>
      <c r="J200" s="109">
        <f t="shared" si="15"/>
        <v>891</v>
      </c>
      <c r="K200" s="110">
        <f t="shared" si="16"/>
        <v>2.4388327721661107E-2</v>
      </c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 spans="1:26" ht="15.75" customHeight="1" x14ac:dyDescent="0.3">
      <c r="A201" s="107" t="s">
        <v>2692</v>
      </c>
      <c r="B201" s="107" t="s">
        <v>3085</v>
      </c>
      <c r="C201" s="107" t="s">
        <v>3086</v>
      </c>
      <c r="D201" s="108" t="s">
        <v>13</v>
      </c>
      <c r="E201" s="109">
        <v>1662</v>
      </c>
      <c r="F201" s="109">
        <v>1621.46</v>
      </c>
      <c r="G201" s="110">
        <f t="shared" si="14"/>
        <v>2.4392298435619741E-2</v>
      </c>
      <c r="H201" s="110"/>
      <c r="I201" s="110">
        <v>0</v>
      </c>
      <c r="J201" s="109">
        <f t="shared" si="15"/>
        <v>1662</v>
      </c>
      <c r="K201" s="110">
        <f t="shared" si="16"/>
        <v>2.4392298435619741E-2</v>
      </c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 spans="1:26" ht="15.75" customHeight="1" x14ac:dyDescent="0.3">
      <c r="A202" s="107" t="s">
        <v>2692</v>
      </c>
      <c r="B202" s="107" t="s">
        <v>3087</v>
      </c>
      <c r="C202" s="107" t="s">
        <v>3088</v>
      </c>
      <c r="D202" s="108" t="s">
        <v>13</v>
      </c>
      <c r="E202" s="109">
        <v>2323</v>
      </c>
      <c r="F202" s="109">
        <v>2266.34</v>
      </c>
      <c r="G202" s="110">
        <f t="shared" si="14"/>
        <v>2.4390873869995611E-2</v>
      </c>
      <c r="H202" s="110"/>
      <c r="I202" s="110">
        <v>0</v>
      </c>
      <c r="J202" s="109">
        <f t="shared" si="15"/>
        <v>2323</v>
      </c>
      <c r="K202" s="110">
        <f t="shared" si="16"/>
        <v>2.4390873869995611E-2</v>
      </c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 spans="1:26" ht="15.75" customHeight="1" x14ac:dyDescent="0.3">
      <c r="A203" s="107" t="s">
        <v>2692</v>
      </c>
      <c r="B203" s="107" t="s">
        <v>3089</v>
      </c>
      <c r="C203" s="107" t="s">
        <v>3090</v>
      </c>
      <c r="D203" s="108" t="s">
        <v>13</v>
      </c>
      <c r="E203" s="109">
        <v>379</v>
      </c>
      <c r="F203" s="109">
        <v>369.76</v>
      </c>
      <c r="G203" s="110">
        <f t="shared" si="14"/>
        <v>2.4379947229551502E-2</v>
      </c>
      <c r="H203" s="110"/>
      <c r="I203" s="110">
        <v>0</v>
      </c>
      <c r="J203" s="109">
        <f t="shared" si="15"/>
        <v>379</v>
      </c>
      <c r="K203" s="110">
        <f t="shared" si="16"/>
        <v>2.4379947229551502E-2</v>
      </c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 spans="1:26" ht="15.75" customHeight="1" x14ac:dyDescent="0.3">
      <c r="A204" s="107" t="s">
        <v>2692</v>
      </c>
      <c r="B204" s="107" t="s">
        <v>3091</v>
      </c>
      <c r="C204" s="107" t="s">
        <v>3090</v>
      </c>
      <c r="D204" s="108" t="s">
        <v>13</v>
      </c>
      <c r="E204" s="109">
        <v>399</v>
      </c>
      <c r="F204" s="109">
        <v>389.27</v>
      </c>
      <c r="G204" s="110">
        <f t="shared" si="14"/>
        <v>2.4385964912280733E-2</v>
      </c>
      <c r="H204" s="110"/>
      <c r="I204" s="110">
        <v>0</v>
      </c>
      <c r="J204" s="109">
        <f t="shared" si="15"/>
        <v>399</v>
      </c>
      <c r="K204" s="110">
        <f t="shared" si="16"/>
        <v>2.4385964912280733E-2</v>
      </c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 spans="1:26" ht="15.75" customHeight="1" x14ac:dyDescent="0.3">
      <c r="A205" s="107" t="s">
        <v>2692</v>
      </c>
      <c r="B205" s="107" t="s">
        <v>3092</v>
      </c>
      <c r="C205" s="107" t="s">
        <v>3093</v>
      </c>
      <c r="D205" s="108" t="s">
        <v>13</v>
      </c>
      <c r="E205" s="109">
        <v>299</v>
      </c>
      <c r="F205" s="109">
        <v>291.70999999999998</v>
      </c>
      <c r="G205" s="110">
        <f t="shared" si="14"/>
        <v>2.4381270903010122E-2</v>
      </c>
      <c r="H205" s="110"/>
      <c r="I205" s="110">
        <v>0</v>
      </c>
      <c r="J205" s="109">
        <f t="shared" si="15"/>
        <v>299</v>
      </c>
      <c r="K205" s="110">
        <f t="shared" si="16"/>
        <v>2.4381270903010122E-2</v>
      </c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 spans="1:26" ht="15.75" customHeight="1" x14ac:dyDescent="0.3">
      <c r="A206" s="107" t="s">
        <v>2692</v>
      </c>
      <c r="B206" s="107" t="s">
        <v>3094</v>
      </c>
      <c r="C206" s="107" t="s">
        <v>3095</v>
      </c>
      <c r="D206" s="108" t="s">
        <v>13</v>
      </c>
      <c r="E206" s="109">
        <v>698</v>
      </c>
      <c r="F206" s="109">
        <v>340.49</v>
      </c>
      <c r="G206" s="110">
        <f t="shared" si="14"/>
        <v>0.51219197707736386</v>
      </c>
      <c r="H206" s="110"/>
      <c r="I206" s="110">
        <v>0</v>
      </c>
      <c r="J206" s="109">
        <f t="shared" si="15"/>
        <v>698</v>
      </c>
      <c r="K206" s="110">
        <f t="shared" si="16"/>
        <v>0.51219197707736386</v>
      </c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 spans="1:26" ht="15.75" customHeight="1" x14ac:dyDescent="0.3">
      <c r="A207" s="107" t="s">
        <v>2692</v>
      </c>
      <c r="B207" s="107" t="s">
        <v>3096</v>
      </c>
      <c r="C207" s="107" t="s">
        <v>3097</v>
      </c>
      <c r="D207" s="108" t="s">
        <v>13</v>
      </c>
      <c r="E207" s="109">
        <v>449</v>
      </c>
      <c r="F207" s="109">
        <v>438.05</v>
      </c>
      <c r="G207" s="110">
        <f t="shared" si="14"/>
        <v>2.4387527839643597E-2</v>
      </c>
      <c r="H207" s="110"/>
      <c r="I207" s="110">
        <v>0</v>
      </c>
      <c r="J207" s="109">
        <f t="shared" si="15"/>
        <v>449</v>
      </c>
      <c r="K207" s="110">
        <f t="shared" si="16"/>
        <v>2.4387527839643597E-2</v>
      </c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 spans="1:26" ht="15.75" customHeight="1" x14ac:dyDescent="0.3">
      <c r="A208" s="107" t="s">
        <v>2692</v>
      </c>
      <c r="B208" s="107" t="s">
        <v>3098</v>
      </c>
      <c r="C208" s="107" t="s">
        <v>3099</v>
      </c>
      <c r="D208" s="108" t="s">
        <v>13</v>
      </c>
      <c r="E208" s="109">
        <v>24</v>
      </c>
      <c r="F208" s="109">
        <v>23.41</v>
      </c>
      <c r="G208" s="110">
        <f t="shared" si="14"/>
        <v>2.458333333333329E-2</v>
      </c>
      <c r="H208" s="110"/>
      <c r="I208" s="110">
        <v>0</v>
      </c>
      <c r="J208" s="109">
        <f t="shared" si="15"/>
        <v>24</v>
      </c>
      <c r="K208" s="110">
        <f t="shared" si="16"/>
        <v>2.458333333333329E-2</v>
      </c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 spans="1:26" ht="15.75" customHeight="1" x14ac:dyDescent="0.3">
      <c r="A209" s="107" t="s">
        <v>2692</v>
      </c>
      <c r="B209" s="107" t="s">
        <v>3100</v>
      </c>
      <c r="C209" s="107" t="s">
        <v>3101</v>
      </c>
      <c r="D209" s="108" t="s">
        <v>13</v>
      </c>
      <c r="E209" s="109">
        <v>319</v>
      </c>
      <c r="F209" s="109">
        <v>311.22000000000003</v>
      </c>
      <c r="G209" s="110">
        <f t="shared" si="14"/>
        <v>2.4388714733542205E-2</v>
      </c>
      <c r="H209" s="110"/>
      <c r="I209" s="110">
        <v>0</v>
      </c>
      <c r="J209" s="109">
        <f t="shared" si="15"/>
        <v>319</v>
      </c>
      <c r="K209" s="110">
        <f t="shared" si="16"/>
        <v>2.4388714733542205E-2</v>
      </c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 spans="1:26" ht="15.75" customHeight="1" x14ac:dyDescent="0.3">
      <c r="A210" s="107" t="s">
        <v>2692</v>
      </c>
      <c r="B210" s="107" t="s">
        <v>3102</v>
      </c>
      <c r="C210" s="107" t="s">
        <v>3103</v>
      </c>
      <c r="D210" s="108" t="s">
        <v>13</v>
      </c>
      <c r="E210" s="109">
        <v>359</v>
      </c>
      <c r="F210" s="109">
        <v>350.24</v>
      </c>
      <c r="G210" s="110">
        <f t="shared" si="14"/>
        <v>2.4401114206128116E-2</v>
      </c>
      <c r="H210" s="110"/>
      <c r="I210" s="110">
        <v>0</v>
      </c>
      <c r="J210" s="109">
        <f t="shared" si="15"/>
        <v>359</v>
      </c>
      <c r="K210" s="110">
        <f t="shared" si="16"/>
        <v>2.4401114206128116E-2</v>
      </c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 spans="1:26" ht="15.75" customHeight="1" x14ac:dyDescent="0.3">
      <c r="A211" s="107" t="s">
        <v>2692</v>
      </c>
      <c r="B211" s="107" t="s">
        <v>3104</v>
      </c>
      <c r="C211" s="107" t="s">
        <v>3105</v>
      </c>
      <c r="D211" s="108" t="s">
        <v>13</v>
      </c>
      <c r="E211" s="109">
        <v>359</v>
      </c>
      <c r="F211" s="109">
        <v>350.24</v>
      </c>
      <c r="G211" s="110">
        <f t="shared" si="14"/>
        <v>2.4401114206128116E-2</v>
      </c>
      <c r="H211" s="110"/>
      <c r="I211" s="110">
        <v>0</v>
      </c>
      <c r="J211" s="109">
        <f t="shared" si="15"/>
        <v>359</v>
      </c>
      <c r="K211" s="110">
        <f t="shared" si="16"/>
        <v>2.4401114206128116E-2</v>
      </c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 spans="1:26" ht="15.75" customHeight="1" x14ac:dyDescent="0.3">
      <c r="A212" s="107" t="s">
        <v>2692</v>
      </c>
      <c r="B212" s="107" t="s">
        <v>3106</v>
      </c>
      <c r="C212" s="107" t="s">
        <v>3107</v>
      </c>
      <c r="D212" s="108" t="s">
        <v>13</v>
      </c>
      <c r="E212" s="109">
        <v>549</v>
      </c>
      <c r="F212" s="109">
        <v>535.61</v>
      </c>
      <c r="G212" s="110">
        <f t="shared" si="14"/>
        <v>2.4389799635701204E-2</v>
      </c>
      <c r="H212" s="110"/>
      <c r="I212" s="110">
        <v>0</v>
      </c>
      <c r="J212" s="109">
        <f t="shared" si="15"/>
        <v>549</v>
      </c>
      <c r="K212" s="110">
        <f t="shared" si="16"/>
        <v>2.4389799635701204E-2</v>
      </c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 spans="1:26" ht="15.75" customHeight="1" x14ac:dyDescent="0.3">
      <c r="A213" s="107" t="s">
        <v>2692</v>
      </c>
      <c r="B213" s="107" t="s">
        <v>3108</v>
      </c>
      <c r="C213" s="107" t="s">
        <v>3109</v>
      </c>
      <c r="D213" s="108" t="s">
        <v>13</v>
      </c>
      <c r="E213" s="109">
        <v>499</v>
      </c>
      <c r="F213" s="109">
        <v>486.83</v>
      </c>
      <c r="G213" s="110">
        <f t="shared" si="14"/>
        <v>2.4388777555110264E-2</v>
      </c>
      <c r="H213" s="110"/>
      <c r="I213" s="110">
        <v>0</v>
      </c>
      <c r="J213" s="109">
        <f t="shared" si="15"/>
        <v>499</v>
      </c>
      <c r="K213" s="110">
        <f t="shared" si="16"/>
        <v>2.4388777555110264E-2</v>
      </c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 spans="1:26" ht="15.75" customHeight="1" x14ac:dyDescent="0.3">
      <c r="A214" s="107" t="s">
        <v>2692</v>
      </c>
      <c r="B214" s="107" t="s">
        <v>3110</v>
      </c>
      <c r="C214" s="107" t="s">
        <v>3111</v>
      </c>
      <c r="D214" s="108" t="s">
        <v>13</v>
      </c>
      <c r="E214" s="109">
        <v>399</v>
      </c>
      <c r="F214" s="109">
        <v>389.27</v>
      </c>
      <c r="G214" s="110">
        <f t="shared" si="14"/>
        <v>2.4385964912280733E-2</v>
      </c>
      <c r="H214" s="110"/>
      <c r="I214" s="110">
        <v>0</v>
      </c>
      <c r="J214" s="109">
        <f t="shared" si="15"/>
        <v>399</v>
      </c>
      <c r="K214" s="110">
        <f t="shared" si="16"/>
        <v>2.4385964912280733E-2</v>
      </c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 spans="1:26" ht="15.75" customHeight="1" x14ac:dyDescent="0.3">
      <c r="A215" s="107" t="s">
        <v>2692</v>
      </c>
      <c r="B215" s="107" t="s">
        <v>3112</v>
      </c>
      <c r="C215" s="107" t="s">
        <v>3113</v>
      </c>
      <c r="D215" s="108" t="s">
        <v>13</v>
      </c>
      <c r="E215" s="109">
        <v>439</v>
      </c>
      <c r="F215" s="109">
        <v>428.29</v>
      </c>
      <c r="G215" s="110">
        <f t="shared" si="14"/>
        <v>2.4396355353075161E-2</v>
      </c>
      <c r="H215" s="110"/>
      <c r="I215" s="110">
        <v>0</v>
      </c>
      <c r="J215" s="109">
        <f t="shared" si="15"/>
        <v>439</v>
      </c>
      <c r="K215" s="110">
        <f t="shared" si="16"/>
        <v>2.4396355353075161E-2</v>
      </c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 spans="1:26" ht="15.75" customHeight="1" x14ac:dyDescent="0.3">
      <c r="A216" s="107" t="s">
        <v>2692</v>
      </c>
      <c r="B216" s="107" t="s">
        <v>3114</v>
      </c>
      <c r="C216" s="107" t="s">
        <v>3115</v>
      </c>
      <c r="D216" s="108" t="s">
        <v>13</v>
      </c>
      <c r="E216" s="109">
        <v>439</v>
      </c>
      <c r="F216" s="109">
        <v>428.29</v>
      </c>
      <c r="G216" s="110">
        <f t="shared" si="14"/>
        <v>2.4396355353075161E-2</v>
      </c>
      <c r="H216" s="110"/>
      <c r="I216" s="110">
        <v>0</v>
      </c>
      <c r="J216" s="109">
        <f t="shared" si="15"/>
        <v>439</v>
      </c>
      <c r="K216" s="110">
        <f t="shared" si="16"/>
        <v>2.4396355353075161E-2</v>
      </c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 spans="1:26" ht="15.75" customHeight="1" x14ac:dyDescent="0.3">
      <c r="A217" s="107" t="s">
        <v>2692</v>
      </c>
      <c r="B217" s="107" t="s">
        <v>3116</v>
      </c>
      <c r="C217" s="107" t="s">
        <v>3117</v>
      </c>
      <c r="D217" s="108" t="s">
        <v>13</v>
      </c>
      <c r="E217" s="109">
        <v>549</v>
      </c>
      <c r="F217" s="109">
        <v>535.61</v>
      </c>
      <c r="G217" s="110">
        <f t="shared" si="14"/>
        <v>2.4389799635701204E-2</v>
      </c>
      <c r="H217" s="110"/>
      <c r="I217" s="110">
        <v>0</v>
      </c>
      <c r="J217" s="109">
        <f t="shared" si="15"/>
        <v>549</v>
      </c>
      <c r="K217" s="110">
        <f t="shared" si="16"/>
        <v>2.4389799635701204E-2</v>
      </c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 spans="1:26" ht="15.75" customHeight="1" x14ac:dyDescent="0.3">
      <c r="A218" s="107" t="s">
        <v>2692</v>
      </c>
      <c r="B218" s="107" t="s">
        <v>3118</v>
      </c>
      <c r="C218" s="107" t="s">
        <v>3119</v>
      </c>
      <c r="D218" s="108" t="s">
        <v>13</v>
      </c>
      <c r="E218" s="109">
        <v>629</v>
      </c>
      <c r="F218" s="109">
        <v>613.66</v>
      </c>
      <c r="G218" s="110">
        <f t="shared" si="14"/>
        <v>2.4387917329093844E-2</v>
      </c>
      <c r="H218" s="110"/>
      <c r="I218" s="110">
        <v>0</v>
      </c>
      <c r="J218" s="109">
        <f t="shared" si="15"/>
        <v>629</v>
      </c>
      <c r="K218" s="110">
        <f t="shared" si="16"/>
        <v>2.4387917329093844E-2</v>
      </c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 spans="1:26" ht="15.75" customHeight="1" x14ac:dyDescent="0.3">
      <c r="A219" s="107" t="s">
        <v>2692</v>
      </c>
      <c r="B219" s="107" t="s">
        <v>3120</v>
      </c>
      <c r="C219" s="107" t="s">
        <v>3121</v>
      </c>
      <c r="D219" s="108" t="s">
        <v>13</v>
      </c>
      <c r="E219" s="109">
        <v>589</v>
      </c>
      <c r="F219" s="109">
        <v>574.63</v>
      </c>
      <c r="G219" s="110">
        <f t="shared" si="14"/>
        <v>2.4397283531409131E-2</v>
      </c>
      <c r="H219" s="110"/>
      <c r="I219" s="110">
        <v>0</v>
      </c>
      <c r="J219" s="109">
        <f t="shared" si="15"/>
        <v>589</v>
      </c>
      <c r="K219" s="110">
        <f t="shared" si="16"/>
        <v>2.4397283531409131E-2</v>
      </c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 spans="1:26" ht="15.75" customHeight="1" x14ac:dyDescent="0.3">
      <c r="A220" s="107" t="s">
        <v>2692</v>
      </c>
      <c r="B220" s="107" t="s">
        <v>3122</v>
      </c>
      <c r="C220" s="107" t="s">
        <v>3107</v>
      </c>
      <c r="D220" s="108" t="s">
        <v>13</v>
      </c>
      <c r="E220" s="109">
        <v>549</v>
      </c>
      <c r="F220" s="109">
        <v>535.61</v>
      </c>
      <c r="G220" s="110">
        <f t="shared" si="14"/>
        <v>2.4389799635701204E-2</v>
      </c>
      <c r="H220" s="110"/>
      <c r="I220" s="110">
        <v>0</v>
      </c>
      <c r="J220" s="109">
        <f t="shared" si="15"/>
        <v>549</v>
      </c>
      <c r="K220" s="110">
        <f t="shared" si="16"/>
        <v>2.4389799635701204E-2</v>
      </c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 spans="1:26" ht="15.75" customHeight="1" x14ac:dyDescent="0.3">
      <c r="A221" s="107" t="s">
        <v>2692</v>
      </c>
      <c r="B221" s="107" t="s">
        <v>3123</v>
      </c>
      <c r="C221" s="107" t="s">
        <v>3107</v>
      </c>
      <c r="D221" s="108" t="s">
        <v>13</v>
      </c>
      <c r="E221" s="109">
        <v>589</v>
      </c>
      <c r="F221" s="109">
        <v>574.63</v>
      </c>
      <c r="G221" s="110">
        <f t="shared" si="14"/>
        <v>2.4397283531409131E-2</v>
      </c>
      <c r="H221" s="110"/>
      <c r="I221" s="110">
        <v>0</v>
      </c>
      <c r="J221" s="109">
        <f t="shared" si="15"/>
        <v>589</v>
      </c>
      <c r="K221" s="110">
        <f t="shared" si="16"/>
        <v>2.4397283531409131E-2</v>
      </c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 spans="1:26" ht="15.75" customHeight="1" x14ac:dyDescent="0.3">
      <c r="A222" s="107" t="s">
        <v>2692</v>
      </c>
      <c r="B222" s="107" t="s">
        <v>3124</v>
      </c>
      <c r="C222" s="107" t="s">
        <v>3125</v>
      </c>
      <c r="D222" s="108" t="s">
        <v>13</v>
      </c>
      <c r="E222" s="109">
        <v>479</v>
      </c>
      <c r="F222" s="109">
        <v>467.32</v>
      </c>
      <c r="G222" s="110">
        <f t="shared" si="14"/>
        <v>2.4384133611691006E-2</v>
      </c>
      <c r="H222" s="110"/>
      <c r="I222" s="110">
        <v>0</v>
      </c>
      <c r="J222" s="109">
        <f t="shared" si="15"/>
        <v>479</v>
      </c>
      <c r="K222" s="110">
        <f t="shared" si="16"/>
        <v>2.4384133611691006E-2</v>
      </c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 spans="1:26" ht="15.75" customHeight="1" x14ac:dyDescent="0.3">
      <c r="A223" s="107" t="s">
        <v>2692</v>
      </c>
      <c r="B223" s="107" t="s">
        <v>3126</v>
      </c>
      <c r="C223" s="107" t="s">
        <v>3127</v>
      </c>
      <c r="D223" s="108" t="s">
        <v>13</v>
      </c>
      <c r="E223" s="109">
        <v>479</v>
      </c>
      <c r="F223" s="109">
        <v>467.32</v>
      </c>
      <c r="G223" s="110">
        <f t="shared" si="14"/>
        <v>2.4384133611691006E-2</v>
      </c>
      <c r="H223" s="110"/>
      <c r="I223" s="110">
        <v>0</v>
      </c>
      <c r="J223" s="109">
        <f t="shared" si="15"/>
        <v>479</v>
      </c>
      <c r="K223" s="110">
        <f t="shared" si="16"/>
        <v>2.4384133611691006E-2</v>
      </c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 spans="1:26" ht="15.75" customHeight="1" x14ac:dyDescent="0.3">
      <c r="A224" s="107" t="s">
        <v>2692</v>
      </c>
      <c r="B224" s="107" t="s">
        <v>3128</v>
      </c>
      <c r="C224" s="107" t="s">
        <v>3129</v>
      </c>
      <c r="D224" s="108" t="s">
        <v>13</v>
      </c>
      <c r="E224" s="109">
        <v>439</v>
      </c>
      <c r="F224" s="109">
        <v>428.29</v>
      </c>
      <c r="G224" s="110">
        <f t="shared" si="14"/>
        <v>2.4396355353075161E-2</v>
      </c>
      <c r="H224" s="110"/>
      <c r="I224" s="110">
        <v>0</v>
      </c>
      <c r="J224" s="109">
        <f t="shared" si="15"/>
        <v>439</v>
      </c>
      <c r="K224" s="110">
        <f t="shared" si="16"/>
        <v>2.4396355353075161E-2</v>
      </c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 spans="1:26" ht="15.75" customHeight="1" x14ac:dyDescent="0.3">
      <c r="A225" s="107" t="s">
        <v>2692</v>
      </c>
      <c r="B225" s="107" t="s">
        <v>3130</v>
      </c>
      <c r="C225" s="107" t="s">
        <v>3131</v>
      </c>
      <c r="D225" s="108" t="s">
        <v>13</v>
      </c>
      <c r="E225" s="109">
        <v>299</v>
      </c>
      <c r="F225" s="109">
        <v>291.70999999999998</v>
      </c>
      <c r="G225" s="110">
        <f t="shared" si="14"/>
        <v>2.4381270903010122E-2</v>
      </c>
      <c r="H225" s="110"/>
      <c r="I225" s="110">
        <v>0</v>
      </c>
      <c r="J225" s="109">
        <f t="shared" si="15"/>
        <v>299</v>
      </c>
      <c r="K225" s="110">
        <f t="shared" si="16"/>
        <v>2.4381270903010122E-2</v>
      </c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 spans="1:26" ht="15.75" customHeight="1" x14ac:dyDescent="0.3">
      <c r="A226" s="107" t="s">
        <v>2692</v>
      </c>
      <c r="B226" s="107" t="s">
        <v>3132</v>
      </c>
      <c r="C226" s="107" t="s">
        <v>3133</v>
      </c>
      <c r="D226" s="108" t="s">
        <v>13</v>
      </c>
      <c r="E226" s="109">
        <v>350</v>
      </c>
      <c r="F226" s="109">
        <v>341.46</v>
      </c>
      <c r="G226" s="110">
        <f t="shared" si="14"/>
        <v>2.4400000000000088E-2</v>
      </c>
      <c r="H226" s="110"/>
      <c r="I226" s="110">
        <v>0</v>
      </c>
      <c r="J226" s="109">
        <f t="shared" si="15"/>
        <v>350</v>
      </c>
      <c r="K226" s="110">
        <f t="shared" si="16"/>
        <v>2.4400000000000088E-2</v>
      </c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 spans="1:26" ht="15.75" customHeight="1" x14ac:dyDescent="0.3">
      <c r="A227" s="107" t="s">
        <v>2692</v>
      </c>
      <c r="B227" s="107" t="s">
        <v>3134</v>
      </c>
      <c r="C227" s="107" t="s">
        <v>3135</v>
      </c>
      <c r="D227" s="108" t="s">
        <v>13</v>
      </c>
      <c r="E227" s="109">
        <v>350</v>
      </c>
      <c r="F227" s="109">
        <v>341.46</v>
      </c>
      <c r="G227" s="110">
        <f t="shared" si="14"/>
        <v>2.4400000000000088E-2</v>
      </c>
      <c r="H227" s="110"/>
      <c r="I227" s="110">
        <v>0</v>
      </c>
      <c r="J227" s="109">
        <f t="shared" si="15"/>
        <v>350</v>
      </c>
      <c r="K227" s="110">
        <f t="shared" si="16"/>
        <v>2.4400000000000088E-2</v>
      </c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 spans="1:26" ht="15.75" customHeight="1" x14ac:dyDescent="0.3">
      <c r="A228" s="107" t="s">
        <v>2692</v>
      </c>
      <c r="B228" s="107" t="s">
        <v>3136</v>
      </c>
      <c r="C228" s="107" t="s">
        <v>3137</v>
      </c>
      <c r="D228" s="108" t="s">
        <v>13</v>
      </c>
      <c r="E228" s="109">
        <v>299</v>
      </c>
      <c r="F228" s="109">
        <v>291.70999999999998</v>
      </c>
      <c r="G228" s="110">
        <f t="shared" si="14"/>
        <v>2.4381270903010122E-2</v>
      </c>
      <c r="H228" s="110"/>
      <c r="I228" s="110">
        <v>0</v>
      </c>
      <c r="J228" s="109">
        <f t="shared" si="15"/>
        <v>299</v>
      </c>
      <c r="K228" s="110">
        <f t="shared" si="16"/>
        <v>2.4381270903010122E-2</v>
      </c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 spans="1:26" ht="15.75" customHeight="1" x14ac:dyDescent="0.3">
      <c r="A229" s="107" t="s">
        <v>2692</v>
      </c>
      <c r="B229" s="107" t="s">
        <v>3138</v>
      </c>
      <c r="C229" s="107" t="s">
        <v>3139</v>
      </c>
      <c r="D229" s="108" t="s">
        <v>13</v>
      </c>
      <c r="E229" s="109">
        <v>349</v>
      </c>
      <c r="F229" s="109">
        <v>340.49</v>
      </c>
      <c r="G229" s="110">
        <f t="shared" si="14"/>
        <v>2.4383954154727716E-2</v>
      </c>
      <c r="H229" s="110"/>
      <c r="I229" s="110">
        <v>0</v>
      </c>
      <c r="J229" s="109">
        <f t="shared" si="15"/>
        <v>349</v>
      </c>
      <c r="K229" s="110">
        <f t="shared" si="16"/>
        <v>2.4383954154727716E-2</v>
      </c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 spans="1:26" ht="15.75" customHeight="1" x14ac:dyDescent="0.3">
      <c r="A230" s="107" t="s">
        <v>2692</v>
      </c>
      <c r="B230" s="107" t="s">
        <v>3140</v>
      </c>
      <c r="C230" s="107" t="s">
        <v>3141</v>
      </c>
      <c r="D230" s="108" t="s">
        <v>13</v>
      </c>
      <c r="E230" s="109">
        <v>349</v>
      </c>
      <c r="F230" s="109">
        <v>340.49</v>
      </c>
      <c r="G230" s="110">
        <f t="shared" si="14"/>
        <v>2.4383954154727716E-2</v>
      </c>
      <c r="H230" s="110"/>
      <c r="I230" s="110">
        <v>0</v>
      </c>
      <c r="J230" s="109">
        <f t="shared" si="15"/>
        <v>349</v>
      </c>
      <c r="K230" s="110">
        <f t="shared" si="16"/>
        <v>2.4383954154727716E-2</v>
      </c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 spans="1:26" ht="15.75" customHeight="1" x14ac:dyDescent="0.3">
      <c r="A231" s="107" t="s">
        <v>2692</v>
      </c>
      <c r="B231" s="107" t="s">
        <v>3142</v>
      </c>
      <c r="C231" s="107" t="s">
        <v>3143</v>
      </c>
      <c r="D231" s="108" t="s">
        <v>13</v>
      </c>
      <c r="E231" s="109">
        <v>449</v>
      </c>
      <c r="F231" s="109">
        <v>438.05</v>
      </c>
      <c r="G231" s="110">
        <f t="shared" si="14"/>
        <v>2.4387527839643597E-2</v>
      </c>
      <c r="H231" s="110"/>
      <c r="I231" s="110">
        <v>0</v>
      </c>
      <c r="J231" s="109">
        <f t="shared" si="15"/>
        <v>449</v>
      </c>
      <c r="K231" s="110">
        <f t="shared" si="16"/>
        <v>2.4387527839643597E-2</v>
      </c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 spans="1:26" ht="15.75" customHeight="1" x14ac:dyDescent="0.3">
      <c r="A232" s="107" t="s">
        <v>2692</v>
      </c>
      <c r="B232" s="107" t="s">
        <v>3144</v>
      </c>
      <c r="C232" s="107" t="s">
        <v>3145</v>
      </c>
      <c r="D232" s="108" t="s">
        <v>13</v>
      </c>
      <c r="E232" s="109">
        <v>299</v>
      </c>
      <c r="F232" s="109">
        <v>291.70999999999998</v>
      </c>
      <c r="G232" s="110">
        <f t="shared" si="14"/>
        <v>2.4381270903010122E-2</v>
      </c>
      <c r="H232" s="110"/>
      <c r="I232" s="110">
        <v>0</v>
      </c>
      <c r="J232" s="109">
        <f t="shared" si="15"/>
        <v>299</v>
      </c>
      <c r="K232" s="110">
        <f t="shared" si="16"/>
        <v>2.4381270903010122E-2</v>
      </c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 spans="1:26" ht="15.75" customHeight="1" x14ac:dyDescent="0.3">
      <c r="A233" s="107" t="s">
        <v>2692</v>
      </c>
      <c r="B233" s="107" t="s">
        <v>3146</v>
      </c>
      <c r="C233" s="107" t="s">
        <v>3147</v>
      </c>
      <c r="D233" s="108" t="s">
        <v>13</v>
      </c>
      <c r="E233" s="109">
        <v>299</v>
      </c>
      <c r="F233" s="109">
        <v>340.49</v>
      </c>
      <c r="G233" s="110">
        <f t="shared" si="14"/>
        <v>-0.1387625418060201</v>
      </c>
      <c r="H233" s="110"/>
      <c r="I233" s="110">
        <v>0</v>
      </c>
      <c r="J233" s="109">
        <f t="shared" si="15"/>
        <v>299</v>
      </c>
      <c r="K233" s="110">
        <f t="shared" si="16"/>
        <v>-0.1387625418060201</v>
      </c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 spans="1:26" ht="15.75" customHeight="1" x14ac:dyDescent="0.3">
      <c r="A234" s="107" t="s">
        <v>2692</v>
      </c>
      <c r="B234" s="107" t="s">
        <v>3148</v>
      </c>
      <c r="C234" s="107" t="s">
        <v>3149</v>
      </c>
      <c r="D234" s="108" t="s">
        <v>13</v>
      </c>
      <c r="E234" s="109">
        <v>349</v>
      </c>
      <c r="F234" s="109">
        <v>340.49</v>
      </c>
      <c r="G234" s="110">
        <f t="shared" si="14"/>
        <v>2.4383954154727716E-2</v>
      </c>
      <c r="H234" s="110"/>
      <c r="I234" s="110">
        <v>0</v>
      </c>
      <c r="J234" s="109">
        <f t="shared" si="15"/>
        <v>349</v>
      </c>
      <c r="K234" s="110">
        <f t="shared" si="16"/>
        <v>2.4383954154727716E-2</v>
      </c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 spans="1:26" ht="15.75" customHeight="1" x14ac:dyDescent="0.3">
      <c r="A235" s="107" t="s">
        <v>2692</v>
      </c>
      <c r="B235" s="107" t="s">
        <v>3150</v>
      </c>
      <c r="C235" s="107" t="s">
        <v>3151</v>
      </c>
      <c r="D235" s="108" t="s">
        <v>13</v>
      </c>
      <c r="E235" s="109">
        <v>399</v>
      </c>
      <c r="F235" s="109">
        <v>389.27</v>
      </c>
      <c r="G235" s="110">
        <f t="shared" si="14"/>
        <v>2.4385964912280733E-2</v>
      </c>
      <c r="H235" s="110"/>
      <c r="I235" s="110">
        <v>0</v>
      </c>
      <c r="J235" s="109">
        <f t="shared" si="15"/>
        <v>399</v>
      </c>
      <c r="K235" s="110">
        <f t="shared" si="16"/>
        <v>2.4385964912280733E-2</v>
      </c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 spans="1:26" ht="15.75" customHeight="1" x14ac:dyDescent="0.3">
      <c r="A236" s="107" t="s">
        <v>2692</v>
      </c>
      <c r="B236" s="107" t="s">
        <v>3152</v>
      </c>
      <c r="C236" s="107" t="s">
        <v>3153</v>
      </c>
      <c r="D236" s="108" t="s">
        <v>13</v>
      </c>
      <c r="E236" s="109">
        <v>499</v>
      </c>
      <c r="F236" s="109">
        <v>486.83</v>
      </c>
      <c r="G236" s="110">
        <f t="shared" si="14"/>
        <v>2.4388777555110264E-2</v>
      </c>
      <c r="H236" s="110"/>
      <c r="I236" s="110">
        <v>0</v>
      </c>
      <c r="J236" s="109">
        <f t="shared" si="15"/>
        <v>499</v>
      </c>
      <c r="K236" s="110">
        <f t="shared" si="16"/>
        <v>2.4388777555110264E-2</v>
      </c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 spans="1:26" ht="15.75" customHeight="1" x14ac:dyDescent="0.3">
      <c r="A237" s="107" t="s">
        <v>2692</v>
      </c>
      <c r="B237" s="107" t="s">
        <v>3154</v>
      </c>
      <c r="C237" s="107" t="s">
        <v>3155</v>
      </c>
      <c r="D237" s="108" t="s">
        <v>13</v>
      </c>
      <c r="E237" s="109">
        <v>399</v>
      </c>
      <c r="F237" s="109">
        <v>389.27</v>
      </c>
      <c r="G237" s="110">
        <f t="shared" si="14"/>
        <v>2.4385964912280733E-2</v>
      </c>
      <c r="H237" s="110"/>
      <c r="I237" s="110">
        <v>0</v>
      </c>
      <c r="J237" s="109">
        <f t="shared" si="15"/>
        <v>399</v>
      </c>
      <c r="K237" s="110">
        <f t="shared" si="16"/>
        <v>2.4385964912280733E-2</v>
      </c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 spans="1:26" ht="15.75" customHeight="1" x14ac:dyDescent="0.3">
      <c r="A238" s="107" t="s">
        <v>2692</v>
      </c>
      <c r="B238" s="107" t="s">
        <v>3156</v>
      </c>
      <c r="C238" s="107" t="s">
        <v>3157</v>
      </c>
      <c r="D238" s="108" t="s">
        <v>13</v>
      </c>
      <c r="E238" s="109">
        <v>439</v>
      </c>
      <c r="F238" s="109">
        <v>428.29</v>
      </c>
      <c r="G238" s="110">
        <f t="shared" si="14"/>
        <v>2.4396355353075161E-2</v>
      </c>
      <c r="H238" s="110"/>
      <c r="I238" s="110">
        <v>0</v>
      </c>
      <c r="J238" s="109">
        <f t="shared" si="15"/>
        <v>439</v>
      </c>
      <c r="K238" s="110">
        <f t="shared" si="16"/>
        <v>2.4396355353075161E-2</v>
      </c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 spans="1:26" ht="15.75" customHeight="1" x14ac:dyDescent="0.3">
      <c r="A239" s="107" t="s">
        <v>2692</v>
      </c>
      <c r="B239" s="107" t="s">
        <v>3158</v>
      </c>
      <c r="C239" s="107" t="s">
        <v>3159</v>
      </c>
      <c r="D239" s="108" t="s">
        <v>13</v>
      </c>
      <c r="E239" s="109">
        <v>439</v>
      </c>
      <c r="F239" s="109">
        <v>428.29</v>
      </c>
      <c r="G239" s="110">
        <f t="shared" si="14"/>
        <v>2.4396355353075161E-2</v>
      </c>
      <c r="H239" s="110"/>
      <c r="I239" s="110">
        <v>0</v>
      </c>
      <c r="J239" s="109">
        <f t="shared" si="15"/>
        <v>439</v>
      </c>
      <c r="K239" s="110">
        <f t="shared" si="16"/>
        <v>2.4396355353075161E-2</v>
      </c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 spans="1:26" ht="15.75" customHeight="1" x14ac:dyDescent="0.3">
      <c r="A240" s="107" t="s">
        <v>2692</v>
      </c>
      <c r="B240" s="107" t="s">
        <v>3160</v>
      </c>
      <c r="C240" s="107" t="s">
        <v>3161</v>
      </c>
      <c r="D240" s="108" t="s">
        <v>13</v>
      </c>
      <c r="E240" s="109">
        <v>744</v>
      </c>
      <c r="F240" s="109">
        <v>725.85</v>
      </c>
      <c r="G240" s="110">
        <f t="shared" si="14"/>
        <v>2.4395161290322598E-2</v>
      </c>
      <c r="H240" s="110"/>
      <c r="I240" s="110">
        <v>0</v>
      </c>
      <c r="J240" s="109">
        <f t="shared" si="15"/>
        <v>744</v>
      </c>
      <c r="K240" s="110">
        <f t="shared" si="16"/>
        <v>2.4395161290322598E-2</v>
      </c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 spans="1:26" ht="15.75" customHeight="1" x14ac:dyDescent="0.3">
      <c r="A241" s="107" t="s">
        <v>2692</v>
      </c>
      <c r="B241" s="107" t="s">
        <v>3162</v>
      </c>
      <c r="C241" s="107" t="s">
        <v>3163</v>
      </c>
      <c r="D241" s="108" t="s">
        <v>13</v>
      </c>
      <c r="E241" s="109">
        <v>399</v>
      </c>
      <c r="F241" s="109">
        <v>389.27</v>
      </c>
      <c r="G241" s="110">
        <f t="shared" si="14"/>
        <v>2.4385964912280733E-2</v>
      </c>
      <c r="H241" s="110"/>
      <c r="I241" s="110">
        <v>0</v>
      </c>
      <c r="J241" s="109">
        <f t="shared" si="15"/>
        <v>399</v>
      </c>
      <c r="K241" s="110">
        <f t="shared" si="16"/>
        <v>2.4385964912280733E-2</v>
      </c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 spans="1:26" ht="15.75" customHeight="1" x14ac:dyDescent="0.3">
      <c r="A242" s="107" t="s">
        <v>2692</v>
      </c>
      <c r="B242" s="107" t="s">
        <v>3164</v>
      </c>
      <c r="C242" s="107" t="s">
        <v>3165</v>
      </c>
      <c r="D242" s="108" t="s">
        <v>13</v>
      </c>
      <c r="E242" s="109">
        <v>599</v>
      </c>
      <c r="F242" s="109">
        <v>584.39</v>
      </c>
      <c r="G242" s="110">
        <f t="shared" si="14"/>
        <v>2.4390651085141934E-2</v>
      </c>
      <c r="H242" s="110"/>
      <c r="I242" s="110">
        <v>0</v>
      </c>
      <c r="J242" s="109">
        <f t="shared" si="15"/>
        <v>599</v>
      </c>
      <c r="K242" s="110">
        <f t="shared" si="16"/>
        <v>2.4390651085141934E-2</v>
      </c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 spans="1:26" ht="15.75" customHeight="1" x14ac:dyDescent="0.3">
      <c r="A243" s="107" t="s">
        <v>2692</v>
      </c>
      <c r="B243" s="107" t="s">
        <v>3166</v>
      </c>
      <c r="C243" s="107" t="s">
        <v>3167</v>
      </c>
      <c r="D243" s="108" t="s">
        <v>13</v>
      </c>
      <c r="E243" s="109">
        <v>18</v>
      </c>
      <c r="F243" s="109">
        <v>17.559999999999999</v>
      </c>
      <c r="G243" s="110">
        <f t="shared" si="14"/>
        <v>2.4444444444444491E-2</v>
      </c>
      <c r="H243" s="110"/>
      <c r="I243" s="110">
        <v>0</v>
      </c>
      <c r="J243" s="109">
        <f t="shared" si="15"/>
        <v>18</v>
      </c>
      <c r="K243" s="110">
        <f t="shared" si="16"/>
        <v>2.4444444444444491E-2</v>
      </c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 spans="1:26" ht="15.75" customHeight="1" x14ac:dyDescent="0.3">
      <c r="A244" s="107" t="s">
        <v>2692</v>
      </c>
      <c r="B244" s="107" t="s">
        <v>3168</v>
      </c>
      <c r="C244" s="107" t="s">
        <v>3169</v>
      </c>
      <c r="D244" s="108" t="s">
        <v>13</v>
      </c>
      <c r="E244" s="109">
        <v>57</v>
      </c>
      <c r="F244" s="109">
        <v>55.61</v>
      </c>
      <c r="G244" s="110">
        <f t="shared" si="14"/>
        <v>2.4385964912280733E-2</v>
      </c>
      <c r="H244" s="110"/>
      <c r="I244" s="110">
        <v>0</v>
      </c>
      <c r="J244" s="109">
        <f t="shared" si="15"/>
        <v>57</v>
      </c>
      <c r="K244" s="110">
        <f t="shared" si="16"/>
        <v>2.4385964912280733E-2</v>
      </c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 spans="1:26" ht="15.75" customHeight="1" x14ac:dyDescent="0.3">
      <c r="A245" s="107" t="s">
        <v>2692</v>
      </c>
      <c r="B245" s="107" t="s">
        <v>3170</v>
      </c>
      <c r="C245" s="107" t="s">
        <v>3171</v>
      </c>
      <c r="D245" s="108" t="s">
        <v>13</v>
      </c>
      <c r="E245" s="109">
        <v>24</v>
      </c>
      <c r="F245" s="109">
        <v>23.41</v>
      </c>
      <c r="G245" s="110">
        <f t="shared" si="14"/>
        <v>2.458333333333329E-2</v>
      </c>
      <c r="H245" s="110"/>
      <c r="I245" s="110">
        <v>0</v>
      </c>
      <c r="J245" s="109">
        <f t="shared" si="15"/>
        <v>24</v>
      </c>
      <c r="K245" s="110">
        <f t="shared" si="16"/>
        <v>2.458333333333329E-2</v>
      </c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 spans="1:26" ht="15.75" customHeight="1" x14ac:dyDescent="0.3">
      <c r="A246" s="107" t="s">
        <v>2692</v>
      </c>
      <c r="B246" s="107" t="s">
        <v>3172</v>
      </c>
      <c r="C246" s="107" t="s">
        <v>3173</v>
      </c>
      <c r="D246" s="108" t="s">
        <v>13</v>
      </c>
      <c r="E246" s="109">
        <v>24</v>
      </c>
      <c r="F246" s="109">
        <v>23.41</v>
      </c>
      <c r="G246" s="110">
        <f t="shared" si="14"/>
        <v>2.458333333333329E-2</v>
      </c>
      <c r="H246" s="110"/>
      <c r="I246" s="110">
        <v>0</v>
      </c>
      <c r="J246" s="109">
        <f t="shared" si="15"/>
        <v>24</v>
      </c>
      <c r="K246" s="110">
        <f t="shared" si="16"/>
        <v>2.458333333333329E-2</v>
      </c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 spans="1:26" ht="15.75" customHeight="1" x14ac:dyDescent="0.3">
      <c r="A247" s="107" t="s">
        <v>2692</v>
      </c>
      <c r="B247" s="111" t="s">
        <v>3174</v>
      </c>
      <c r="C247" s="107" t="s">
        <v>3175</v>
      </c>
      <c r="D247" s="108" t="s">
        <v>13</v>
      </c>
      <c r="E247" s="109">
        <v>62</v>
      </c>
      <c r="F247" s="109">
        <v>60.49</v>
      </c>
      <c r="G247" s="110">
        <f t="shared" si="14"/>
        <v>2.4354838709677362E-2</v>
      </c>
      <c r="H247" s="110"/>
      <c r="I247" s="110">
        <v>0</v>
      </c>
      <c r="J247" s="109">
        <f t="shared" si="15"/>
        <v>62</v>
      </c>
      <c r="K247" s="110">
        <f t="shared" si="16"/>
        <v>2.4354838709677362E-2</v>
      </c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 spans="1:26" ht="15.75" customHeight="1" x14ac:dyDescent="0.3">
      <c r="A248" s="107" t="s">
        <v>2692</v>
      </c>
      <c r="B248" s="107" t="s">
        <v>3176</v>
      </c>
      <c r="C248" s="107" t="s">
        <v>3177</v>
      </c>
      <c r="D248" s="108" t="s">
        <v>13</v>
      </c>
      <c r="E248" s="109">
        <v>314</v>
      </c>
      <c r="F248" s="109">
        <v>306.33999999999997</v>
      </c>
      <c r="G248" s="110">
        <f t="shared" si="14"/>
        <v>2.4394904458598821E-2</v>
      </c>
      <c r="H248" s="110"/>
      <c r="I248" s="110">
        <v>0</v>
      </c>
      <c r="J248" s="109">
        <f t="shared" si="15"/>
        <v>314</v>
      </c>
      <c r="K248" s="110">
        <f t="shared" si="16"/>
        <v>2.4394904458598821E-2</v>
      </c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 spans="1:26" ht="15.75" customHeight="1" x14ac:dyDescent="0.3">
      <c r="A249" s="107" t="s">
        <v>2692</v>
      </c>
      <c r="B249" s="107" t="s">
        <v>3178</v>
      </c>
      <c r="C249" s="107" t="s">
        <v>3179</v>
      </c>
      <c r="D249" s="108" t="s">
        <v>13</v>
      </c>
      <c r="E249" s="109">
        <v>83</v>
      </c>
      <c r="F249" s="109">
        <v>80.98</v>
      </c>
      <c r="G249" s="110">
        <f t="shared" si="14"/>
        <v>2.4337349397590358E-2</v>
      </c>
      <c r="H249" s="110"/>
      <c r="I249" s="110">
        <v>0</v>
      </c>
      <c r="J249" s="109">
        <f t="shared" si="15"/>
        <v>83</v>
      </c>
      <c r="K249" s="110">
        <f t="shared" si="16"/>
        <v>2.4337349397590358E-2</v>
      </c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 spans="1:26" ht="15.75" customHeight="1" x14ac:dyDescent="0.3">
      <c r="A250" s="107" t="s">
        <v>2692</v>
      </c>
      <c r="B250" s="107" t="s">
        <v>3180</v>
      </c>
      <c r="C250" s="107" t="s">
        <v>3181</v>
      </c>
      <c r="D250" s="108" t="s">
        <v>13</v>
      </c>
      <c r="E250" s="109">
        <v>156</v>
      </c>
      <c r="F250" s="109">
        <v>152.19999999999999</v>
      </c>
      <c r="G250" s="110">
        <f t="shared" si="14"/>
        <v>2.4358974358974383E-2</v>
      </c>
      <c r="H250" s="110"/>
      <c r="I250" s="110">
        <v>0</v>
      </c>
      <c r="J250" s="109">
        <f t="shared" si="15"/>
        <v>156</v>
      </c>
      <c r="K250" s="110">
        <f t="shared" si="16"/>
        <v>2.4358974358974383E-2</v>
      </c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 spans="1:26" ht="15.75" customHeight="1" x14ac:dyDescent="0.3">
      <c r="A251" s="107" t="s">
        <v>2692</v>
      </c>
      <c r="B251" s="107" t="s">
        <v>3182</v>
      </c>
      <c r="C251" s="107" t="s">
        <v>3183</v>
      </c>
      <c r="D251" s="108" t="s">
        <v>13</v>
      </c>
      <c r="E251" s="109">
        <v>20</v>
      </c>
      <c r="F251" s="109">
        <v>19.510000000000002</v>
      </c>
      <c r="G251" s="110">
        <f t="shared" si="14"/>
        <v>2.4499999999999966E-2</v>
      </c>
      <c r="H251" s="110"/>
      <c r="I251" s="110">
        <v>0</v>
      </c>
      <c r="J251" s="109">
        <f t="shared" si="15"/>
        <v>20</v>
      </c>
      <c r="K251" s="110">
        <f t="shared" si="16"/>
        <v>2.4499999999999966E-2</v>
      </c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 spans="1:26" ht="15.75" customHeight="1" x14ac:dyDescent="0.3">
      <c r="A252" s="107" t="s">
        <v>2692</v>
      </c>
      <c r="B252" s="107" t="s">
        <v>3184</v>
      </c>
      <c r="C252" s="107" t="s">
        <v>3185</v>
      </c>
      <c r="D252" s="108" t="s">
        <v>13</v>
      </c>
      <c r="E252" s="109">
        <v>12</v>
      </c>
      <c r="F252" s="109">
        <v>11.71</v>
      </c>
      <c r="G252" s="110">
        <f t="shared" si="14"/>
        <v>2.4166666666666559E-2</v>
      </c>
      <c r="H252" s="110"/>
      <c r="I252" s="110">
        <v>0</v>
      </c>
      <c r="J252" s="109">
        <f t="shared" si="15"/>
        <v>12</v>
      </c>
      <c r="K252" s="110">
        <f t="shared" si="16"/>
        <v>2.4166666666666559E-2</v>
      </c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 spans="1:26" ht="15.75" customHeight="1" x14ac:dyDescent="0.3">
      <c r="A253" s="107" t="s">
        <v>2692</v>
      </c>
      <c r="B253" s="107" t="s">
        <v>3186</v>
      </c>
      <c r="C253" s="107" t="s">
        <v>3187</v>
      </c>
      <c r="D253" s="108" t="s">
        <v>13</v>
      </c>
      <c r="E253" s="109">
        <v>146</v>
      </c>
      <c r="F253" s="109">
        <v>142.44</v>
      </c>
      <c r="G253" s="110">
        <f t="shared" si="14"/>
        <v>2.4383561643835594E-2</v>
      </c>
      <c r="H253" s="110"/>
      <c r="I253" s="110">
        <v>0</v>
      </c>
      <c r="J253" s="109">
        <f t="shared" si="15"/>
        <v>146</v>
      </c>
      <c r="K253" s="110">
        <f t="shared" si="16"/>
        <v>2.4383561643835594E-2</v>
      </c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 spans="1:26" ht="15.75" customHeight="1" x14ac:dyDescent="0.3">
      <c r="A254" s="107" t="s">
        <v>2692</v>
      </c>
      <c r="B254" s="107" t="s">
        <v>3188</v>
      </c>
      <c r="C254" s="107" t="s">
        <v>3189</v>
      </c>
      <c r="D254" s="108" t="s">
        <v>13</v>
      </c>
      <c r="E254" s="109">
        <v>194</v>
      </c>
      <c r="F254" s="109">
        <v>189.27</v>
      </c>
      <c r="G254" s="110">
        <f t="shared" si="14"/>
        <v>2.4381443298969074E-2</v>
      </c>
      <c r="H254" s="110"/>
      <c r="I254" s="110">
        <v>0</v>
      </c>
      <c r="J254" s="109">
        <f t="shared" si="15"/>
        <v>194</v>
      </c>
      <c r="K254" s="110">
        <f t="shared" si="16"/>
        <v>2.4381443298969074E-2</v>
      </c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 spans="1:26" ht="15.75" customHeight="1" x14ac:dyDescent="0.3">
      <c r="A255" s="107" t="s">
        <v>2692</v>
      </c>
      <c r="B255" s="107" t="s">
        <v>3190</v>
      </c>
      <c r="C255" s="107" t="s">
        <v>3191</v>
      </c>
      <c r="D255" s="108" t="s">
        <v>13</v>
      </c>
      <c r="E255" s="109">
        <v>131</v>
      </c>
      <c r="F255" s="109">
        <v>127.8</v>
      </c>
      <c r="G255" s="110">
        <f t="shared" si="14"/>
        <v>2.4427480916030531E-2</v>
      </c>
      <c r="H255" s="110"/>
      <c r="I255" s="110">
        <v>0</v>
      </c>
      <c r="J255" s="109">
        <f t="shared" si="15"/>
        <v>131</v>
      </c>
      <c r="K255" s="110">
        <f t="shared" si="16"/>
        <v>2.4427480916030531E-2</v>
      </c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 spans="1:26" ht="15.75" customHeight="1" x14ac:dyDescent="0.3">
      <c r="A256" s="107" t="s">
        <v>2692</v>
      </c>
      <c r="B256" s="107" t="s">
        <v>3192</v>
      </c>
      <c r="C256" s="107" t="s">
        <v>3193</v>
      </c>
      <c r="D256" s="108" t="s">
        <v>13</v>
      </c>
      <c r="E256" s="109">
        <v>41</v>
      </c>
      <c r="F256" s="109">
        <v>40</v>
      </c>
      <c r="G256" s="110">
        <f t="shared" si="14"/>
        <v>2.4390243902439046E-2</v>
      </c>
      <c r="H256" s="110"/>
      <c r="I256" s="110">
        <v>0</v>
      </c>
      <c r="J256" s="109">
        <f t="shared" si="15"/>
        <v>41</v>
      </c>
      <c r="K256" s="110">
        <f t="shared" si="16"/>
        <v>2.4390243902439046E-2</v>
      </c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 spans="1:26" ht="15.75" customHeight="1" x14ac:dyDescent="0.3">
      <c r="A257" s="107" t="s">
        <v>2692</v>
      </c>
      <c r="B257" s="107" t="s">
        <v>3194</v>
      </c>
      <c r="C257" s="107" t="s">
        <v>3195</v>
      </c>
      <c r="D257" s="108" t="s">
        <v>13</v>
      </c>
      <c r="E257" s="109">
        <v>42</v>
      </c>
      <c r="F257" s="109">
        <v>40.98</v>
      </c>
      <c r="G257" s="110">
        <f t="shared" si="14"/>
        <v>2.4285714285714355E-2</v>
      </c>
      <c r="H257" s="110"/>
      <c r="I257" s="110">
        <v>0</v>
      </c>
      <c r="J257" s="109">
        <f t="shared" si="15"/>
        <v>42</v>
      </c>
      <c r="K257" s="110">
        <f t="shared" si="16"/>
        <v>2.4285714285714355E-2</v>
      </c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 spans="1:26" ht="15.75" customHeight="1" x14ac:dyDescent="0.3">
      <c r="A258" s="107" t="s">
        <v>2692</v>
      </c>
      <c r="B258" s="107" t="s">
        <v>3196</v>
      </c>
      <c r="C258" s="107" t="s">
        <v>3036</v>
      </c>
      <c r="D258" s="108" t="s">
        <v>13</v>
      </c>
      <c r="E258" s="109">
        <v>215</v>
      </c>
      <c r="F258" s="109">
        <v>209.76</v>
      </c>
      <c r="G258" s="110">
        <f t="shared" si="14"/>
        <v>2.4372093023255825E-2</v>
      </c>
      <c r="H258" s="110"/>
      <c r="I258" s="110">
        <v>0</v>
      </c>
      <c r="J258" s="109">
        <f t="shared" si="15"/>
        <v>215</v>
      </c>
      <c r="K258" s="110">
        <f t="shared" si="16"/>
        <v>2.4372093023255825E-2</v>
      </c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 spans="1:26" ht="15.75" customHeight="1" x14ac:dyDescent="0.3">
      <c r="A259" s="107" t="s">
        <v>2692</v>
      </c>
      <c r="B259" s="107" t="s">
        <v>3197</v>
      </c>
      <c r="C259" s="107" t="s">
        <v>3198</v>
      </c>
      <c r="D259" s="108" t="s">
        <v>13</v>
      </c>
      <c r="E259" s="109">
        <v>29</v>
      </c>
      <c r="F259" s="109">
        <v>28.29</v>
      </c>
      <c r="G259" s="110">
        <f t="shared" si="14"/>
        <v>2.4482758620689715E-2</v>
      </c>
      <c r="H259" s="110"/>
      <c r="I259" s="110">
        <v>0</v>
      </c>
      <c r="J259" s="109">
        <f t="shared" si="15"/>
        <v>29</v>
      </c>
      <c r="K259" s="110">
        <f t="shared" si="16"/>
        <v>2.4482758620689715E-2</v>
      </c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 spans="1:26" ht="15.75" customHeight="1" x14ac:dyDescent="0.3">
      <c r="A260" s="107" t="s">
        <v>2692</v>
      </c>
      <c r="B260" s="107" t="s">
        <v>3199</v>
      </c>
      <c r="C260" s="107" t="s">
        <v>3200</v>
      </c>
      <c r="D260" s="108" t="s">
        <v>13</v>
      </c>
      <c r="E260" s="109">
        <v>439.56</v>
      </c>
      <c r="F260" s="109">
        <v>446</v>
      </c>
      <c r="G260" s="110">
        <f t="shared" si="14"/>
        <v>-1.4651014651014593E-2</v>
      </c>
      <c r="H260" s="110"/>
      <c r="I260" s="110">
        <v>0</v>
      </c>
      <c r="J260" s="109">
        <f t="shared" si="15"/>
        <v>439.56</v>
      </c>
      <c r="K260" s="110">
        <f t="shared" si="16"/>
        <v>-1.4651014651014593E-2</v>
      </c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 spans="1:26" ht="15.75" customHeight="1" x14ac:dyDescent="0.3">
      <c r="A261" s="107" t="s">
        <v>2692</v>
      </c>
      <c r="B261" s="107" t="s">
        <v>3201</v>
      </c>
      <c r="C261" s="107" t="s">
        <v>3202</v>
      </c>
      <c r="D261" s="108" t="s">
        <v>13</v>
      </c>
      <c r="E261" s="109">
        <v>58.4</v>
      </c>
      <c r="F261" s="109">
        <v>56.98</v>
      </c>
      <c r="G261" s="110">
        <f t="shared" si="14"/>
        <v>2.4315068493150682E-2</v>
      </c>
      <c r="H261" s="110"/>
      <c r="I261" s="110">
        <v>0</v>
      </c>
      <c r="J261" s="109">
        <f t="shared" si="15"/>
        <v>58.4</v>
      </c>
      <c r="K261" s="110">
        <f t="shared" si="16"/>
        <v>2.4315068493150682E-2</v>
      </c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 spans="1:26" ht="15.75" customHeight="1" x14ac:dyDescent="0.3">
      <c r="A262" s="107" t="s">
        <v>2692</v>
      </c>
      <c r="B262" s="107" t="s">
        <v>3203</v>
      </c>
      <c r="C262" s="107" t="s">
        <v>3204</v>
      </c>
      <c r="D262" s="108" t="s">
        <v>13</v>
      </c>
      <c r="E262" s="109">
        <v>13</v>
      </c>
      <c r="F262" s="109">
        <v>12.68</v>
      </c>
      <c r="G262" s="110">
        <f t="shared" si="14"/>
        <v>2.4615384615384595E-2</v>
      </c>
      <c r="H262" s="110"/>
      <c r="I262" s="110">
        <v>0</v>
      </c>
      <c r="J262" s="109">
        <f t="shared" si="15"/>
        <v>13</v>
      </c>
      <c r="K262" s="110">
        <f t="shared" si="16"/>
        <v>2.4615384615384595E-2</v>
      </c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 spans="1:26" ht="15.75" customHeight="1" x14ac:dyDescent="0.3">
      <c r="A263" s="107" t="s">
        <v>2692</v>
      </c>
      <c r="B263" s="107" t="s">
        <v>3205</v>
      </c>
      <c r="C263" s="107" t="s">
        <v>3206</v>
      </c>
      <c r="D263" s="108" t="s">
        <v>13</v>
      </c>
      <c r="E263" s="109">
        <v>34</v>
      </c>
      <c r="F263" s="109">
        <v>33.17</v>
      </c>
      <c r="G263" s="110">
        <f t="shared" si="14"/>
        <v>2.4411764705882355E-2</v>
      </c>
      <c r="H263" s="110"/>
      <c r="I263" s="110">
        <v>0</v>
      </c>
      <c r="J263" s="109">
        <f t="shared" si="15"/>
        <v>34</v>
      </c>
      <c r="K263" s="110">
        <f t="shared" si="16"/>
        <v>2.4411764705882355E-2</v>
      </c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 spans="1:26" ht="15.75" customHeight="1" x14ac:dyDescent="0.3">
      <c r="A264" s="107" t="s">
        <v>2692</v>
      </c>
      <c r="B264" s="107" t="s">
        <v>3207</v>
      </c>
      <c r="C264" s="107" t="s">
        <v>3208</v>
      </c>
      <c r="D264" s="108" t="s">
        <v>13</v>
      </c>
      <c r="E264" s="109">
        <v>450</v>
      </c>
      <c r="F264" s="109">
        <v>439.02</v>
      </c>
      <c r="G264" s="110">
        <f t="shared" si="14"/>
        <v>2.4400000000000088E-2</v>
      </c>
      <c r="H264" s="110"/>
      <c r="I264" s="110">
        <v>0</v>
      </c>
      <c r="J264" s="109">
        <f t="shared" si="15"/>
        <v>450</v>
      </c>
      <c r="K264" s="110">
        <f t="shared" si="16"/>
        <v>2.4400000000000088E-2</v>
      </c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 spans="1:26" ht="15.75" customHeight="1" x14ac:dyDescent="0.3">
      <c r="A265" s="107" t="s">
        <v>2692</v>
      </c>
      <c r="B265" s="107" t="s">
        <v>3209</v>
      </c>
      <c r="C265" s="107" t="s">
        <v>3210</v>
      </c>
      <c r="D265" s="108" t="s">
        <v>13</v>
      </c>
      <c r="E265" s="109">
        <v>122</v>
      </c>
      <c r="F265" s="109">
        <v>119.02</v>
      </c>
      <c r="G265" s="110">
        <f t="shared" si="14"/>
        <v>2.4426229508196728E-2</v>
      </c>
      <c r="H265" s="110"/>
      <c r="I265" s="110">
        <v>0</v>
      </c>
      <c r="J265" s="109">
        <f t="shared" si="15"/>
        <v>122</v>
      </c>
      <c r="K265" s="110">
        <f t="shared" si="16"/>
        <v>2.4426229508196728E-2</v>
      </c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 spans="1:26" ht="15.75" customHeight="1" x14ac:dyDescent="0.3">
      <c r="A266" s="107" t="s">
        <v>2692</v>
      </c>
      <c r="B266" s="107" t="s">
        <v>3211</v>
      </c>
      <c r="C266" s="107" t="s">
        <v>3212</v>
      </c>
      <c r="D266" s="108" t="s">
        <v>13</v>
      </c>
      <c r="E266" s="109">
        <v>99</v>
      </c>
      <c r="F266" s="109">
        <v>96.59</v>
      </c>
      <c r="G266" s="110">
        <f t="shared" si="14"/>
        <v>2.4343434343434334E-2</v>
      </c>
      <c r="H266" s="110"/>
      <c r="I266" s="110">
        <v>0</v>
      </c>
      <c r="J266" s="109">
        <f t="shared" si="15"/>
        <v>99</v>
      </c>
      <c r="K266" s="110">
        <f t="shared" si="16"/>
        <v>2.4343434343434334E-2</v>
      </c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 spans="1:26" ht="15.75" customHeight="1" x14ac:dyDescent="0.3">
      <c r="A267" s="107" t="s">
        <v>2692</v>
      </c>
      <c r="B267" s="107" t="s">
        <v>3213</v>
      </c>
      <c r="C267" s="107" t="s">
        <v>3214</v>
      </c>
      <c r="D267" s="108" t="s">
        <v>13</v>
      </c>
      <c r="E267" s="109">
        <v>196</v>
      </c>
      <c r="F267" s="109">
        <v>191.22</v>
      </c>
      <c r="G267" s="110">
        <f t="shared" si="14"/>
        <v>2.4387755102040831E-2</v>
      </c>
      <c r="H267" s="110"/>
      <c r="I267" s="110">
        <v>0</v>
      </c>
      <c r="J267" s="109">
        <f t="shared" si="15"/>
        <v>196</v>
      </c>
      <c r="K267" s="110">
        <f t="shared" si="16"/>
        <v>2.4387755102040831E-2</v>
      </c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 spans="1:26" ht="15.75" customHeight="1" x14ac:dyDescent="0.3">
      <c r="A268" s="107" t="s">
        <v>2692</v>
      </c>
      <c r="B268" s="107" t="s">
        <v>3215</v>
      </c>
      <c r="C268" s="107" t="s">
        <v>3216</v>
      </c>
      <c r="D268" s="108" t="s">
        <v>13</v>
      </c>
      <c r="E268" s="109">
        <v>218</v>
      </c>
      <c r="F268" s="109">
        <v>212.68</v>
      </c>
      <c r="G268" s="110">
        <f t="shared" si="14"/>
        <v>2.4403669724770594E-2</v>
      </c>
      <c r="H268" s="110"/>
      <c r="I268" s="110">
        <v>0</v>
      </c>
      <c r="J268" s="109">
        <f t="shared" si="15"/>
        <v>218</v>
      </c>
      <c r="K268" s="110">
        <f t="shared" si="16"/>
        <v>2.4403669724770594E-2</v>
      </c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 spans="1:26" ht="15.75" customHeight="1" x14ac:dyDescent="0.3">
      <c r="A269" s="107" t="s">
        <v>2692</v>
      </c>
      <c r="B269" s="107" t="s">
        <v>3217</v>
      </c>
      <c r="C269" s="107" t="s">
        <v>3218</v>
      </c>
      <c r="D269" s="108" t="s">
        <v>13</v>
      </c>
      <c r="E269" s="109">
        <v>218</v>
      </c>
      <c r="F269" s="109">
        <v>212.68</v>
      </c>
      <c r="G269" s="110">
        <f t="shared" si="14"/>
        <v>2.4403669724770594E-2</v>
      </c>
      <c r="H269" s="110"/>
      <c r="I269" s="110">
        <v>0</v>
      </c>
      <c r="J269" s="109">
        <f t="shared" si="15"/>
        <v>218</v>
      </c>
      <c r="K269" s="110">
        <f t="shared" si="16"/>
        <v>2.4403669724770594E-2</v>
      </c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 spans="1:26" ht="15.75" customHeight="1" x14ac:dyDescent="0.3">
      <c r="A270" s="107" t="s">
        <v>2692</v>
      </c>
      <c r="B270" s="107" t="s">
        <v>3219</v>
      </c>
      <c r="C270" s="107" t="s">
        <v>3220</v>
      </c>
      <c r="D270" s="108" t="s">
        <v>13</v>
      </c>
      <c r="E270" s="109">
        <v>1567</v>
      </c>
      <c r="F270" s="109">
        <v>1528.78</v>
      </c>
      <c r="G270" s="110">
        <f t="shared" si="14"/>
        <v>2.4390555201021069E-2</v>
      </c>
      <c r="H270" s="110"/>
      <c r="I270" s="110">
        <v>0</v>
      </c>
      <c r="J270" s="109">
        <f t="shared" si="15"/>
        <v>1567</v>
      </c>
      <c r="K270" s="110">
        <f t="shared" si="16"/>
        <v>2.4390555201021069E-2</v>
      </c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 spans="1:26" ht="15.75" customHeight="1" x14ac:dyDescent="0.3">
      <c r="A271" s="107" t="s">
        <v>2692</v>
      </c>
      <c r="B271" s="107" t="s">
        <v>3221</v>
      </c>
      <c r="C271" s="107" t="s">
        <v>3222</v>
      </c>
      <c r="D271" s="108" t="s">
        <v>13</v>
      </c>
      <c r="E271" s="109">
        <v>661</v>
      </c>
      <c r="F271" s="109">
        <v>644.88</v>
      </c>
      <c r="G271" s="110">
        <f t="shared" si="14"/>
        <v>2.4387291981845749E-2</v>
      </c>
      <c r="H271" s="110"/>
      <c r="I271" s="110">
        <v>0</v>
      </c>
      <c r="J271" s="109">
        <f t="shared" si="15"/>
        <v>661</v>
      </c>
      <c r="K271" s="110">
        <f t="shared" si="16"/>
        <v>2.4387291981845749E-2</v>
      </c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 spans="1:26" ht="15.75" customHeight="1" x14ac:dyDescent="0.3">
      <c r="A272" s="112" t="s">
        <v>2692</v>
      </c>
      <c r="B272" s="112" t="s">
        <v>3223</v>
      </c>
      <c r="C272" s="107" t="s">
        <v>3224</v>
      </c>
      <c r="D272" s="114" t="s">
        <v>13</v>
      </c>
      <c r="E272" s="115">
        <v>29</v>
      </c>
      <c r="F272" s="115">
        <v>28.29</v>
      </c>
      <c r="G272" s="116">
        <f t="shared" si="14"/>
        <v>2.4482758620689715E-2</v>
      </c>
      <c r="H272" s="116"/>
      <c r="I272" s="116">
        <v>0</v>
      </c>
      <c r="J272" s="115">
        <f t="shared" si="15"/>
        <v>29</v>
      </c>
      <c r="K272" s="116">
        <f t="shared" si="16"/>
        <v>2.4482758620689715E-2</v>
      </c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 spans="1:26" ht="15.75" customHeight="1" x14ac:dyDescent="0.3">
      <c r="A273" s="107"/>
      <c r="B273" s="107"/>
      <c r="C273" s="107"/>
      <c r="D273" s="108"/>
      <c r="E273" s="109"/>
      <c r="F273" s="109"/>
      <c r="G273" s="107"/>
      <c r="H273" s="129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 spans="1:26" ht="15.75" customHeight="1" x14ac:dyDescent="0.3">
      <c r="A274" s="107"/>
      <c r="B274" s="107"/>
      <c r="C274" s="107"/>
      <c r="D274" s="108"/>
      <c r="E274" s="109"/>
      <c r="F274" s="109"/>
      <c r="G274" s="107"/>
      <c r="H274" s="129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 spans="1:26" ht="15.75" customHeight="1" x14ac:dyDescent="0.3">
      <c r="A275" s="107"/>
      <c r="B275" s="107"/>
      <c r="C275" s="107"/>
      <c r="D275" s="108"/>
      <c r="E275" s="109"/>
      <c r="F275" s="109"/>
      <c r="G275" s="107"/>
      <c r="H275" s="129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 spans="1:26" ht="15.75" customHeight="1" x14ac:dyDescent="0.3">
      <c r="A276" s="107"/>
      <c r="B276" s="107"/>
      <c r="C276" s="107"/>
      <c r="D276" s="108"/>
      <c r="E276" s="109"/>
      <c r="F276" s="109"/>
      <c r="G276" s="107"/>
      <c r="H276" s="129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 spans="1:26" ht="15.75" customHeight="1" x14ac:dyDescent="0.3">
      <c r="A277" s="107"/>
      <c r="B277" s="107"/>
      <c r="C277" s="107"/>
      <c r="D277" s="108"/>
      <c r="E277" s="109"/>
      <c r="F277" s="109"/>
      <c r="G277" s="107"/>
      <c r="H277" s="129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 spans="1:26" ht="15.75" customHeight="1" x14ac:dyDescent="0.3">
      <c r="A278" s="107"/>
      <c r="B278" s="107"/>
      <c r="C278" s="107"/>
      <c r="D278" s="108"/>
      <c r="E278" s="109"/>
      <c r="F278" s="109"/>
      <c r="G278" s="107"/>
      <c r="H278" s="129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 spans="1:26" ht="15.75" customHeight="1" x14ac:dyDescent="0.3">
      <c r="A279" s="107"/>
      <c r="B279" s="107"/>
      <c r="C279" s="107"/>
      <c r="D279" s="108"/>
      <c r="E279" s="109"/>
      <c r="F279" s="109"/>
      <c r="G279" s="107"/>
      <c r="H279" s="129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 spans="1:26" ht="15.75" customHeight="1" x14ac:dyDescent="0.3">
      <c r="A280" s="107"/>
      <c r="B280" s="107"/>
      <c r="C280" s="107"/>
      <c r="D280" s="108"/>
      <c r="E280" s="109"/>
      <c r="F280" s="109"/>
      <c r="G280" s="107"/>
      <c r="H280" s="129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 spans="1:26" ht="15.75" customHeight="1" x14ac:dyDescent="0.3">
      <c r="A281" s="107"/>
      <c r="B281" s="107"/>
      <c r="C281" s="107"/>
      <c r="D281" s="108"/>
      <c r="E281" s="109"/>
      <c r="F281" s="109"/>
      <c r="G281" s="107"/>
      <c r="H281" s="129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 spans="1:26" ht="15.75" customHeight="1" x14ac:dyDescent="0.3">
      <c r="A282" s="107"/>
      <c r="B282" s="107"/>
      <c r="C282" s="107"/>
      <c r="D282" s="108"/>
      <c r="E282" s="109"/>
      <c r="F282" s="109"/>
      <c r="G282" s="107"/>
      <c r="H282" s="129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 spans="1:26" ht="15.75" customHeight="1" x14ac:dyDescent="0.3">
      <c r="A283" s="107"/>
      <c r="B283" s="107"/>
      <c r="C283" s="107"/>
      <c r="D283" s="108"/>
      <c r="E283" s="109"/>
      <c r="F283" s="109"/>
      <c r="G283" s="107"/>
      <c r="H283" s="129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 spans="1:26" ht="15.75" customHeight="1" x14ac:dyDescent="0.3">
      <c r="A284" s="107"/>
      <c r="B284" s="107"/>
      <c r="C284" s="107"/>
      <c r="D284" s="108"/>
      <c r="E284" s="109"/>
      <c r="F284" s="109"/>
      <c r="G284" s="107"/>
      <c r="H284" s="129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 spans="1:26" ht="15.75" customHeight="1" x14ac:dyDescent="0.3">
      <c r="A285" s="107"/>
      <c r="B285" s="107"/>
      <c r="C285" s="107"/>
      <c r="D285" s="108"/>
      <c r="E285" s="109"/>
      <c r="F285" s="109"/>
      <c r="G285" s="107"/>
      <c r="H285" s="129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 spans="1:26" ht="15.75" customHeight="1" x14ac:dyDescent="0.3">
      <c r="A286" s="107"/>
      <c r="B286" s="107"/>
      <c r="C286" s="107"/>
      <c r="D286" s="108"/>
      <c r="E286" s="109"/>
      <c r="F286" s="109"/>
      <c r="G286" s="107"/>
      <c r="H286" s="129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 spans="1:26" ht="15.75" customHeight="1" x14ac:dyDescent="0.3">
      <c r="A287" s="107"/>
      <c r="B287" s="107"/>
      <c r="C287" s="107"/>
      <c r="D287" s="108"/>
      <c r="E287" s="109"/>
      <c r="F287" s="109"/>
      <c r="G287" s="107"/>
      <c r="H287" s="129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 spans="1:26" ht="15.75" customHeight="1" x14ac:dyDescent="0.3">
      <c r="A288" s="107"/>
      <c r="B288" s="107"/>
      <c r="C288" s="107"/>
      <c r="D288" s="108"/>
      <c r="E288" s="109"/>
      <c r="F288" s="109"/>
      <c r="G288" s="107"/>
      <c r="H288" s="129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 spans="1:26" ht="15.75" customHeight="1" x14ac:dyDescent="0.3">
      <c r="A289" s="107"/>
      <c r="B289" s="107"/>
      <c r="C289" s="107"/>
      <c r="D289" s="108"/>
      <c r="E289" s="109"/>
      <c r="F289" s="109"/>
      <c r="G289" s="107"/>
      <c r="H289" s="129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 spans="1:26" ht="15.75" customHeight="1" x14ac:dyDescent="0.3">
      <c r="A290" s="107"/>
      <c r="B290" s="107"/>
      <c r="C290" s="107"/>
      <c r="D290" s="108"/>
      <c r="E290" s="109"/>
      <c r="F290" s="109"/>
      <c r="G290" s="107"/>
      <c r="H290" s="129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 spans="1:26" ht="15.75" customHeight="1" x14ac:dyDescent="0.3">
      <c r="A291" s="107"/>
      <c r="B291" s="107"/>
      <c r="C291" s="107"/>
      <c r="D291" s="108"/>
      <c r="E291" s="109"/>
      <c r="F291" s="109"/>
      <c r="G291" s="107"/>
      <c r="H291" s="129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 spans="1:26" ht="15.75" customHeight="1" x14ac:dyDescent="0.3">
      <c r="A292" s="107"/>
      <c r="B292" s="107"/>
      <c r="C292" s="107"/>
      <c r="D292" s="108"/>
      <c r="E292" s="109"/>
      <c r="F292" s="109"/>
      <c r="G292" s="107"/>
      <c r="H292" s="129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 spans="1:26" ht="15.75" customHeight="1" x14ac:dyDescent="0.3">
      <c r="A293" s="107"/>
      <c r="B293" s="107"/>
      <c r="C293" s="107"/>
      <c r="D293" s="108"/>
      <c r="E293" s="109"/>
      <c r="F293" s="109"/>
      <c r="G293" s="107"/>
      <c r="H293" s="129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 spans="1:26" ht="15.75" customHeight="1" x14ac:dyDescent="0.3">
      <c r="A294" s="107"/>
      <c r="B294" s="107"/>
      <c r="C294" s="107"/>
      <c r="D294" s="108"/>
      <c r="E294" s="109"/>
      <c r="F294" s="109"/>
      <c r="G294" s="107"/>
      <c r="H294" s="129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 spans="1:26" ht="15.75" customHeight="1" x14ac:dyDescent="0.3">
      <c r="A295" s="107"/>
      <c r="B295" s="107"/>
      <c r="C295" s="107"/>
      <c r="D295" s="108"/>
      <c r="E295" s="109"/>
      <c r="F295" s="109"/>
      <c r="G295" s="107"/>
      <c r="H295" s="129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 spans="1:26" ht="15.75" customHeight="1" x14ac:dyDescent="0.3">
      <c r="A296" s="107"/>
      <c r="B296" s="107"/>
      <c r="C296" s="107"/>
      <c r="D296" s="108"/>
      <c r="E296" s="109"/>
      <c r="F296" s="109"/>
      <c r="G296" s="107"/>
      <c r="H296" s="129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 spans="1:26" ht="15.75" customHeight="1" x14ac:dyDescent="0.3">
      <c r="A297" s="107"/>
      <c r="B297" s="107"/>
      <c r="C297" s="107"/>
      <c r="D297" s="108"/>
      <c r="E297" s="109"/>
      <c r="F297" s="109"/>
      <c r="G297" s="107"/>
      <c r="H297" s="129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 spans="1:26" ht="15.75" customHeight="1" x14ac:dyDescent="0.3">
      <c r="A298" s="107"/>
      <c r="B298" s="107"/>
      <c r="C298" s="107"/>
      <c r="D298" s="108"/>
      <c r="E298" s="109"/>
      <c r="F298" s="109"/>
      <c r="G298" s="107"/>
      <c r="H298" s="129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 spans="1:26" ht="15.75" customHeight="1" x14ac:dyDescent="0.3">
      <c r="A299" s="107"/>
      <c r="B299" s="107"/>
      <c r="C299" s="107"/>
      <c r="D299" s="108"/>
      <c r="E299" s="109"/>
      <c r="F299" s="109"/>
      <c r="G299" s="107"/>
      <c r="H299" s="129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 spans="1:26" ht="15.75" customHeight="1" x14ac:dyDescent="0.3">
      <c r="A300" s="107"/>
      <c r="B300" s="107"/>
      <c r="C300" s="107"/>
      <c r="D300" s="108"/>
      <c r="E300" s="109"/>
      <c r="F300" s="109"/>
      <c r="G300" s="107"/>
      <c r="H300" s="129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 spans="1:26" ht="15.75" customHeight="1" x14ac:dyDescent="0.3">
      <c r="A301" s="107"/>
      <c r="B301" s="107"/>
      <c r="C301" s="107"/>
      <c r="D301" s="108"/>
      <c r="E301" s="109"/>
      <c r="F301" s="109"/>
      <c r="G301" s="107"/>
      <c r="H301" s="129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 spans="1:26" ht="15.75" customHeight="1" x14ac:dyDescent="0.3">
      <c r="A302" s="107"/>
      <c r="B302" s="107"/>
      <c r="C302" s="107"/>
      <c r="D302" s="108"/>
      <c r="E302" s="109"/>
      <c r="F302" s="109"/>
      <c r="G302" s="107"/>
      <c r="H302" s="129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 spans="1:26" ht="15.75" customHeight="1" x14ac:dyDescent="0.3">
      <c r="A303" s="107"/>
      <c r="B303" s="107"/>
      <c r="C303" s="107"/>
      <c r="D303" s="108"/>
      <c r="E303" s="109"/>
      <c r="F303" s="109"/>
      <c r="G303" s="107"/>
      <c r="H303" s="129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 spans="1:26" ht="15.75" customHeight="1" x14ac:dyDescent="0.3">
      <c r="A304" s="107"/>
      <c r="B304" s="107"/>
      <c r="C304" s="107"/>
      <c r="D304" s="108"/>
      <c r="E304" s="109"/>
      <c r="F304" s="109"/>
      <c r="G304" s="107"/>
      <c r="H304" s="129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 spans="1:26" ht="15.75" customHeight="1" x14ac:dyDescent="0.3">
      <c r="A305" s="107"/>
      <c r="B305" s="107"/>
      <c r="C305" s="107"/>
      <c r="D305" s="108"/>
      <c r="E305" s="109"/>
      <c r="F305" s="109"/>
      <c r="G305" s="107"/>
      <c r="H305" s="129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 spans="1:26" ht="15.75" customHeight="1" x14ac:dyDescent="0.3">
      <c r="A306" s="107"/>
      <c r="B306" s="107"/>
      <c r="C306" s="107"/>
      <c r="D306" s="108"/>
      <c r="E306" s="109"/>
      <c r="F306" s="109"/>
      <c r="G306" s="107"/>
      <c r="H306" s="129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 spans="1:26" ht="15.75" customHeight="1" x14ac:dyDescent="0.3">
      <c r="A307" s="107"/>
      <c r="B307" s="107"/>
      <c r="C307" s="107"/>
      <c r="D307" s="108"/>
      <c r="E307" s="109"/>
      <c r="F307" s="109"/>
      <c r="G307" s="107"/>
      <c r="H307" s="129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 spans="1:26" ht="15.75" customHeight="1" x14ac:dyDescent="0.3">
      <c r="A308" s="107"/>
      <c r="B308" s="107"/>
      <c r="C308" s="107"/>
      <c r="D308" s="108"/>
      <c r="E308" s="109"/>
      <c r="F308" s="109"/>
      <c r="G308" s="107"/>
      <c r="H308" s="129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 spans="1:26" ht="15.75" customHeight="1" x14ac:dyDescent="0.3">
      <c r="A309" s="107"/>
      <c r="B309" s="107"/>
      <c r="C309" s="107"/>
      <c r="D309" s="108"/>
      <c r="E309" s="109"/>
      <c r="F309" s="109"/>
      <c r="G309" s="107"/>
      <c r="H309" s="129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 spans="1:26" ht="15.75" customHeight="1" x14ac:dyDescent="0.3">
      <c r="A310" s="107"/>
      <c r="B310" s="107"/>
      <c r="C310" s="107"/>
      <c r="D310" s="108"/>
      <c r="E310" s="109"/>
      <c r="F310" s="109"/>
      <c r="G310" s="107"/>
      <c r="H310" s="129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 spans="1:26" ht="15.75" customHeight="1" x14ac:dyDescent="0.3">
      <c r="A311" s="107"/>
      <c r="B311" s="107"/>
      <c r="C311" s="107"/>
      <c r="D311" s="108"/>
      <c r="E311" s="109"/>
      <c r="F311" s="109"/>
      <c r="G311" s="107"/>
      <c r="H311" s="129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 spans="1:26" ht="15.75" customHeight="1" x14ac:dyDescent="0.3">
      <c r="A312" s="107"/>
      <c r="B312" s="107"/>
      <c r="C312" s="107"/>
      <c r="D312" s="108"/>
      <c r="E312" s="109"/>
      <c r="F312" s="109"/>
      <c r="G312" s="107"/>
      <c r="H312" s="129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 spans="1:26" ht="15.75" customHeight="1" x14ac:dyDescent="0.3">
      <c r="A313" s="107"/>
      <c r="B313" s="107"/>
      <c r="C313" s="107"/>
      <c r="D313" s="108"/>
      <c r="E313" s="109"/>
      <c r="F313" s="109"/>
      <c r="G313" s="107"/>
      <c r="H313" s="129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 spans="1:26" ht="15.75" customHeight="1" x14ac:dyDescent="0.3">
      <c r="A314" s="107"/>
      <c r="B314" s="107"/>
      <c r="C314" s="107"/>
      <c r="D314" s="108"/>
      <c r="E314" s="109"/>
      <c r="F314" s="109"/>
      <c r="G314" s="107"/>
      <c r="H314" s="129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 spans="1:26" ht="15.75" customHeight="1" x14ac:dyDescent="0.3">
      <c r="A315" s="107"/>
      <c r="B315" s="107"/>
      <c r="C315" s="107"/>
      <c r="D315" s="108"/>
      <c r="E315" s="109"/>
      <c r="F315" s="109"/>
      <c r="G315" s="107"/>
      <c r="H315" s="129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 spans="1:26" ht="15.75" customHeight="1" x14ac:dyDescent="0.3">
      <c r="A316" s="107"/>
      <c r="B316" s="107"/>
      <c r="C316" s="107"/>
      <c r="D316" s="108"/>
      <c r="E316" s="109"/>
      <c r="F316" s="109"/>
      <c r="G316" s="107"/>
      <c r="H316" s="129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 spans="1:26" ht="15.75" customHeight="1" x14ac:dyDescent="0.3">
      <c r="A317" s="107"/>
      <c r="B317" s="107"/>
      <c r="C317" s="107"/>
      <c r="D317" s="108"/>
      <c r="E317" s="109"/>
      <c r="F317" s="109"/>
      <c r="G317" s="107"/>
      <c r="H317" s="129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 spans="1:26" ht="15.75" customHeight="1" x14ac:dyDescent="0.3">
      <c r="A318" s="107"/>
      <c r="B318" s="107"/>
      <c r="C318" s="107"/>
      <c r="D318" s="108"/>
      <c r="E318" s="109"/>
      <c r="F318" s="109"/>
      <c r="G318" s="107"/>
      <c r="H318" s="129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 spans="1:26" ht="15.75" customHeight="1" x14ac:dyDescent="0.3">
      <c r="A319" s="107"/>
      <c r="B319" s="107"/>
      <c r="C319" s="107"/>
      <c r="D319" s="108"/>
      <c r="E319" s="109"/>
      <c r="F319" s="109"/>
      <c r="G319" s="107"/>
      <c r="H319" s="129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 spans="1:26" ht="15.75" customHeight="1" x14ac:dyDescent="0.3">
      <c r="A320" s="107"/>
      <c r="B320" s="107"/>
      <c r="C320" s="107"/>
      <c r="D320" s="108"/>
      <c r="E320" s="109"/>
      <c r="F320" s="109"/>
      <c r="G320" s="107"/>
      <c r="H320" s="129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 spans="1:26" ht="15.75" customHeight="1" x14ac:dyDescent="0.3">
      <c r="A321" s="107"/>
      <c r="B321" s="107"/>
      <c r="C321" s="107"/>
      <c r="D321" s="108"/>
      <c r="E321" s="109"/>
      <c r="F321" s="109"/>
      <c r="G321" s="107"/>
      <c r="H321" s="129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 spans="1:26" ht="15.75" customHeight="1" x14ac:dyDescent="0.3">
      <c r="A322" s="107"/>
      <c r="B322" s="107"/>
      <c r="C322" s="107"/>
      <c r="D322" s="108"/>
      <c r="E322" s="109"/>
      <c r="F322" s="109"/>
      <c r="G322" s="107"/>
      <c r="H322" s="129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 spans="1:26" ht="15.75" customHeight="1" x14ac:dyDescent="0.3">
      <c r="A323" s="107"/>
      <c r="B323" s="107"/>
      <c r="C323" s="107"/>
      <c r="D323" s="108"/>
      <c r="E323" s="109"/>
      <c r="F323" s="109"/>
      <c r="G323" s="107"/>
      <c r="H323" s="129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 spans="1:26" ht="15.75" customHeight="1" x14ac:dyDescent="0.3">
      <c r="A324" s="107"/>
      <c r="B324" s="107"/>
      <c r="C324" s="107"/>
      <c r="D324" s="108"/>
      <c r="E324" s="109"/>
      <c r="F324" s="109"/>
      <c r="G324" s="107"/>
      <c r="H324" s="129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 spans="1:26" ht="15.75" customHeight="1" x14ac:dyDescent="0.3">
      <c r="A325" s="107"/>
      <c r="B325" s="107"/>
      <c r="C325" s="107"/>
      <c r="D325" s="108"/>
      <c r="E325" s="109"/>
      <c r="F325" s="109"/>
      <c r="G325" s="107"/>
      <c r="H325" s="129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 spans="1:26" ht="15.75" customHeight="1" x14ac:dyDescent="0.3">
      <c r="A326" s="107"/>
      <c r="B326" s="107"/>
      <c r="C326" s="107"/>
      <c r="D326" s="108"/>
      <c r="E326" s="109"/>
      <c r="F326" s="109"/>
      <c r="G326" s="107"/>
      <c r="H326" s="129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 spans="1:26" ht="15.75" customHeight="1" x14ac:dyDescent="0.3">
      <c r="A327" s="107"/>
      <c r="B327" s="107"/>
      <c r="C327" s="107"/>
      <c r="D327" s="108"/>
      <c r="E327" s="109"/>
      <c r="F327" s="109"/>
      <c r="G327" s="107"/>
      <c r="H327" s="129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 spans="1:26" ht="15.75" customHeight="1" x14ac:dyDescent="0.3">
      <c r="A328" s="107"/>
      <c r="B328" s="107"/>
      <c r="C328" s="107"/>
      <c r="D328" s="108"/>
      <c r="E328" s="109"/>
      <c r="F328" s="109"/>
      <c r="G328" s="107"/>
      <c r="H328" s="129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 spans="1:26" ht="15.75" customHeight="1" x14ac:dyDescent="0.3">
      <c r="A329" s="107"/>
      <c r="B329" s="107"/>
      <c r="C329" s="107"/>
      <c r="D329" s="108"/>
      <c r="E329" s="109"/>
      <c r="F329" s="109"/>
      <c r="G329" s="107"/>
      <c r="H329" s="129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 spans="1:26" ht="15.75" customHeight="1" x14ac:dyDescent="0.3">
      <c r="A330" s="107"/>
      <c r="B330" s="107"/>
      <c r="C330" s="107"/>
      <c r="D330" s="108"/>
      <c r="E330" s="109"/>
      <c r="F330" s="109"/>
      <c r="G330" s="107"/>
      <c r="H330" s="129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 spans="1:26" ht="15.75" customHeight="1" x14ac:dyDescent="0.3">
      <c r="A331" s="107"/>
      <c r="B331" s="107"/>
      <c r="C331" s="107"/>
      <c r="D331" s="108"/>
      <c r="E331" s="109"/>
      <c r="F331" s="109"/>
      <c r="G331" s="107"/>
      <c r="H331" s="129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 spans="1:26" ht="15.75" customHeight="1" x14ac:dyDescent="0.3">
      <c r="A332" s="107"/>
      <c r="B332" s="107"/>
      <c r="C332" s="107"/>
      <c r="D332" s="108"/>
      <c r="E332" s="109"/>
      <c r="F332" s="109"/>
      <c r="G332" s="107"/>
      <c r="H332" s="129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 spans="1:26" ht="15.75" customHeight="1" x14ac:dyDescent="0.3">
      <c r="A333" s="107"/>
      <c r="B333" s="107"/>
      <c r="C333" s="107"/>
      <c r="D333" s="108"/>
      <c r="E333" s="109"/>
      <c r="F333" s="109"/>
      <c r="G333" s="107"/>
      <c r="H333" s="129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 spans="1:26" ht="15.75" customHeight="1" x14ac:dyDescent="0.3">
      <c r="A334" s="107"/>
      <c r="B334" s="107"/>
      <c r="C334" s="107"/>
      <c r="D334" s="108"/>
      <c r="E334" s="109"/>
      <c r="F334" s="109"/>
      <c r="G334" s="107"/>
      <c r="H334" s="129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 spans="1:26" ht="15.75" customHeight="1" x14ac:dyDescent="0.3">
      <c r="A335" s="107"/>
      <c r="B335" s="107"/>
      <c r="C335" s="107"/>
      <c r="D335" s="108"/>
      <c r="E335" s="109"/>
      <c r="F335" s="109"/>
      <c r="G335" s="107"/>
      <c r="H335" s="129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 spans="1:26" ht="15.75" customHeight="1" x14ac:dyDescent="0.3">
      <c r="A336" s="107"/>
      <c r="B336" s="107"/>
      <c r="C336" s="107"/>
      <c r="D336" s="108"/>
      <c r="E336" s="109"/>
      <c r="F336" s="109"/>
      <c r="G336" s="107"/>
      <c r="H336" s="129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 spans="1:26" ht="15.75" customHeight="1" x14ac:dyDescent="0.3">
      <c r="A337" s="107"/>
      <c r="B337" s="107"/>
      <c r="C337" s="107"/>
      <c r="D337" s="108"/>
      <c r="E337" s="109"/>
      <c r="F337" s="109"/>
      <c r="G337" s="107"/>
      <c r="H337" s="129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 spans="1:26" ht="15.75" customHeight="1" x14ac:dyDescent="0.3">
      <c r="A338" s="107"/>
      <c r="B338" s="107"/>
      <c r="C338" s="107"/>
      <c r="D338" s="108"/>
      <c r="E338" s="109"/>
      <c r="F338" s="109"/>
      <c r="G338" s="107"/>
      <c r="H338" s="129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 spans="1:26" ht="15.75" customHeight="1" x14ac:dyDescent="0.3">
      <c r="A339" s="107"/>
      <c r="B339" s="107"/>
      <c r="C339" s="107"/>
      <c r="D339" s="108"/>
      <c r="E339" s="109"/>
      <c r="F339" s="109"/>
      <c r="G339" s="107"/>
      <c r="H339" s="129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 spans="1:26" ht="15.75" customHeight="1" x14ac:dyDescent="0.3">
      <c r="A340" s="107"/>
      <c r="B340" s="107"/>
      <c r="C340" s="107"/>
      <c r="D340" s="108"/>
      <c r="E340" s="109"/>
      <c r="F340" s="109"/>
      <c r="G340" s="107"/>
      <c r="H340" s="129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 spans="1:26" ht="15.75" customHeight="1" x14ac:dyDescent="0.3">
      <c r="A341" s="107"/>
      <c r="B341" s="107"/>
      <c r="C341" s="107"/>
      <c r="D341" s="108"/>
      <c r="E341" s="109"/>
      <c r="F341" s="109"/>
      <c r="G341" s="107"/>
      <c r="H341" s="129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 spans="1:26" ht="15.75" customHeight="1" x14ac:dyDescent="0.3">
      <c r="A342" s="107"/>
      <c r="B342" s="107"/>
      <c r="C342" s="107"/>
      <c r="D342" s="108"/>
      <c r="E342" s="109"/>
      <c r="F342" s="109"/>
      <c r="G342" s="107"/>
      <c r="H342" s="129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 spans="1:26" ht="15.75" customHeight="1" x14ac:dyDescent="0.3">
      <c r="A343" s="107"/>
      <c r="B343" s="107"/>
      <c r="C343" s="107"/>
      <c r="D343" s="108"/>
      <c r="E343" s="109"/>
      <c r="F343" s="109"/>
      <c r="G343" s="107"/>
      <c r="H343" s="129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 spans="1:26" ht="15.75" customHeight="1" x14ac:dyDescent="0.3">
      <c r="A344" s="107"/>
      <c r="B344" s="107"/>
      <c r="C344" s="107"/>
      <c r="D344" s="108"/>
      <c r="E344" s="109"/>
      <c r="F344" s="109"/>
      <c r="G344" s="107"/>
      <c r="H344" s="129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 spans="1:26" ht="15.75" customHeight="1" x14ac:dyDescent="0.3">
      <c r="A345" s="107"/>
      <c r="B345" s="107"/>
      <c r="C345" s="107"/>
      <c r="D345" s="108"/>
      <c r="E345" s="109"/>
      <c r="F345" s="109"/>
      <c r="G345" s="107"/>
      <c r="H345" s="129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 spans="1:26" ht="15.75" customHeight="1" x14ac:dyDescent="0.3">
      <c r="A346" s="107"/>
      <c r="B346" s="107"/>
      <c r="C346" s="107"/>
      <c r="D346" s="108"/>
      <c r="E346" s="109"/>
      <c r="F346" s="109"/>
      <c r="G346" s="107"/>
      <c r="H346" s="129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 spans="1:26" ht="15.75" customHeight="1" x14ac:dyDescent="0.3">
      <c r="A347" s="107"/>
      <c r="B347" s="107"/>
      <c r="C347" s="107"/>
      <c r="D347" s="108"/>
      <c r="E347" s="109"/>
      <c r="F347" s="109"/>
      <c r="G347" s="107"/>
      <c r="H347" s="129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 spans="1:26" ht="15.75" customHeight="1" x14ac:dyDescent="0.3">
      <c r="A348" s="107"/>
      <c r="B348" s="107"/>
      <c r="C348" s="107"/>
      <c r="D348" s="108"/>
      <c r="E348" s="109"/>
      <c r="F348" s="109"/>
      <c r="G348" s="107"/>
      <c r="H348" s="129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 spans="1:26" ht="15.75" customHeight="1" x14ac:dyDescent="0.3">
      <c r="A349" s="107"/>
      <c r="B349" s="107"/>
      <c r="C349" s="107"/>
      <c r="D349" s="108"/>
      <c r="E349" s="109"/>
      <c r="F349" s="109"/>
      <c r="G349" s="107"/>
      <c r="H349" s="129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 spans="1:26" ht="15.75" customHeight="1" x14ac:dyDescent="0.3">
      <c r="A350" s="107"/>
      <c r="B350" s="107"/>
      <c r="C350" s="107"/>
      <c r="D350" s="108"/>
      <c r="E350" s="109"/>
      <c r="F350" s="109"/>
      <c r="G350" s="107"/>
      <c r="H350" s="129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 spans="1:26" ht="15.75" customHeight="1" x14ac:dyDescent="0.3">
      <c r="A351" s="107"/>
      <c r="B351" s="107"/>
      <c r="C351" s="107"/>
      <c r="D351" s="108"/>
      <c r="E351" s="109"/>
      <c r="F351" s="109"/>
      <c r="G351" s="107"/>
      <c r="H351" s="129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 spans="1:26" ht="15.75" customHeight="1" x14ac:dyDescent="0.3">
      <c r="A352" s="107"/>
      <c r="B352" s="107"/>
      <c r="C352" s="107"/>
      <c r="D352" s="108"/>
      <c r="E352" s="109"/>
      <c r="F352" s="109"/>
      <c r="G352" s="107"/>
      <c r="H352" s="129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 spans="1:26" ht="15.75" customHeight="1" x14ac:dyDescent="0.3">
      <c r="A353" s="107"/>
      <c r="B353" s="107"/>
      <c r="C353" s="107"/>
      <c r="D353" s="108"/>
      <c r="E353" s="109"/>
      <c r="F353" s="109"/>
      <c r="G353" s="107"/>
      <c r="H353" s="129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 spans="1:26" ht="15.75" customHeight="1" x14ac:dyDescent="0.3">
      <c r="A354" s="107"/>
      <c r="B354" s="107"/>
      <c r="C354" s="107"/>
      <c r="D354" s="108"/>
      <c r="E354" s="109"/>
      <c r="F354" s="109"/>
      <c r="G354" s="107"/>
      <c r="H354" s="129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 spans="1:26" ht="15.75" customHeight="1" x14ac:dyDescent="0.3">
      <c r="A355" s="107"/>
      <c r="B355" s="107"/>
      <c r="C355" s="107"/>
      <c r="D355" s="108"/>
      <c r="E355" s="109"/>
      <c r="F355" s="109"/>
      <c r="G355" s="107"/>
      <c r="H355" s="129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 spans="1:26" ht="15.75" customHeight="1" x14ac:dyDescent="0.3">
      <c r="A356" s="107"/>
      <c r="B356" s="107"/>
      <c r="C356" s="107"/>
      <c r="D356" s="108"/>
      <c r="E356" s="109"/>
      <c r="F356" s="109"/>
      <c r="G356" s="107"/>
      <c r="H356" s="129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 spans="1:26" ht="15.75" customHeight="1" x14ac:dyDescent="0.3">
      <c r="A357" s="107"/>
      <c r="B357" s="107"/>
      <c r="C357" s="107"/>
      <c r="D357" s="108"/>
      <c r="E357" s="109"/>
      <c r="F357" s="109"/>
      <c r="G357" s="107"/>
      <c r="H357" s="129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 spans="1:26" ht="15.75" customHeight="1" x14ac:dyDescent="0.3">
      <c r="A358" s="107"/>
      <c r="B358" s="107"/>
      <c r="C358" s="107"/>
      <c r="D358" s="108"/>
      <c r="E358" s="109"/>
      <c r="F358" s="109"/>
      <c r="G358" s="107"/>
      <c r="H358" s="129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 spans="1:26" ht="15.75" customHeight="1" x14ac:dyDescent="0.3">
      <c r="A359" s="107"/>
      <c r="B359" s="107"/>
      <c r="C359" s="107"/>
      <c r="D359" s="108"/>
      <c r="E359" s="109"/>
      <c r="F359" s="109"/>
      <c r="G359" s="107"/>
      <c r="H359" s="129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 spans="1:26" ht="15.75" customHeight="1" x14ac:dyDescent="0.3">
      <c r="A360" s="107"/>
      <c r="B360" s="107"/>
      <c r="C360" s="107"/>
      <c r="D360" s="108"/>
      <c r="E360" s="109"/>
      <c r="F360" s="109"/>
      <c r="G360" s="107"/>
      <c r="H360" s="129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 spans="1:26" ht="15.75" customHeight="1" x14ac:dyDescent="0.3">
      <c r="A361" s="107"/>
      <c r="B361" s="107"/>
      <c r="C361" s="107"/>
      <c r="D361" s="108"/>
      <c r="E361" s="109"/>
      <c r="F361" s="109"/>
      <c r="G361" s="107"/>
      <c r="H361" s="129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 spans="1:26" ht="15.75" customHeight="1" x14ac:dyDescent="0.3">
      <c r="A362" s="107"/>
      <c r="B362" s="107"/>
      <c r="C362" s="107"/>
      <c r="D362" s="108"/>
      <c r="E362" s="109"/>
      <c r="F362" s="109"/>
      <c r="G362" s="107"/>
      <c r="H362" s="129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 spans="1:26" ht="15.75" customHeight="1" x14ac:dyDescent="0.3">
      <c r="A363" s="107"/>
      <c r="B363" s="107"/>
      <c r="C363" s="107"/>
      <c r="D363" s="108"/>
      <c r="E363" s="109"/>
      <c r="F363" s="109"/>
      <c r="G363" s="107"/>
      <c r="H363" s="129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 spans="1:26" ht="15.75" customHeight="1" x14ac:dyDescent="0.3">
      <c r="A364" s="107"/>
      <c r="B364" s="107"/>
      <c r="C364" s="107"/>
      <c r="D364" s="108"/>
      <c r="E364" s="109"/>
      <c r="F364" s="109"/>
      <c r="G364" s="107"/>
      <c r="H364" s="129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 spans="1:26" ht="15.75" customHeight="1" x14ac:dyDescent="0.3">
      <c r="A365" s="107"/>
      <c r="B365" s="107"/>
      <c r="C365" s="107"/>
      <c r="D365" s="108"/>
      <c r="E365" s="109"/>
      <c r="F365" s="109"/>
      <c r="G365" s="107"/>
      <c r="H365" s="129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 spans="1:26" ht="15.75" customHeight="1" x14ac:dyDescent="0.3">
      <c r="A366" s="107"/>
      <c r="B366" s="107"/>
      <c r="C366" s="107"/>
      <c r="D366" s="108"/>
      <c r="E366" s="109"/>
      <c r="F366" s="109"/>
      <c r="G366" s="107"/>
      <c r="H366" s="129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 spans="1:26" ht="15.75" customHeight="1" x14ac:dyDescent="0.3">
      <c r="A367" s="107"/>
      <c r="B367" s="107"/>
      <c r="C367" s="107"/>
      <c r="D367" s="108"/>
      <c r="E367" s="109"/>
      <c r="F367" s="109"/>
      <c r="G367" s="107"/>
      <c r="H367" s="129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 spans="1:26" ht="15.75" customHeight="1" x14ac:dyDescent="0.3">
      <c r="A368" s="107"/>
      <c r="B368" s="107"/>
      <c r="C368" s="107"/>
      <c r="D368" s="108"/>
      <c r="E368" s="109"/>
      <c r="F368" s="109"/>
      <c r="G368" s="107"/>
      <c r="H368" s="129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 spans="1:26" ht="15.75" customHeight="1" x14ac:dyDescent="0.3">
      <c r="A369" s="107"/>
      <c r="B369" s="107"/>
      <c r="C369" s="107"/>
      <c r="D369" s="108"/>
      <c r="E369" s="109"/>
      <c r="F369" s="109"/>
      <c r="G369" s="107"/>
      <c r="H369" s="129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 spans="1:26" ht="15.75" customHeight="1" x14ac:dyDescent="0.3">
      <c r="A370" s="107"/>
      <c r="B370" s="107"/>
      <c r="C370" s="107"/>
      <c r="D370" s="108"/>
      <c r="E370" s="109"/>
      <c r="F370" s="109"/>
      <c r="G370" s="107"/>
      <c r="H370" s="129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 spans="1:26" ht="15.75" customHeight="1" x14ac:dyDescent="0.3">
      <c r="A371" s="107"/>
      <c r="B371" s="107"/>
      <c r="C371" s="107"/>
      <c r="D371" s="108"/>
      <c r="E371" s="109"/>
      <c r="F371" s="109"/>
      <c r="G371" s="107"/>
      <c r="H371" s="129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 spans="1:26" ht="15.75" customHeight="1" x14ac:dyDescent="0.3">
      <c r="A372" s="107"/>
      <c r="B372" s="107"/>
      <c r="C372" s="107"/>
      <c r="D372" s="108"/>
      <c r="E372" s="109"/>
      <c r="F372" s="109"/>
      <c r="G372" s="107"/>
      <c r="H372" s="129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 spans="1:26" ht="15.75" customHeight="1" x14ac:dyDescent="0.3">
      <c r="A373" s="107"/>
      <c r="B373" s="107"/>
      <c r="C373" s="107"/>
      <c r="D373" s="108"/>
      <c r="E373" s="109"/>
      <c r="F373" s="109"/>
      <c r="G373" s="107"/>
      <c r="H373" s="129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 spans="1:26" ht="15.75" customHeight="1" x14ac:dyDescent="0.3">
      <c r="A374" s="107"/>
      <c r="B374" s="107"/>
      <c r="C374" s="107"/>
      <c r="D374" s="108"/>
      <c r="E374" s="109"/>
      <c r="F374" s="109"/>
      <c r="G374" s="107"/>
      <c r="H374" s="129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 spans="1:26" ht="15.75" customHeight="1" x14ac:dyDescent="0.3">
      <c r="A375" s="107"/>
      <c r="B375" s="107"/>
      <c r="C375" s="107"/>
      <c r="D375" s="108"/>
      <c r="E375" s="109"/>
      <c r="F375" s="109"/>
      <c r="G375" s="107"/>
      <c r="H375" s="129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 spans="1:26" ht="15.75" customHeight="1" x14ac:dyDescent="0.3">
      <c r="A376" s="107"/>
      <c r="B376" s="107"/>
      <c r="C376" s="107"/>
      <c r="D376" s="108"/>
      <c r="E376" s="109"/>
      <c r="F376" s="109"/>
      <c r="G376" s="107"/>
      <c r="H376" s="129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 spans="1:26" ht="15.75" customHeight="1" x14ac:dyDescent="0.3">
      <c r="A377" s="107"/>
      <c r="B377" s="107"/>
      <c r="C377" s="107"/>
      <c r="D377" s="108"/>
      <c r="E377" s="109"/>
      <c r="F377" s="109"/>
      <c r="G377" s="107"/>
      <c r="H377" s="129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 spans="1:26" ht="15.75" customHeight="1" x14ac:dyDescent="0.3">
      <c r="A378" s="107"/>
      <c r="B378" s="107"/>
      <c r="C378" s="107"/>
      <c r="D378" s="108"/>
      <c r="E378" s="109"/>
      <c r="F378" s="109"/>
      <c r="G378" s="107"/>
      <c r="H378" s="129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 spans="1:26" ht="15.75" customHeight="1" x14ac:dyDescent="0.3">
      <c r="A379" s="107"/>
      <c r="B379" s="107"/>
      <c r="C379" s="107"/>
      <c r="D379" s="108"/>
      <c r="E379" s="109"/>
      <c r="F379" s="109"/>
      <c r="G379" s="107"/>
      <c r="H379" s="129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 spans="1:26" ht="15.75" customHeight="1" x14ac:dyDescent="0.3">
      <c r="A380" s="107"/>
      <c r="B380" s="107"/>
      <c r="C380" s="107"/>
      <c r="D380" s="108"/>
      <c r="E380" s="109"/>
      <c r="F380" s="109"/>
      <c r="G380" s="107"/>
      <c r="H380" s="129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 spans="1:26" ht="15.75" customHeight="1" x14ac:dyDescent="0.3">
      <c r="A381" s="107"/>
      <c r="B381" s="107"/>
      <c r="C381" s="107"/>
      <c r="D381" s="108"/>
      <c r="E381" s="109"/>
      <c r="F381" s="109"/>
      <c r="G381" s="107"/>
      <c r="H381" s="129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 spans="1:26" ht="15.75" customHeight="1" x14ac:dyDescent="0.3">
      <c r="A382" s="107"/>
      <c r="B382" s="107"/>
      <c r="C382" s="107"/>
      <c r="D382" s="108"/>
      <c r="E382" s="109"/>
      <c r="F382" s="109"/>
      <c r="G382" s="107"/>
      <c r="H382" s="129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 spans="1:26" ht="15.75" customHeight="1" x14ac:dyDescent="0.3">
      <c r="A383" s="107"/>
      <c r="B383" s="107"/>
      <c r="C383" s="107"/>
      <c r="D383" s="108"/>
      <c r="E383" s="109"/>
      <c r="F383" s="109"/>
      <c r="G383" s="107"/>
      <c r="H383" s="129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 spans="1:26" ht="15.75" customHeight="1" x14ac:dyDescent="0.3">
      <c r="A384" s="107"/>
      <c r="B384" s="107"/>
      <c r="C384" s="107"/>
      <c r="D384" s="108"/>
      <c r="E384" s="109"/>
      <c r="F384" s="109"/>
      <c r="G384" s="107"/>
      <c r="H384" s="129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 spans="1:26" ht="15.75" customHeight="1" x14ac:dyDescent="0.3">
      <c r="A385" s="107"/>
      <c r="B385" s="107"/>
      <c r="C385" s="107"/>
      <c r="D385" s="108"/>
      <c r="E385" s="109"/>
      <c r="F385" s="109"/>
      <c r="G385" s="107"/>
      <c r="H385" s="129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 spans="1:26" ht="15.75" customHeight="1" x14ac:dyDescent="0.3">
      <c r="A386" s="107"/>
      <c r="B386" s="107"/>
      <c r="C386" s="107"/>
      <c r="D386" s="108"/>
      <c r="E386" s="109"/>
      <c r="F386" s="109"/>
      <c r="G386" s="107"/>
      <c r="H386" s="129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 spans="1:26" ht="15.75" customHeight="1" x14ac:dyDescent="0.3">
      <c r="A387" s="107"/>
      <c r="B387" s="107"/>
      <c r="C387" s="107"/>
      <c r="D387" s="108"/>
      <c r="E387" s="109"/>
      <c r="F387" s="109"/>
      <c r="G387" s="107"/>
      <c r="H387" s="129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 spans="1:26" ht="15.75" customHeight="1" x14ac:dyDescent="0.3">
      <c r="A388" s="107"/>
      <c r="B388" s="107"/>
      <c r="C388" s="107"/>
      <c r="D388" s="108"/>
      <c r="E388" s="109"/>
      <c r="F388" s="109"/>
      <c r="G388" s="107"/>
      <c r="H388" s="129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 spans="1:26" ht="15.75" customHeight="1" x14ac:dyDescent="0.3">
      <c r="A389" s="107"/>
      <c r="B389" s="107"/>
      <c r="C389" s="107"/>
      <c r="D389" s="108"/>
      <c r="E389" s="109"/>
      <c r="F389" s="109"/>
      <c r="G389" s="107"/>
      <c r="H389" s="129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 spans="1:26" ht="15.75" customHeight="1" x14ac:dyDescent="0.3">
      <c r="A390" s="107"/>
      <c r="B390" s="107"/>
      <c r="C390" s="107"/>
      <c r="D390" s="108"/>
      <c r="E390" s="109"/>
      <c r="F390" s="109"/>
      <c r="G390" s="107"/>
      <c r="H390" s="129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 spans="1:26" ht="15.75" customHeight="1" x14ac:dyDescent="0.3">
      <c r="A391" s="107"/>
      <c r="B391" s="107"/>
      <c r="C391" s="107"/>
      <c r="D391" s="108"/>
      <c r="E391" s="109"/>
      <c r="F391" s="109"/>
      <c r="G391" s="107"/>
      <c r="H391" s="129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 spans="1:26" ht="15.75" customHeight="1" x14ac:dyDescent="0.3">
      <c r="A392" s="107"/>
      <c r="B392" s="107"/>
      <c r="C392" s="107"/>
      <c r="D392" s="108"/>
      <c r="E392" s="109"/>
      <c r="F392" s="109"/>
      <c r="G392" s="107"/>
      <c r="H392" s="129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 spans="1:26" ht="15.75" customHeight="1" x14ac:dyDescent="0.3">
      <c r="A393" s="107"/>
      <c r="B393" s="107"/>
      <c r="C393" s="107"/>
      <c r="D393" s="108"/>
      <c r="E393" s="109"/>
      <c r="F393" s="109"/>
      <c r="G393" s="107"/>
      <c r="H393" s="129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 spans="1:26" ht="15.75" customHeight="1" x14ac:dyDescent="0.3">
      <c r="A394" s="107"/>
      <c r="B394" s="107"/>
      <c r="C394" s="107"/>
      <c r="D394" s="108"/>
      <c r="E394" s="109"/>
      <c r="F394" s="109"/>
      <c r="G394" s="107"/>
      <c r="H394" s="129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 spans="1:26" ht="15.75" customHeight="1" x14ac:dyDescent="0.3">
      <c r="A395" s="107"/>
      <c r="B395" s="107"/>
      <c r="C395" s="107"/>
      <c r="D395" s="108"/>
      <c r="E395" s="109"/>
      <c r="F395" s="109"/>
      <c r="G395" s="107"/>
      <c r="H395" s="129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 spans="1:26" ht="15.75" customHeight="1" x14ac:dyDescent="0.3">
      <c r="A396" s="107"/>
      <c r="B396" s="107"/>
      <c r="C396" s="107"/>
      <c r="D396" s="108"/>
      <c r="E396" s="109"/>
      <c r="F396" s="109"/>
      <c r="G396" s="107"/>
      <c r="H396" s="129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 spans="1:26" ht="15.75" customHeight="1" x14ac:dyDescent="0.3">
      <c r="A397" s="107"/>
      <c r="B397" s="107"/>
      <c r="C397" s="107"/>
      <c r="D397" s="108"/>
      <c r="E397" s="109"/>
      <c r="F397" s="109"/>
      <c r="G397" s="107"/>
      <c r="H397" s="129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 spans="1:26" ht="15.75" customHeight="1" x14ac:dyDescent="0.3">
      <c r="A398" s="107"/>
      <c r="B398" s="107"/>
      <c r="C398" s="107"/>
      <c r="D398" s="108"/>
      <c r="E398" s="109"/>
      <c r="F398" s="109"/>
      <c r="G398" s="107"/>
      <c r="H398" s="129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 spans="1:26" ht="15.75" customHeight="1" x14ac:dyDescent="0.3">
      <c r="A399" s="107"/>
      <c r="B399" s="107"/>
      <c r="C399" s="107"/>
      <c r="D399" s="108"/>
      <c r="E399" s="109"/>
      <c r="F399" s="109"/>
      <c r="G399" s="107"/>
      <c r="H399" s="129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 spans="1:26" ht="15.75" customHeight="1" x14ac:dyDescent="0.3">
      <c r="A400" s="107"/>
      <c r="B400" s="107"/>
      <c r="C400" s="107"/>
      <c r="D400" s="108"/>
      <c r="E400" s="109"/>
      <c r="F400" s="109"/>
      <c r="G400" s="107"/>
      <c r="H400" s="129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 spans="1:26" ht="15.75" customHeight="1" x14ac:dyDescent="0.3">
      <c r="A401" s="107"/>
      <c r="B401" s="107"/>
      <c r="C401" s="107"/>
      <c r="D401" s="108"/>
      <c r="E401" s="109"/>
      <c r="F401" s="109"/>
      <c r="G401" s="107"/>
      <c r="H401" s="129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 spans="1:26" ht="15.75" customHeight="1" x14ac:dyDescent="0.3">
      <c r="A402" s="107"/>
      <c r="B402" s="107"/>
      <c r="C402" s="107"/>
      <c r="D402" s="108"/>
      <c r="E402" s="109"/>
      <c r="F402" s="109"/>
      <c r="G402" s="107"/>
      <c r="H402" s="129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 spans="1:26" ht="15.75" customHeight="1" x14ac:dyDescent="0.3">
      <c r="A403" s="107"/>
      <c r="B403" s="107"/>
      <c r="C403" s="107"/>
      <c r="D403" s="108"/>
      <c r="E403" s="109"/>
      <c r="F403" s="109"/>
      <c r="G403" s="107"/>
      <c r="H403" s="129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 spans="1:26" ht="15.75" customHeight="1" x14ac:dyDescent="0.3">
      <c r="A404" s="107"/>
      <c r="B404" s="107"/>
      <c r="C404" s="107"/>
      <c r="D404" s="108"/>
      <c r="E404" s="109"/>
      <c r="F404" s="109"/>
      <c r="G404" s="107"/>
      <c r="H404" s="129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 spans="1:26" ht="15.75" customHeight="1" x14ac:dyDescent="0.3">
      <c r="A405" s="107"/>
      <c r="B405" s="107"/>
      <c r="C405" s="107"/>
      <c r="D405" s="108"/>
      <c r="E405" s="109"/>
      <c r="F405" s="109"/>
      <c r="G405" s="107"/>
      <c r="H405" s="129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 spans="1:26" ht="15.75" customHeight="1" x14ac:dyDescent="0.3">
      <c r="A406" s="107"/>
      <c r="B406" s="107"/>
      <c r="C406" s="107"/>
      <c r="D406" s="108"/>
      <c r="E406" s="109"/>
      <c r="F406" s="109"/>
      <c r="G406" s="107"/>
      <c r="H406" s="129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 spans="1:26" ht="15.75" customHeight="1" x14ac:dyDescent="0.3">
      <c r="A407" s="107"/>
      <c r="B407" s="107"/>
      <c r="C407" s="107"/>
      <c r="D407" s="108"/>
      <c r="E407" s="109"/>
      <c r="F407" s="109"/>
      <c r="G407" s="107"/>
      <c r="H407" s="129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 spans="1:26" ht="15.75" customHeight="1" x14ac:dyDescent="0.3">
      <c r="A408" s="107"/>
      <c r="B408" s="107"/>
      <c r="C408" s="107"/>
      <c r="D408" s="108"/>
      <c r="E408" s="109"/>
      <c r="F408" s="109"/>
      <c r="G408" s="107"/>
      <c r="H408" s="129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 spans="1:26" ht="15.75" customHeight="1" x14ac:dyDescent="0.3">
      <c r="A409" s="107"/>
      <c r="B409" s="107"/>
      <c r="C409" s="107"/>
      <c r="D409" s="108"/>
      <c r="E409" s="109"/>
      <c r="F409" s="109"/>
      <c r="G409" s="107"/>
      <c r="H409" s="129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 spans="1:26" ht="15.75" customHeight="1" x14ac:dyDescent="0.3">
      <c r="A410" s="107"/>
      <c r="B410" s="107"/>
      <c r="C410" s="107"/>
      <c r="D410" s="108"/>
      <c r="E410" s="109"/>
      <c r="F410" s="109"/>
      <c r="G410" s="107"/>
      <c r="H410" s="129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 spans="1:26" ht="15.75" customHeight="1" x14ac:dyDescent="0.3">
      <c r="A411" s="107"/>
      <c r="B411" s="107"/>
      <c r="C411" s="107"/>
      <c r="D411" s="108"/>
      <c r="E411" s="109"/>
      <c r="F411" s="109"/>
      <c r="G411" s="107"/>
      <c r="H411" s="129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 spans="1:26" ht="15.75" customHeight="1" x14ac:dyDescent="0.3">
      <c r="A412" s="107"/>
      <c r="B412" s="107"/>
      <c r="C412" s="107"/>
      <c r="D412" s="108"/>
      <c r="E412" s="109"/>
      <c r="F412" s="109"/>
      <c r="G412" s="107"/>
      <c r="H412" s="129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 spans="1:26" ht="15.75" customHeight="1" x14ac:dyDescent="0.3">
      <c r="A413" s="107"/>
      <c r="B413" s="107"/>
      <c r="C413" s="107"/>
      <c r="D413" s="108"/>
      <c r="E413" s="109"/>
      <c r="F413" s="109"/>
      <c r="G413" s="107"/>
      <c r="H413" s="129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 spans="1:26" ht="15.75" customHeight="1" x14ac:dyDescent="0.3">
      <c r="A414" s="107"/>
      <c r="B414" s="107"/>
      <c r="C414" s="107"/>
      <c r="D414" s="108"/>
      <c r="E414" s="109"/>
      <c r="F414" s="109"/>
      <c r="G414" s="107"/>
      <c r="H414" s="129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 spans="1:26" ht="15.75" customHeight="1" x14ac:dyDescent="0.3">
      <c r="A415" s="107"/>
      <c r="B415" s="107"/>
      <c r="C415" s="107"/>
      <c r="D415" s="108"/>
      <c r="E415" s="109"/>
      <c r="F415" s="109"/>
      <c r="G415" s="107"/>
      <c r="H415" s="129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 spans="1:26" ht="15.75" customHeight="1" x14ac:dyDescent="0.3">
      <c r="A416" s="107"/>
      <c r="B416" s="107"/>
      <c r="C416" s="107"/>
      <c r="D416" s="108"/>
      <c r="E416" s="109"/>
      <c r="F416" s="109"/>
      <c r="G416" s="107"/>
      <c r="H416" s="129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 spans="1:26" ht="15.75" customHeight="1" x14ac:dyDescent="0.3">
      <c r="A417" s="107"/>
      <c r="B417" s="107"/>
      <c r="C417" s="107"/>
      <c r="D417" s="108"/>
      <c r="E417" s="109"/>
      <c r="F417" s="109"/>
      <c r="G417" s="107"/>
      <c r="H417" s="129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 spans="1:26" ht="15.75" customHeight="1" x14ac:dyDescent="0.3">
      <c r="A418" s="107"/>
      <c r="B418" s="107"/>
      <c r="C418" s="107"/>
      <c r="D418" s="108"/>
      <c r="E418" s="109"/>
      <c r="F418" s="109"/>
      <c r="G418" s="107"/>
      <c r="H418" s="129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 spans="1:26" ht="15.75" customHeight="1" x14ac:dyDescent="0.3">
      <c r="A419" s="107"/>
      <c r="B419" s="107"/>
      <c r="C419" s="107"/>
      <c r="D419" s="108"/>
      <c r="E419" s="109"/>
      <c r="F419" s="109"/>
      <c r="G419" s="107"/>
      <c r="H419" s="129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 spans="1:26" ht="15.75" customHeight="1" x14ac:dyDescent="0.3">
      <c r="A420" s="107"/>
      <c r="B420" s="107"/>
      <c r="C420" s="107"/>
      <c r="D420" s="108"/>
      <c r="E420" s="109"/>
      <c r="F420" s="109"/>
      <c r="G420" s="107"/>
      <c r="H420" s="129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 spans="1:26" ht="15.75" customHeight="1" x14ac:dyDescent="0.3">
      <c r="A421" s="107"/>
      <c r="B421" s="107"/>
      <c r="C421" s="107"/>
      <c r="D421" s="108"/>
      <c r="E421" s="109"/>
      <c r="F421" s="109"/>
      <c r="G421" s="107"/>
      <c r="H421" s="129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 spans="1:26" ht="15.75" customHeight="1" x14ac:dyDescent="0.3">
      <c r="A422" s="107"/>
      <c r="B422" s="107"/>
      <c r="C422" s="107"/>
      <c r="D422" s="108"/>
      <c r="E422" s="109"/>
      <c r="F422" s="109"/>
      <c r="G422" s="107"/>
      <c r="H422" s="129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 spans="1:26" ht="15.75" customHeight="1" x14ac:dyDescent="0.3">
      <c r="A423" s="107"/>
      <c r="B423" s="107"/>
      <c r="C423" s="107"/>
      <c r="D423" s="108"/>
      <c r="E423" s="109"/>
      <c r="F423" s="109"/>
      <c r="G423" s="107"/>
      <c r="H423" s="129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 spans="1:26" ht="15.75" customHeight="1" x14ac:dyDescent="0.3">
      <c r="A424" s="107"/>
      <c r="B424" s="107"/>
      <c r="C424" s="107"/>
      <c r="D424" s="108"/>
      <c r="E424" s="109"/>
      <c r="F424" s="109"/>
      <c r="G424" s="107"/>
      <c r="H424" s="129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 spans="1:26" ht="15.75" customHeight="1" x14ac:dyDescent="0.3">
      <c r="A425" s="107"/>
      <c r="B425" s="107"/>
      <c r="C425" s="107"/>
      <c r="D425" s="108"/>
      <c r="E425" s="109"/>
      <c r="F425" s="109"/>
      <c r="G425" s="107"/>
      <c r="H425" s="129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 spans="1:26" ht="15.75" customHeight="1" x14ac:dyDescent="0.3">
      <c r="A426" s="107"/>
      <c r="B426" s="107"/>
      <c r="C426" s="107"/>
      <c r="D426" s="108"/>
      <c r="E426" s="109"/>
      <c r="F426" s="109"/>
      <c r="G426" s="107"/>
      <c r="H426" s="129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 spans="1:26" ht="15.75" customHeight="1" x14ac:dyDescent="0.3">
      <c r="A427" s="107"/>
      <c r="B427" s="107"/>
      <c r="C427" s="107"/>
      <c r="D427" s="108"/>
      <c r="E427" s="109"/>
      <c r="F427" s="109"/>
      <c r="G427" s="107"/>
      <c r="H427" s="129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 spans="1:26" ht="15.75" customHeight="1" x14ac:dyDescent="0.3">
      <c r="A428" s="107"/>
      <c r="B428" s="107"/>
      <c r="C428" s="107"/>
      <c r="D428" s="108"/>
      <c r="E428" s="109"/>
      <c r="F428" s="109"/>
      <c r="G428" s="107"/>
      <c r="H428" s="129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 spans="1:26" ht="15.75" customHeight="1" x14ac:dyDescent="0.3">
      <c r="A429" s="107"/>
      <c r="B429" s="107"/>
      <c r="C429" s="107"/>
      <c r="D429" s="108"/>
      <c r="E429" s="109"/>
      <c r="F429" s="109"/>
      <c r="G429" s="107"/>
      <c r="H429" s="129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 spans="1:26" ht="15.75" customHeight="1" x14ac:dyDescent="0.3">
      <c r="A430" s="107"/>
      <c r="B430" s="107"/>
      <c r="C430" s="107"/>
      <c r="D430" s="108"/>
      <c r="E430" s="109"/>
      <c r="F430" s="109"/>
      <c r="G430" s="107"/>
      <c r="H430" s="129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 spans="1:26" ht="15.75" customHeight="1" x14ac:dyDescent="0.3">
      <c r="A431" s="107"/>
      <c r="B431" s="107"/>
      <c r="C431" s="107"/>
      <c r="D431" s="108"/>
      <c r="E431" s="109"/>
      <c r="F431" s="109"/>
      <c r="G431" s="107"/>
      <c r="H431" s="129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 spans="1:26" ht="15.75" customHeight="1" x14ac:dyDescent="0.3">
      <c r="A432" s="107"/>
      <c r="B432" s="107"/>
      <c r="C432" s="107"/>
      <c r="D432" s="108"/>
      <c r="E432" s="109"/>
      <c r="F432" s="109"/>
      <c r="G432" s="107"/>
      <c r="H432" s="129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 spans="1:26" ht="15.75" customHeight="1" x14ac:dyDescent="0.3">
      <c r="A433" s="107"/>
      <c r="B433" s="107"/>
      <c r="C433" s="107"/>
      <c r="D433" s="108"/>
      <c r="E433" s="109"/>
      <c r="F433" s="109"/>
      <c r="G433" s="107"/>
      <c r="H433" s="129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 spans="1:26" ht="15.75" customHeight="1" x14ac:dyDescent="0.3">
      <c r="A434" s="107"/>
      <c r="B434" s="107"/>
      <c r="C434" s="107"/>
      <c r="D434" s="108"/>
      <c r="E434" s="109"/>
      <c r="F434" s="109"/>
      <c r="G434" s="107"/>
      <c r="H434" s="129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 spans="1:26" ht="15.75" customHeight="1" x14ac:dyDescent="0.3">
      <c r="A435" s="107"/>
      <c r="B435" s="107"/>
      <c r="C435" s="107"/>
      <c r="D435" s="108"/>
      <c r="E435" s="109"/>
      <c r="F435" s="109"/>
      <c r="G435" s="107"/>
      <c r="H435" s="129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 spans="1:26" ht="15.75" customHeight="1" x14ac:dyDescent="0.3">
      <c r="A436" s="107"/>
      <c r="B436" s="107"/>
      <c r="C436" s="107"/>
      <c r="D436" s="108"/>
      <c r="E436" s="109"/>
      <c r="F436" s="109"/>
      <c r="G436" s="107"/>
      <c r="H436" s="129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 spans="1:26" ht="15.75" customHeight="1" x14ac:dyDescent="0.3">
      <c r="A437" s="107"/>
      <c r="B437" s="107"/>
      <c r="C437" s="107"/>
      <c r="D437" s="108"/>
      <c r="E437" s="109"/>
      <c r="F437" s="109"/>
      <c r="G437" s="107"/>
      <c r="H437" s="129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 spans="1:26" ht="15.75" customHeight="1" x14ac:dyDescent="0.3">
      <c r="A438" s="107"/>
      <c r="B438" s="107"/>
      <c r="C438" s="107"/>
      <c r="D438" s="108"/>
      <c r="E438" s="109"/>
      <c r="F438" s="109"/>
      <c r="G438" s="107"/>
      <c r="H438" s="129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 spans="1:26" ht="15.75" customHeight="1" x14ac:dyDescent="0.3">
      <c r="A439" s="107"/>
      <c r="B439" s="107"/>
      <c r="C439" s="107"/>
      <c r="D439" s="108"/>
      <c r="E439" s="109"/>
      <c r="F439" s="109"/>
      <c r="G439" s="107"/>
      <c r="H439" s="129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 spans="1:26" ht="15.75" customHeight="1" x14ac:dyDescent="0.3">
      <c r="A440" s="107"/>
      <c r="B440" s="107"/>
      <c r="C440" s="107"/>
      <c r="D440" s="108"/>
      <c r="E440" s="109"/>
      <c r="F440" s="109"/>
      <c r="G440" s="107"/>
      <c r="H440" s="129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 spans="1:26" ht="15.75" customHeight="1" x14ac:dyDescent="0.3">
      <c r="A441" s="107"/>
      <c r="B441" s="107"/>
      <c r="C441" s="107"/>
      <c r="D441" s="108"/>
      <c r="E441" s="109"/>
      <c r="F441" s="109"/>
      <c r="G441" s="107"/>
      <c r="H441" s="129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 spans="1:26" ht="15.75" customHeight="1" x14ac:dyDescent="0.3">
      <c r="A442" s="107"/>
      <c r="B442" s="107"/>
      <c r="C442" s="107"/>
      <c r="D442" s="108"/>
      <c r="E442" s="109"/>
      <c r="F442" s="109"/>
      <c r="G442" s="107"/>
      <c r="H442" s="129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 spans="1:26" ht="15.75" customHeight="1" x14ac:dyDescent="0.3">
      <c r="A443" s="107"/>
      <c r="B443" s="107"/>
      <c r="C443" s="107"/>
      <c r="D443" s="108"/>
      <c r="E443" s="109"/>
      <c r="F443" s="109"/>
      <c r="G443" s="107"/>
      <c r="H443" s="129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 spans="1:26" ht="15.75" customHeight="1" x14ac:dyDescent="0.3">
      <c r="A444" s="107"/>
      <c r="B444" s="107"/>
      <c r="C444" s="107"/>
      <c r="D444" s="108"/>
      <c r="E444" s="109"/>
      <c r="F444" s="109"/>
      <c r="G444" s="107"/>
      <c r="H444" s="129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 spans="1:26" ht="15.75" customHeight="1" x14ac:dyDescent="0.3">
      <c r="A445" s="107"/>
      <c r="B445" s="107"/>
      <c r="C445" s="107"/>
      <c r="D445" s="108"/>
      <c r="E445" s="109"/>
      <c r="F445" s="109"/>
      <c r="G445" s="107"/>
      <c r="H445" s="129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 spans="1:26" ht="15.75" customHeight="1" x14ac:dyDescent="0.3">
      <c r="A446" s="107"/>
      <c r="B446" s="107"/>
      <c r="C446" s="107"/>
      <c r="D446" s="108"/>
      <c r="E446" s="109"/>
      <c r="F446" s="109"/>
      <c r="G446" s="107"/>
      <c r="H446" s="129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 spans="1:26" ht="15.75" customHeight="1" x14ac:dyDescent="0.3">
      <c r="A447" s="107"/>
      <c r="B447" s="107"/>
      <c r="C447" s="107"/>
      <c r="D447" s="108"/>
      <c r="E447" s="109"/>
      <c r="F447" s="109"/>
      <c r="G447" s="107"/>
      <c r="H447" s="129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 spans="1:26" ht="15.75" customHeight="1" x14ac:dyDescent="0.3">
      <c r="A448" s="107"/>
      <c r="B448" s="107"/>
      <c r="C448" s="107"/>
      <c r="D448" s="108"/>
      <c r="E448" s="109"/>
      <c r="F448" s="109"/>
      <c r="G448" s="107"/>
      <c r="H448" s="129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 spans="1:26" ht="15.75" customHeight="1" x14ac:dyDescent="0.3">
      <c r="A449" s="107"/>
      <c r="B449" s="107"/>
      <c r="C449" s="107"/>
      <c r="D449" s="108"/>
      <c r="E449" s="109"/>
      <c r="F449" s="109"/>
      <c r="G449" s="107"/>
      <c r="H449" s="129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 spans="1:26" ht="15.75" customHeight="1" x14ac:dyDescent="0.3">
      <c r="A450" s="107"/>
      <c r="B450" s="107"/>
      <c r="C450" s="107"/>
      <c r="D450" s="108"/>
      <c r="E450" s="109"/>
      <c r="F450" s="109"/>
      <c r="G450" s="107"/>
      <c r="H450" s="129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 spans="1:26" ht="15.75" customHeight="1" x14ac:dyDescent="0.3">
      <c r="A451" s="107"/>
      <c r="B451" s="107"/>
      <c r="C451" s="107"/>
      <c r="D451" s="108"/>
      <c r="E451" s="109"/>
      <c r="F451" s="109"/>
      <c r="G451" s="107"/>
      <c r="H451" s="129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 spans="1:26" ht="15.75" customHeight="1" x14ac:dyDescent="0.3">
      <c r="A452" s="107"/>
      <c r="B452" s="107"/>
      <c r="C452" s="107"/>
      <c r="D452" s="108"/>
      <c r="E452" s="109"/>
      <c r="F452" s="109"/>
      <c r="G452" s="107"/>
      <c r="H452" s="129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 spans="1:26" ht="15.75" customHeight="1" x14ac:dyDescent="0.3">
      <c r="A453" s="107"/>
      <c r="B453" s="107"/>
      <c r="C453" s="107"/>
      <c r="D453" s="108"/>
      <c r="E453" s="109"/>
      <c r="F453" s="109"/>
      <c r="G453" s="107"/>
      <c r="H453" s="129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 spans="1:26" ht="15.75" customHeight="1" x14ac:dyDescent="0.3">
      <c r="A454" s="107"/>
      <c r="B454" s="107"/>
      <c r="C454" s="107"/>
      <c r="D454" s="108"/>
      <c r="E454" s="109"/>
      <c r="F454" s="109"/>
      <c r="G454" s="107"/>
      <c r="H454" s="129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 spans="1:26" ht="15.75" customHeight="1" x14ac:dyDescent="0.3">
      <c r="A455" s="107"/>
      <c r="B455" s="107"/>
      <c r="C455" s="107"/>
      <c r="D455" s="108"/>
      <c r="E455" s="109"/>
      <c r="F455" s="109"/>
      <c r="G455" s="107"/>
      <c r="H455" s="129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 spans="1:26" ht="15.75" customHeight="1" x14ac:dyDescent="0.3">
      <c r="A456" s="107"/>
      <c r="B456" s="107"/>
      <c r="C456" s="107"/>
      <c r="D456" s="108"/>
      <c r="E456" s="109"/>
      <c r="F456" s="109"/>
      <c r="G456" s="107"/>
      <c r="H456" s="129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 spans="1:26" ht="15.75" customHeight="1" x14ac:dyDescent="0.3">
      <c r="A457" s="107"/>
      <c r="B457" s="107"/>
      <c r="C457" s="107"/>
      <c r="D457" s="108"/>
      <c r="E457" s="109"/>
      <c r="F457" s="109"/>
      <c r="G457" s="107"/>
      <c r="H457" s="129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 spans="1:26" ht="15.75" customHeight="1" x14ac:dyDescent="0.3">
      <c r="A458" s="107"/>
      <c r="B458" s="107"/>
      <c r="C458" s="107"/>
      <c r="D458" s="108"/>
      <c r="E458" s="109"/>
      <c r="F458" s="109"/>
      <c r="G458" s="107"/>
      <c r="H458" s="129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 spans="1:26" ht="15.75" customHeight="1" x14ac:dyDescent="0.3">
      <c r="A459" s="107"/>
      <c r="B459" s="107"/>
      <c r="C459" s="107"/>
      <c r="D459" s="108"/>
      <c r="E459" s="109"/>
      <c r="F459" s="109"/>
      <c r="G459" s="107"/>
      <c r="H459" s="129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 spans="1:26" ht="15.75" customHeight="1" x14ac:dyDescent="0.3">
      <c r="A460" s="107"/>
      <c r="B460" s="107"/>
      <c r="C460" s="107"/>
      <c r="D460" s="108"/>
      <c r="E460" s="109"/>
      <c r="F460" s="109"/>
      <c r="G460" s="107"/>
      <c r="H460" s="129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 spans="1:26" ht="15.75" customHeight="1" x14ac:dyDescent="0.3">
      <c r="A461" s="107"/>
      <c r="B461" s="107"/>
      <c r="C461" s="107"/>
      <c r="D461" s="108"/>
      <c r="E461" s="109"/>
      <c r="F461" s="109"/>
      <c r="G461" s="107"/>
      <c r="H461" s="129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 spans="1:26" ht="15.75" customHeight="1" x14ac:dyDescent="0.3">
      <c r="A462" s="107"/>
      <c r="B462" s="107"/>
      <c r="C462" s="107"/>
      <c r="D462" s="108"/>
      <c r="E462" s="109"/>
      <c r="F462" s="109"/>
      <c r="G462" s="107"/>
      <c r="H462" s="129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 spans="1:26" ht="15.75" customHeight="1" x14ac:dyDescent="0.3">
      <c r="A463" s="107"/>
      <c r="B463" s="107"/>
      <c r="C463" s="107"/>
      <c r="D463" s="108"/>
      <c r="E463" s="109"/>
      <c r="F463" s="109"/>
      <c r="G463" s="107"/>
      <c r="H463" s="129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 spans="1:26" ht="15.75" customHeight="1" x14ac:dyDescent="0.3">
      <c r="A464" s="107"/>
      <c r="B464" s="107"/>
      <c r="C464" s="107"/>
      <c r="D464" s="108"/>
      <c r="E464" s="109"/>
      <c r="F464" s="109"/>
      <c r="G464" s="107"/>
      <c r="H464" s="129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 spans="1:26" ht="15.75" customHeight="1" x14ac:dyDescent="0.3">
      <c r="A465" s="107"/>
      <c r="B465" s="107"/>
      <c r="C465" s="107"/>
      <c r="D465" s="108"/>
      <c r="E465" s="109"/>
      <c r="F465" s="109"/>
      <c r="G465" s="107"/>
      <c r="H465" s="129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 spans="1:26" ht="15.75" customHeight="1" x14ac:dyDescent="0.3">
      <c r="A466" s="107"/>
      <c r="B466" s="107"/>
      <c r="C466" s="107"/>
      <c r="D466" s="108"/>
      <c r="E466" s="109"/>
      <c r="F466" s="109"/>
      <c r="G466" s="107"/>
      <c r="H466" s="129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 spans="1:26" ht="15.75" customHeight="1" x14ac:dyDescent="0.3">
      <c r="A467" s="107"/>
      <c r="B467" s="107"/>
      <c r="C467" s="107"/>
      <c r="D467" s="108"/>
      <c r="E467" s="109"/>
      <c r="F467" s="109"/>
      <c r="G467" s="107"/>
      <c r="H467" s="129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 spans="1:26" ht="15.75" customHeight="1" x14ac:dyDescent="0.3">
      <c r="A468" s="107"/>
      <c r="B468" s="107"/>
      <c r="C468" s="107"/>
      <c r="D468" s="108"/>
      <c r="E468" s="109"/>
      <c r="F468" s="109"/>
      <c r="G468" s="107"/>
      <c r="H468" s="129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 spans="1:26" ht="15.75" customHeight="1" x14ac:dyDescent="0.3">
      <c r="A469" s="107"/>
      <c r="B469" s="107"/>
      <c r="C469" s="107"/>
      <c r="D469" s="108"/>
      <c r="E469" s="109"/>
      <c r="F469" s="109"/>
      <c r="G469" s="107"/>
      <c r="H469" s="129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 spans="1:26" ht="15.75" customHeight="1" x14ac:dyDescent="0.3">
      <c r="A470" s="107"/>
      <c r="B470" s="107"/>
      <c r="C470" s="107"/>
      <c r="D470" s="108"/>
      <c r="E470" s="109"/>
      <c r="F470" s="109"/>
      <c r="G470" s="107"/>
      <c r="H470" s="129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 spans="1:26" ht="15.75" customHeight="1" x14ac:dyDescent="0.3">
      <c r="A471" s="107"/>
      <c r="B471" s="107"/>
      <c r="C471" s="107"/>
      <c r="D471" s="108"/>
      <c r="E471" s="109"/>
      <c r="F471" s="109"/>
      <c r="G471" s="107"/>
      <c r="H471" s="129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 spans="1:26" ht="15.75" customHeight="1" x14ac:dyDescent="0.3">
      <c r="A472" s="107"/>
      <c r="B472" s="107"/>
      <c r="C472" s="107"/>
      <c r="D472" s="108"/>
      <c r="E472" s="109"/>
      <c r="F472" s="109"/>
      <c r="G472" s="107"/>
      <c r="H472" s="129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 spans="1:26" ht="15.75" customHeight="1" x14ac:dyDescent="0.3">
      <c r="A473" s="107"/>
      <c r="B473" s="107"/>
      <c r="C473" s="107"/>
      <c r="D473" s="108"/>
      <c r="E473" s="109"/>
      <c r="F473" s="109"/>
      <c r="G473" s="107"/>
      <c r="H473" s="129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 spans="1:26" ht="15.75" customHeight="1" x14ac:dyDescent="0.3">
      <c r="A474" s="107"/>
      <c r="B474" s="107"/>
      <c r="C474" s="107"/>
      <c r="D474" s="108"/>
      <c r="E474" s="109"/>
      <c r="F474" s="109"/>
      <c r="G474" s="107"/>
      <c r="H474" s="129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 spans="1:26" ht="15.75" customHeight="1" x14ac:dyDescent="0.3">
      <c r="A475" s="107"/>
      <c r="B475" s="107"/>
      <c r="C475" s="107"/>
      <c r="D475" s="108"/>
      <c r="E475" s="109"/>
      <c r="F475" s="109"/>
      <c r="G475" s="107"/>
      <c r="H475" s="129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 spans="1:26" ht="15.75" customHeight="1" x14ac:dyDescent="0.3">
      <c r="A476" s="107"/>
      <c r="B476" s="107"/>
      <c r="C476" s="107"/>
      <c r="D476" s="108"/>
      <c r="E476" s="109"/>
      <c r="F476" s="109"/>
      <c r="G476" s="107"/>
      <c r="H476" s="129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 spans="1:26" ht="15.75" customHeight="1" x14ac:dyDescent="0.3">
      <c r="A477" s="107"/>
      <c r="B477" s="107"/>
      <c r="C477" s="107"/>
      <c r="D477" s="108"/>
      <c r="E477" s="109"/>
      <c r="F477" s="109"/>
      <c r="G477" s="107"/>
      <c r="H477" s="129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 spans="1:26" ht="15.75" customHeight="1" x14ac:dyDescent="0.3">
      <c r="A478" s="107"/>
      <c r="B478" s="107"/>
      <c r="C478" s="107"/>
      <c r="D478" s="108"/>
      <c r="E478" s="109"/>
      <c r="F478" s="109"/>
      <c r="G478" s="107"/>
      <c r="H478" s="129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 spans="1:26" ht="15.75" customHeight="1" x14ac:dyDescent="0.3">
      <c r="A479" s="107"/>
      <c r="B479" s="107"/>
      <c r="C479" s="107"/>
      <c r="D479" s="108"/>
      <c r="E479" s="109"/>
      <c r="F479" s="109"/>
      <c r="G479" s="107"/>
      <c r="H479" s="129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 spans="1:26" ht="15.75" customHeight="1" x14ac:dyDescent="0.3">
      <c r="A480" s="107"/>
      <c r="B480" s="107"/>
      <c r="C480" s="107"/>
      <c r="D480" s="108"/>
      <c r="E480" s="109"/>
      <c r="F480" s="109"/>
      <c r="G480" s="107"/>
      <c r="H480" s="129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 spans="1:26" ht="15.75" customHeight="1" x14ac:dyDescent="0.3">
      <c r="A481" s="107"/>
      <c r="B481" s="107"/>
      <c r="C481" s="107"/>
      <c r="D481" s="108"/>
      <c r="E481" s="109"/>
      <c r="F481" s="109"/>
      <c r="G481" s="107"/>
      <c r="H481" s="129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 spans="1:26" ht="15.75" customHeight="1" x14ac:dyDescent="0.3">
      <c r="A482" s="107"/>
      <c r="B482" s="107"/>
      <c r="C482" s="107"/>
      <c r="D482" s="108"/>
      <c r="E482" s="109"/>
      <c r="F482" s="109"/>
      <c r="G482" s="107"/>
      <c r="H482" s="129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 spans="1:26" ht="15.75" customHeight="1" x14ac:dyDescent="0.3">
      <c r="A483" s="107"/>
      <c r="B483" s="107"/>
      <c r="C483" s="107"/>
      <c r="D483" s="108"/>
      <c r="E483" s="109"/>
      <c r="F483" s="109"/>
      <c r="G483" s="107"/>
      <c r="H483" s="129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 spans="1:26" ht="15.75" customHeight="1" x14ac:dyDescent="0.3">
      <c r="A484" s="107"/>
      <c r="B484" s="107"/>
      <c r="C484" s="107"/>
      <c r="D484" s="108"/>
      <c r="E484" s="109"/>
      <c r="F484" s="109"/>
      <c r="G484" s="107"/>
      <c r="H484" s="129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 spans="1:26" ht="15.75" customHeight="1" x14ac:dyDescent="0.3">
      <c r="A485" s="107"/>
      <c r="B485" s="107"/>
      <c r="C485" s="107"/>
      <c r="D485" s="108"/>
      <c r="E485" s="109"/>
      <c r="F485" s="109"/>
      <c r="G485" s="107"/>
      <c r="H485" s="129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 spans="1:26" ht="15.75" customHeight="1" x14ac:dyDescent="0.3">
      <c r="A486" s="107"/>
      <c r="B486" s="107"/>
      <c r="C486" s="107"/>
      <c r="D486" s="108"/>
      <c r="E486" s="109"/>
      <c r="F486" s="109"/>
      <c r="G486" s="107"/>
      <c r="H486" s="129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 spans="1:26" ht="15.75" customHeight="1" x14ac:dyDescent="0.3">
      <c r="A487" s="107"/>
      <c r="B487" s="107"/>
      <c r="C487" s="107"/>
      <c r="D487" s="108"/>
      <c r="E487" s="109"/>
      <c r="F487" s="109"/>
      <c r="G487" s="107"/>
      <c r="H487" s="129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 spans="1:26" ht="15.75" customHeight="1" x14ac:dyDescent="0.3">
      <c r="A488" s="107"/>
      <c r="B488" s="107"/>
      <c r="C488" s="107"/>
      <c r="D488" s="108"/>
      <c r="E488" s="109"/>
      <c r="F488" s="109"/>
      <c r="G488" s="107"/>
      <c r="H488" s="129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 spans="1:26" ht="15.75" customHeight="1" x14ac:dyDescent="0.3">
      <c r="A489" s="107"/>
      <c r="B489" s="107"/>
      <c r="C489" s="107"/>
      <c r="D489" s="108"/>
      <c r="E489" s="109"/>
      <c r="F489" s="109"/>
      <c r="G489" s="107"/>
      <c r="H489" s="129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 spans="1:26" ht="15.75" customHeight="1" x14ac:dyDescent="0.3">
      <c r="A490" s="107"/>
      <c r="B490" s="107"/>
      <c r="C490" s="107"/>
      <c r="D490" s="108"/>
      <c r="E490" s="109"/>
      <c r="F490" s="109"/>
      <c r="G490" s="107"/>
      <c r="H490" s="129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 spans="1:26" ht="15.75" customHeight="1" x14ac:dyDescent="0.3">
      <c r="A491" s="107"/>
      <c r="B491" s="107"/>
      <c r="C491" s="107"/>
      <c r="D491" s="108"/>
      <c r="E491" s="109"/>
      <c r="F491" s="109"/>
      <c r="G491" s="107"/>
      <c r="H491" s="129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 spans="1:26" ht="15.75" customHeight="1" x14ac:dyDescent="0.3">
      <c r="A492" s="107"/>
      <c r="B492" s="107"/>
      <c r="C492" s="107"/>
      <c r="D492" s="108"/>
      <c r="E492" s="109"/>
      <c r="F492" s="109"/>
      <c r="G492" s="107"/>
      <c r="H492" s="129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 spans="1:26" ht="15.75" customHeight="1" x14ac:dyDescent="0.3">
      <c r="A493" s="107"/>
      <c r="B493" s="107"/>
      <c r="C493" s="107"/>
      <c r="D493" s="108"/>
      <c r="E493" s="109"/>
      <c r="F493" s="109"/>
      <c r="G493" s="107"/>
      <c r="H493" s="129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 spans="1:26" ht="15.75" customHeight="1" x14ac:dyDescent="0.3">
      <c r="A494" s="107"/>
      <c r="B494" s="107"/>
      <c r="C494" s="107"/>
      <c r="D494" s="108"/>
      <c r="E494" s="109"/>
      <c r="F494" s="109"/>
      <c r="G494" s="107"/>
      <c r="H494" s="129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 spans="1:26" ht="15.75" customHeight="1" x14ac:dyDescent="0.3">
      <c r="A495" s="107"/>
      <c r="B495" s="107"/>
      <c r="C495" s="107"/>
      <c r="D495" s="108"/>
      <c r="E495" s="109"/>
      <c r="F495" s="109"/>
      <c r="G495" s="107"/>
      <c r="H495" s="129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 spans="1:26" ht="15.75" customHeight="1" x14ac:dyDescent="0.3">
      <c r="A496" s="107"/>
      <c r="B496" s="107"/>
      <c r="C496" s="107"/>
      <c r="D496" s="108"/>
      <c r="E496" s="109"/>
      <c r="F496" s="109"/>
      <c r="G496" s="107"/>
      <c r="H496" s="129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 spans="1:26" ht="15.75" customHeight="1" x14ac:dyDescent="0.3">
      <c r="A497" s="107"/>
      <c r="B497" s="107"/>
      <c r="C497" s="107"/>
      <c r="D497" s="108"/>
      <c r="E497" s="109"/>
      <c r="F497" s="109"/>
      <c r="G497" s="107"/>
      <c r="H497" s="129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 spans="1:26" ht="15.75" customHeight="1" x14ac:dyDescent="0.3">
      <c r="A498" s="107"/>
      <c r="B498" s="107"/>
      <c r="C498" s="107"/>
      <c r="D498" s="108"/>
      <c r="E498" s="109"/>
      <c r="F498" s="109"/>
      <c r="G498" s="107"/>
      <c r="H498" s="129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 spans="1:26" ht="15.75" customHeight="1" x14ac:dyDescent="0.3">
      <c r="A499" s="107"/>
      <c r="B499" s="107"/>
      <c r="C499" s="107"/>
      <c r="D499" s="108"/>
      <c r="E499" s="109"/>
      <c r="F499" s="109"/>
      <c r="G499" s="107"/>
      <c r="H499" s="129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 spans="1:26" ht="15.75" customHeight="1" x14ac:dyDescent="0.3">
      <c r="A500" s="107"/>
      <c r="B500" s="107"/>
      <c r="C500" s="107"/>
      <c r="D500" s="108"/>
      <c r="E500" s="109"/>
      <c r="F500" s="109"/>
      <c r="G500" s="107"/>
      <c r="H500" s="129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 spans="1:26" ht="15.75" customHeight="1" x14ac:dyDescent="0.3">
      <c r="A501" s="107"/>
      <c r="B501" s="107"/>
      <c r="C501" s="107"/>
      <c r="D501" s="108"/>
      <c r="E501" s="109"/>
      <c r="F501" s="109"/>
      <c r="G501" s="107"/>
      <c r="H501" s="129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 spans="1:26" ht="15.75" customHeight="1" x14ac:dyDescent="0.3">
      <c r="A502" s="107"/>
      <c r="B502" s="107"/>
      <c r="C502" s="107"/>
      <c r="D502" s="108"/>
      <c r="E502" s="109"/>
      <c r="F502" s="109"/>
      <c r="G502" s="107"/>
      <c r="H502" s="129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 spans="1:26" ht="15.75" customHeight="1" x14ac:dyDescent="0.3">
      <c r="A503" s="107"/>
      <c r="B503" s="107"/>
      <c r="C503" s="107"/>
      <c r="D503" s="108"/>
      <c r="E503" s="109"/>
      <c r="F503" s="109"/>
      <c r="G503" s="107"/>
      <c r="H503" s="129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 spans="1:26" ht="15.75" customHeight="1" x14ac:dyDescent="0.3">
      <c r="A504" s="107"/>
      <c r="B504" s="107"/>
      <c r="C504" s="107"/>
      <c r="D504" s="108"/>
      <c r="E504" s="109"/>
      <c r="F504" s="109"/>
      <c r="G504" s="107"/>
      <c r="H504" s="129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 spans="1:26" ht="15.75" customHeight="1" x14ac:dyDescent="0.3">
      <c r="A505" s="107"/>
      <c r="B505" s="107"/>
      <c r="C505" s="107"/>
      <c r="D505" s="108"/>
      <c r="E505" s="109"/>
      <c r="F505" s="109"/>
      <c r="G505" s="107"/>
      <c r="H505" s="129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 spans="1:26" ht="15.75" customHeight="1" x14ac:dyDescent="0.3">
      <c r="A506" s="107"/>
      <c r="B506" s="107"/>
      <c r="C506" s="107"/>
      <c r="D506" s="108"/>
      <c r="E506" s="109"/>
      <c r="F506" s="109"/>
      <c r="G506" s="107"/>
      <c r="H506" s="129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 spans="1:26" ht="15.75" customHeight="1" x14ac:dyDescent="0.3">
      <c r="A507" s="107"/>
      <c r="B507" s="107"/>
      <c r="C507" s="107"/>
      <c r="D507" s="108"/>
      <c r="E507" s="109"/>
      <c r="F507" s="109"/>
      <c r="G507" s="107"/>
      <c r="H507" s="129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 spans="1:26" ht="15.75" customHeight="1" x14ac:dyDescent="0.3">
      <c r="A508" s="107"/>
      <c r="B508" s="107"/>
      <c r="C508" s="107"/>
      <c r="D508" s="108"/>
      <c r="E508" s="109"/>
      <c r="F508" s="109"/>
      <c r="G508" s="107"/>
      <c r="H508" s="129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 spans="1:26" ht="15.75" customHeight="1" x14ac:dyDescent="0.3">
      <c r="A509" s="107"/>
      <c r="B509" s="107"/>
      <c r="C509" s="107"/>
      <c r="D509" s="108"/>
      <c r="E509" s="109"/>
      <c r="F509" s="109"/>
      <c r="G509" s="107"/>
      <c r="H509" s="129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 spans="1:26" ht="15.75" customHeight="1" x14ac:dyDescent="0.3">
      <c r="A510" s="107"/>
      <c r="B510" s="107"/>
      <c r="C510" s="107"/>
      <c r="D510" s="108"/>
      <c r="E510" s="109"/>
      <c r="F510" s="109"/>
      <c r="G510" s="107"/>
      <c r="H510" s="129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 spans="1:26" ht="15.75" customHeight="1" x14ac:dyDescent="0.3">
      <c r="A511" s="107"/>
      <c r="B511" s="107"/>
      <c r="C511" s="107"/>
      <c r="D511" s="108"/>
      <c r="E511" s="109"/>
      <c r="F511" s="109"/>
      <c r="G511" s="107"/>
      <c r="H511" s="129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 spans="1:26" ht="15.75" customHeight="1" x14ac:dyDescent="0.3">
      <c r="A512" s="107"/>
      <c r="B512" s="107"/>
      <c r="C512" s="107"/>
      <c r="D512" s="108"/>
      <c r="E512" s="109"/>
      <c r="F512" s="109"/>
      <c r="G512" s="107"/>
      <c r="H512" s="129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 spans="1:26" ht="15.75" customHeight="1" x14ac:dyDescent="0.3">
      <c r="A513" s="107"/>
      <c r="B513" s="107"/>
      <c r="C513" s="107"/>
      <c r="D513" s="108"/>
      <c r="E513" s="109"/>
      <c r="F513" s="109"/>
      <c r="G513" s="107"/>
      <c r="H513" s="129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 spans="1:26" ht="15.75" customHeight="1" x14ac:dyDescent="0.3">
      <c r="A514" s="107"/>
      <c r="B514" s="107"/>
      <c r="C514" s="107"/>
      <c r="D514" s="108"/>
      <c r="E514" s="109"/>
      <c r="F514" s="109"/>
      <c r="G514" s="107"/>
      <c r="H514" s="129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 spans="1:26" ht="15.75" customHeight="1" x14ac:dyDescent="0.3">
      <c r="A515" s="107"/>
      <c r="B515" s="107"/>
      <c r="C515" s="107"/>
      <c r="D515" s="108"/>
      <c r="E515" s="109"/>
      <c r="F515" s="109"/>
      <c r="G515" s="107"/>
      <c r="H515" s="129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 spans="1:26" ht="15.75" customHeight="1" x14ac:dyDescent="0.3">
      <c r="A516" s="107"/>
      <c r="B516" s="107"/>
      <c r="C516" s="107"/>
      <c r="D516" s="108"/>
      <c r="E516" s="109"/>
      <c r="F516" s="109"/>
      <c r="G516" s="107"/>
      <c r="H516" s="129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 spans="1:26" ht="15.75" customHeight="1" x14ac:dyDescent="0.3">
      <c r="A517" s="107"/>
      <c r="B517" s="107"/>
      <c r="C517" s="107"/>
      <c r="D517" s="108"/>
      <c r="E517" s="109"/>
      <c r="F517" s="109"/>
      <c r="G517" s="107"/>
      <c r="H517" s="129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 spans="1:26" ht="15.75" customHeight="1" x14ac:dyDescent="0.3">
      <c r="A518" s="107"/>
      <c r="B518" s="107"/>
      <c r="C518" s="107"/>
      <c r="D518" s="108"/>
      <c r="E518" s="109"/>
      <c r="F518" s="109"/>
      <c r="G518" s="107"/>
      <c r="H518" s="129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 spans="1:26" ht="15.75" customHeight="1" x14ac:dyDescent="0.3">
      <c r="A519" s="107"/>
      <c r="B519" s="107"/>
      <c r="C519" s="107"/>
      <c r="D519" s="108"/>
      <c r="E519" s="109"/>
      <c r="F519" s="109"/>
      <c r="G519" s="107"/>
      <c r="H519" s="129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 spans="1:26" ht="15.75" customHeight="1" x14ac:dyDescent="0.3">
      <c r="A520" s="107"/>
      <c r="B520" s="107"/>
      <c r="C520" s="107"/>
      <c r="D520" s="108"/>
      <c r="E520" s="109"/>
      <c r="F520" s="109"/>
      <c r="G520" s="107"/>
      <c r="H520" s="129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 spans="1:26" ht="15.75" customHeight="1" x14ac:dyDescent="0.3">
      <c r="A521" s="107"/>
      <c r="B521" s="107"/>
      <c r="C521" s="107"/>
      <c r="D521" s="108"/>
      <c r="E521" s="109"/>
      <c r="F521" s="109"/>
      <c r="G521" s="107"/>
      <c r="H521" s="129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 spans="1:26" ht="15.75" customHeight="1" x14ac:dyDescent="0.3">
      <c r="A522" s="107"/>
      <c r="B522" s="107"/>
      <c r="C522" s="107"/>
      <c r="D522" s="108"/>
      <c r="E522" s="109"/>
      <c r="F522" s="109"/>
      <c r="G522" s="107"/>
      <c r="H522" s="129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 spans="1:26" ht="15.75" customHeight="1" x14ac:dyDescent="0.3">
      <c r="A523" s="107"/>
      <c r="B523" s="107"/>
      <c r="C523" s="107"/>
      <c r="D523" s="108"/>
      <c r="E523" s="109"/>
      <c r="F523" s="109"/>
      <c r="G523" s="107"/>
      <c r="H523" s="129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 spans="1:26" ht="15.75" customHeight="1" x14ac:dyDescent="0.3">
      <c r="A524" s="107"/>
      <c r="B524" s="107"/>
      <c r="C524" s="107"/>
      <c r="D524" s="108"/>
      <c r="E524" s="109"/>
      <c r="F524" s="109"/>
      <c r="G524" s="107"/>
      <c r="H524" s="129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 spans="1:26" ht="15.75" customHeight="1" x14ac:dyDescent="0.3">
      <c r="A525" s="107"/>
      <c r="B525" s="107"/>
      <c r="C525" s="107"/>
      <c r="D525" s="108"/>
      <c r="E525" s="109"/>
      <c r="F525" s="109"/>
      <c r="G525" s="107"/>
      <c r="H525" s="129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 spans="1:26" ht="15.75" customHeight="1" x14ac:dyDescent="0.3">
      <c r="A526" s="107"/>
      <c r="B526" s="107"/>
      <c r="C526" s="107"/>
      <c r="D526" s="108"/>
      <c r="E526" s="109"/>
      <c r="F526" s="109"/>
      <c r="G526" s="107"/>
      <c r="H526" s="129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 spans="1:26" ht="15.75" customHeight="1" x14ac:dyDescent="0.3">
      <c r="A527" s="107"/>
      <c r="B527" s="107"/>
      <c r="C527" s="107"/>
      <c r="D527" s="108"/>
      <c r="E527" s="109"/>
      <c r="F527" s="109"/>
      <c r="G527" s="107"/>
      <c r="H527" s="129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 spans="1:26" ht="15.75" customHeight="1" x14ac:dyDescent="0.3">
      <c r="A528" s="107"/>
      <c r="B528" s="107"/>
      <c r="C528" s="107"/>
      <c r="D528" s="108"/>
      <c r="E528" s="109"/>
      <c r="F528" s="109"/>
      <c r="G528" s="107"/>
      <c r="H528" s="129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 spans="1:26" ht="15.75" customHeight="1" x14ac:dyDescent="0.3">
      <c r="A529" s="107"/>
      <c r="B529" s="107"/>
      <c r="C529" s="107"/>
      <c r="D529" s="108"/>
      <c r="E529" s="109"/>
      <c r="F529" s="109"/>
      <c r="G529" s="107"/>
      <c r="H529" s="129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 spans="1:26" ht="15.75" customHeight="1" x14ac:dyDescent="0.3">
      <c r="A530" s="107"/>
      <c r="B530" s="107"/>
      <c r="C530" s="107"/>
      <c r="D530" s="108"/>
      <c r="E530" s="109"/>
      <c r="F530" s="109"/>
      <c r="G530" s="107"/>
      <c r="H530" s="129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 spans="1:26" ht="15.75" customHeight="1" x14ac:dyDescent="0.3">
      <c r="A531" s="107"/>
      <c r="B531" s="107"/>
      <c r="C531" s="107"/>
      <c r="D531" s="108"/>
      <c r="E531" s="109"/>
      <c r="F531" s="109"/>
      <c r="G531" s="107"/>
      <c r="H531" s="129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 spans="1:26" ht="15.75" customHeight="1" x14ac:dyDescent="0.3">
      <c r="A532" s="107"/>
      <c r="B532" s="107"/>
      <c r="C532" s="107"/>
      <c r="D532" s="108"/>
      <c r="E532" s="109"/>
      <c r="F532" s="109"/>
      <c r="G532" s="107"/>
      <c r="H532" s="129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 spans="1:26" ht="15.75" customHeight="1" x14ac:dyDescent="0.3">
      <c r="A533" s="107"/>
      <c r="B533" s="107"/>
      <c r="C533" s="107"/>
      <c r="D533" s="108"/>
      <c r="E533" s="109"/>
      <c r="F533" s="109"/>
      <c r="G533" s="107"/>
      <c r="H533" s="129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 spans="1:26" ht="15.75" customHeight="1" x14ac:dyDescent="0.3">
      <c r="A534" s="107"/>
      <c r="B534" s="107"/>
      <c r="C534" s="107"/>
      <c r="D534" s="108"/>
      <c r="E534" s="109"/>
      <c r="F534" s="109"/>
      <c r="G534" s="107"/>
      <c r="H534" s="129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 spans="1:26" ht="15.75" customHeight="1" x14ac:dyDescent="0.3">
      <c r="A535" s="107"/>
      <c r="B535" s="107"/>
      <c r="C535" s="107"/>
      <c r="D535" s="108"/>
      <c r="E535" s="109"/>
      <c r="F535" s="109"/>
      <c r="G535" s="107"/>
      <c r="H535" s="129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 spans="1:26" ht="15.75" customHeight="1" x14ac:dyDescent="0.3">
      <c r="A536" s="107"/>
      <c r="B536" s="107"/>
      <c r="C536" s="107"/>
      <c r="D536" s="108"/>
      <c r="E536" s="109"/>
      <c r="F536" s="109"/>
      <c r="G536" s="107"/>
      <c r="H536" s="129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 spans="1:26" ht="15.75" customHeight="1" x14ac:dyDescent="0.3">
      <c r="A537" s="107"/>
      <c r="B537" s="107"/>
      <c r="C537" s="107"/>
      <c r="D537" s="108"/>
      <c r="E537" s="109"/>
      <c r="F537" s="109"/>
      <c r="G537" s="107"/>
      <c r="H537" s="129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 spans="1:26" ht="15.75" customHeight="1" x14ac:dyDescent="0.3">
      <c r="A538" s="107"/>
      <c r="B538" s="107"/>
      <c r="C538" s="107"/>
      <c r="D538" s="108"/>
      <c r="E538" s="109"/>
      <c r="F538" s="109"/>
      <c r="G538" s="107"/>
      <c r="H538" s="129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 spans="1:26" ht="15.75" customHeight="1" x14ac:dyDescent="0.3">
      <c r="A539" s="107"/>
      <c r="B539" s="107"/>
      <c r="C539" s="107"/>
      <c r="D539" s="108"/>
      <c r="E539" s="109"/>
      <c r="F539" s="109"/>
      <c r="G539" s="107"/>
      <c r="H539" s="129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 spans="1:26" ht="15.75" customHeight="1" x14ac:dyDescent="0.3">
      <c r="A540" s="107"/>
      <c r="B540" s="107"/>
      <c r="C540" s="107"/>
      <c r="D540" s="108"/>
      <c r="E540" s="109"/>
      <c r="F540" s="109"/>
      <c r="G540" s="107"/>
      <c r="H540" s="129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 spans="1:26" ht="15.75" customHeight="1" x14ac:dyDescent="0.3">
      <c r="A541" s="107"/>
      <c r="B541" s="107"/>
      <c r="C541" s="107"/>
      <c r="D541" s="108"/>
      <c r="E541" s="109"/>
      <c r="F541" s="109"/>
      <c r="G541" s="107"/>
      <c r="H541" s="129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 spans="1:26" ht="15.75" customHeight="1" x14ac:dyDescent="0.3">
      <c r="A542" s="107"/>
      <c r="B542" s="107"/>
      <c r="C542" s="107"/>
      <c r="D542" s="108"/>
      <c r="E542" s="109"/>
      <c r="F542" s="109"/>
      <c r="G542" s="107"/>
      <c r="H542" s="129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 spans="1:26" ht="15.75" customHeight="1" x14ac:dyDescent="0.3">
      <c r="A543" s="107"/>
      <c r="B543" s="107"/>
      <c r="C543" s="107"/>
      <c r="D543" s="108"/>
      <c r="E543" s="109"/>
      <c r="F543" s="109"/>
      <c r="G543" s="107"/>
      <c r="H543" s="129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 spans="1:26" ht="15.75" customHeight="1" x14ac:dyDescent="0.3">
      <c r="A544" s="107"/>
      <c r="B544" s="107"/>
      <c r="C544" s="107"/>
      <c r="D544" s="108"/>
      <c r="E544" s="109"/>
      <c r="F544" s="109"/>
      <c r="G544" s="107"/>
      <c r="H544" s="129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 spans="1:26" ht="15.75" customHeight="1" x14ac:dyDescent="0.3">
      <c r="A545" s="107"/>
      <c r="B545" s="107"/>
      <c r="C545" s="107"/>
      <c r="D545" s="108"/>
      <c r="E545" s="109"/>
      <c r="F545" s="109"/>
      <c r="G545" s="107"/>
      <c r="H545" s="129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 spans="1:26" ht="15.75" customHeight="1" x14ac:dyDescent="0.3">
      <c r="A546" s="107"/>
      <c r="B546" s="107"/>
      <c r="C546" s="107"/>
      <c r="D546" s="108"/>
      <c r="E546" s="109"/>
      <c r="F546" s="109"/>
      <c r="G546" s="107"/>
      <c r="H546" s="129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 spans="1:26" ht="15.75" customHeight="1" x14ac:dyDescent="0.3">
      <c r="A547" s="107"/>
      <c r="B547" s="107"/>
      <c r="C547" s="107"/>
      <c r="D547" s="108"/>
      <c r="E547" s="109"/>
      <c r="F547" s="109"/>
      <c r="G547" s="107"/>
      <c r="H547" s="129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 spans="1:26" ht="15.75" customHeight="1" x14ac:dyDescent="0.3">
      <c r="A548" s="107"/>
      <c r="B548" s="107"/>
      <c r="C548" s="107"/>
      <c r="D548" s="108"/>
      <c r="E548" s="109"/>
      <c r="F548" s="109"/>
      <c r="G548" s="107"/>
      <c r="H548" s="129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 spans="1:26" ht="15.75" customHeight="1" x14ac:dyDescent="0.3">
      <c r="A549" s="107"/>
      <c r="B549" s="107"/>
      <c r="C549" s="107"/>
      <c r="D549" s="108"/>
      <c r="E549" s="109"/>
      <c r="F549" s="109"/>
      <c r="G549" s="107"/>
      <c r="H549" s="129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 spans="1:26" ht="15.75" customHeight="1" x14ac:dyDescent="0.3">
      <c r="A550" s="107"/>
      <c r="B550" s="107"/>
      <c r="C550" s="107"/>
      <c r="D550" s="108"/>
      <c r="E550" s="109"/>
      <c r="F550" s="109"/>
      <c r="G550" s="107"/>
      <c r="H550" s="129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 spans="1:26" ht="15.75" customHeight="1" x14ac:dyDescent="0.3">
      <c r="A551" s="107"/>
      <c r="B551" s="107"/>
      <c r="C551" s="107"/>
      <c r="D551" s="108"/>
      <c r="E551" s="109"/>
      <c r="F551" s="109"/>
      <c r="G551" s="107"/>
      <c r="H551" s="129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 spans="1:26" ht="15.75" customHeight="1" x14ac:dyDescent="0.3">
      <c r="A552" s="107"/>
      <c r="B552" s="107"/>
      <c r="C552" s="107"/>
      <c r="D552" s="108"/>
      <c r="E552" s="109"/>
      <c r="F552" s="109"/>
      <c r="G552" s="107"/>
      <c r="H552" s="129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 spans="1:26" ht="15.75" customHeight="1" x14ac:dyDescent="0.3">
      <c r="A553" s="107"/>
      <c r="B553" s="107"/>
      <c r="C553" s="107"/>
      <c r="D553" s="108"/>
      <c r="E553" s="109"/>
      <c r="F553" s="109"/>
      <c r="G553" s="107"/>
      <c r="H553" s="129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 spans="1:26" ht="15.75" customHeight="1" x14ac:dyDescent="0.3">
      <c r="A554" s="107"/>
      <c r="B554" s="107"/>
      <c r="C554" s="107"/>
      <c r="D554" s="108"/>
      <c r="E554" s="109"/>
      <c r="F554" s="109"/>
      <c r="G554" s="107"/>
      <c r="H554" s="129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 spans="1:26" ht="15.75" customHeight="1" x14ac:dyDescent="0.3">
      <c r="A555" s="107"/>
      <c r="B555" s="107"/>
      <c r="C555" s="107"/>
      <c r="D555" s="108"/>
      <c r="E555" s="109"/>
      <c r="F555" s="109"/>
      <c r="G555" s="107"/>
      <c r="H555" s="129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 spans="1:26" ht="15.75" customHeight="1" x14ac:dyDescent="0.3">
      <c r="A556" s="107"/>
      <c r="B556" s="107"/>
      <c r="C556" s="107"/>
      <c r="D556" s="108"/>
      <c r="E556" s="109"/>
      <c r="F556" s="109"/>
      <c r="G556" s="107"/>
      <c r="H556" s="129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 spans="1:26" ht="15.75" customHeight="1" x14ac:dyDescent="0.3">
      <c r="A557" s="107"/>
      <c r="B557" s="107"/>
      <c r="C557" s="107"/>
      <c r="D557" s="108"/>
      <c r="E557" s="109"/>
      <c r="F557" s="109"/>
      <c r="G557" s="107"/>
      <c r="H557" s="129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 spans="1:26" ht="15.75" customHeight="1" x14ac:dyDescent="0.3">
      <c r="A558" s="107"/>
      <c r="B558" s="107"/>
      <c r="C558" s="107"/>
      <c r="D558" s="108"/>
      <c r="E558" s="109"/>
      <c r="F558" s="109"/>
      <c r="G558" s="107"/>
      <c r="H558" s="129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 spans="1:26" ht="15.75" customHeight="1" x14ac:dyDescent="0.3">
      <c r="A559" s="107"/>
      <c r="B559" s="107"/>
      <c r="C559" s="107"/>
      <c r="D559" s="108"/>
      <c r="E559" s="109"/>
      <c r="F559" s="109"/>
      <c r="G559" s="107"/>
      <c r="H559" s="129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 spans="1:26" ht="15.75" customHeight="1" x14ac:dyDescent="0.3">
      <c r="A560" s="107"/>
      <c r="B560" s="107"/>
      <c r="C560" s="107"/>
      <c r="D560" s="108"/>
      <c r="E560" s="109"/>
      <c r="F560" s="109"/>
      <c r="G560" s="107"/>
      <c r="H560" s="129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 spans="1:26" ht="15.75" customHeight="1" x14ac:dyDescent="0.3">
      <c r="A561" s="107"/>
      <c r="B561" s="107"/>
      <c r="C561" s="107"/>
      <c r="D561" s="108"/>
      <c r="E561" s="109"/>
      <c r="F561" s="109"/>
      <c r="G561" s="107"/>
      <c r="H561" s="129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 spans="1:26" ht="15.75" customHeight="1" x14ac:dyDescent="0.3">
      <c r="A562" s="107"/>
      <c r="B562" s="107"/>
      <c r="C562" s="107"/>
      <c r="D562" s="108"/>
      <c r="E562" s="109"/>
      <c r="F562" s="109"/>
      <c r="G562" s="107"/>
      <c r="H562" s="129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 spans="1:26" ht="15.75" customHeight="1" x14ac:dyDescent="0.3">
      <c r="A563" s="107"/>
      <c r="B563" s="107"/>
      <c r="C563" s="107"/>
      <c r="D563" s="108"/>
      <c r="E563" s="109"/>
      <c r="F563" s="109"/>
      <c r="G563" s="107"/>
      <c r="H563" s="129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 spans="1:26" ht="15.75" customHeight="1" x14ac:dyDescent="0.3">
      <c r="A564" s="107"/>
      <c r="B564" s="107"/>
      <c r="C564" s="107"/>
      <c r="D564" s="108"/>
      <c r="E564" s="109"/>
      <c r="F564" s="109"/>
      <c r="G564" s="107"/>
      <c r="H564" s="129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 spans="1:26" ht="15.75" customHeight="1" x14ac:dyDescent="0.3">
      <c r="A565" s="107"/>
      <c r="B565" s="107"/>
      <c r="C565" s="107"/>
      <c r="D565" s="108"/>
      <c r="E565" s="109"/>
      <c r="F565" s="109"/>
      <c r="G565" s="107"/>
      <c r="H565" s="129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 spans="1:26" ht="15.75" customHeight="1" x14ac:dyDescent="0.3">
      <c r="A566" s="107"/>
      <c r="B566" s="107"/>
      <c r="C566" s="107"/>
      <c r="D566" s="108"/>
      <c r="E566" s="109"/>
      <c r="F566" s="109"/>
      <c r="G566" s="107"/>
      <c r="H566" s="129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 spans="1:26" ht="15.75" customHeight="1" x14ac:dyDescent="0.3">
      <c r="A567" s="107"/>
      <c r="B567" s="107"/>
      <c r="C567" s="107"/>
      <c r="D567" s="108"/>
      <c r="E567" s="109"/>
      <c r="F567" s="109"/>
      <c r="G567" s="107"/>
      <c r="H567" s="129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 spans="1:26" ht="15.75" customHeight="1" x14ac:dyDescent="0.3">
      <c r="A568" s="107"/>
      <c r="B568" s="107"/>
      <c r="C568" s="107"/>
      <c r="D568" s="108"/>
      <c r="E568" s="109"/>
      <c r="F568" s="109"/>
      <c r="G568" s="107"/>
      <c r="H568" s="129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 spans="1:26" ht="15.75" customHeight="1" x14ac:dyDescent="0.3">
      <c r="A569" s="107"/>
      <c r="B569" s="107"/>
      <c r="C569" s="107"/>
      <c r="D569" s="108"/>
      <c r="E569" s="109"/>
      <c r="F569" s="109"/>
      <c r="G569" s="107"/>
      <c r="H569" s="129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 spans="1:26" ht="15.75" customHeight="1" x14ac:dyDescent="0.3">
      <c r="A570" s="107"/>
      <c r="B570" s="107"/>
      <c r="C570" s="107"/>
      <c r="D570" s="108"/>
      <c r="E570" s="109"/>
      <c r="F570" s="109"/>
      <c r="G570" s="107"/>
      <c r="H570" s="129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 spans="1:26" ht="15.75" customHeight="1" x14ac:dyDescent="0.3">
      <c r="A571" s="107"/>
      <c r="B571" s="107"/>
      <c r="C571" s="107"/>
      <c r="D571" s="108"/>
      <c r="E571" s="109"/>
      <c r="F571" s="109"/>
      <c r="G571" s="107"/>
      <c r="H571" s="129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 spans="1:26" ht="15.75" customHeight="1" x14ac:dyDescent="0.3">
      <c r="A572" s="107"/>
      <c r="B572" s="107"/>
      <c r="C572" s="107"/>
      <c r="D572" s="108"/>
      <c r="E572" s="109"/>
      <c r="F572" s="109"/>
      <c r="G572" s="107"/>
      <c r="H572" s="129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 spans="1:26" ht="15.75" customHeight="1" x14ac:dyDescent="0.3">
      <c r="A573" s="107"/>
      <c r="B573" s="107"/>
      <c r="C573" s="107"/>
      <c r="D573" s="108"/>
      <c r="E573" s="109"/>
      <c r="F573" s="109"/>
      <c r="G573" s="107"/>
      <c r="H573" s="129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 spans="1:26" ht="15.75" customHeight="1" x14ac:dyDescent="0.3">
      <c r="A574" s="107"/>
      <c r="B574" s="107"/>
      <c r="C574" s="107"/>
      <c r="D574" s="108"/>
      <c r="E574" s="109"/>
      <c r="F574" s="109"/>
      <c r="G574" s="107"/>
      <c r="H574" s="129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 spans="1:26" ht="15.75" customHeight="1" x14ac:dyDescent="0.3">
      <c r="A575" s="107"/>
      <c r="B575" s="107"/>
      <c r="C575" s="107"/>
      <c r="D575" s="108"/>
      <c r="E575" s="109"/>
      <c r="F575" s="109"/>
      <c r="G575" s="107"/>
      <c r="H575" s="129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 spans="1:26" ht="15.75" customHeight="1" x14ac:dyDescent="0.3">
      <c r="A576" s="107"/>
      <c r="B576" s="107"/>
      <c r="C576" s="107"/>
      <c r="D576" s="108"/>
      <c r="E576" s="109"/>
      <c r="F576" s="109"/>
      <c r="G576" s="107"/>
      <c r="H576" s="129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 spans="1:26" ht="15.75" customHeight="1" x14ac:dyDescent="0.3">
      <c r="A577" s="107"/>
      <c r="B577" s="107"/>
      <c r="C577" s="107"/>
      <c r="D577" s="108"/>
      <c r="E577" s="109"/>
      <c r="F577" s="109"/>
      <c r="G577" s="107"/>
      <c r="H577" s="129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 spans="1:26" ht="15.75" customHeight="1" x14ac:dyDescent="0.3">
      <c r="A578" s="107"/>
      <c r="B578" s="107"/>
      <c r="C578" s="107"/>
      <c r="D578" s="108"/>
      <c r="E578" s="109"/>
      <c r="F578" s="109"/>
      <c r="G578" s="107"/>
      <c r="H578" s="129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 spans="1:26" ht="15.75" customHeight="1" x14ac:dyDescent="0.3">
      <c r="A579" s="107"/>
      <c r="B579" s="107"/>
      <c r="C579" s="107"/>
      <c r="D579" s="108"/>
      <c r="E579" s="109"/>
      <c r="F579" s="109"/>
      <c r="G579" s="107"/>
      <c r="H579" s="129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 spans="1:26" ht="15.75" customHeight="1" x14ac:dyDescent="0.3">
      <c r="A580" s="107"/>
      <c r="B580" s="107"/>
      <c r="C580" s="107"/>
      <c r="D580" s="108"/>
      <c r="E580" s="109"/>
      <c r="F580" s="109"/>
      <c r="G580" s="107"/>
      <c r="H580" s="129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 spans="1:26" ht="15.75" customHeight="1" x14ac:dyDescent="0.3">
      <c r="A581" s="107"/>
      <c r="B581" s="107"/>
      <c r="C581" s="107"/>
      <c r="D581" s="108"/>
      <c r="E581" s="109"/>
      <c r="F581" s="109"/>
      <c r="G581" s="107"/>
      <c r="H581" s="129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 spans="1:26" ht="15.75" customHeight="1" x14ac:dyDescent="0.3">
      <c r="A582" s="107"/>
      <c r="B582" s="107"/>
      <c r="C582" s="107"/>
      <c r="D582" s="108"/>
      <c r="E582" s="109"/>
      <c r="F582" s="109"/>
      <c r="G582" s="107"/>
      <c r="H582" s="129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 spans="1:26" ht="15.75" customHeight="1" x14ac:dyDescent="0.3">
      <c r="A583" s="107"/>
      <c r="B583" s="107"/>
      <c r="C583" s="107"/>
      <c r="D583" s="108"/>
      <c r="E583" s="109"/>
      <c r="F583" s="109"/>
      <c r="G583" s="107"/>
      <c r="H583" s="129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 spans="1:26" ht="15.75" customHeight="1" x14ac:dyDescent="0.3">
      <c r="A584" s="107"/>
      <c r="B584" s="107"/>
      <c r="C584" s="107"/>
      <c r="D584" s="108"/>
      <c r="E584" s="109"/>
      <c r="F584" s="109"/>
      <c r="G584" s="107"/>
      <c r="H584" s="129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 spans="1:26" ht="15.75" customHeight="1" x14ac:dyDescent="0.3">
      <c r="A585" s="107"/>
      <c r="B585" s="107"/>
      <c r="C585" s="107"/>
      <c r="D585" s="108"/>
      <c r="E585" s="109"/>
      <c r="F585" s="109"/>
      <c r="G585" s="107"/>
      <c r="H585" s="129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 spans="1:26" ht="15.75" customHeight="1" x14ac:dyDescent="0.3">
      <c r="A586" s="107"/>
      <c r="B586" s="107"/>
      <c r="C586" s="107"/>
      <c r="D586" s="108"/>
      <c r="E586" s="109"/>
      <c r="F586" s="109"/>
      <c r="G586" s="107"/>
      <c r="H586" s="129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 spans="1:26" ht="15.75" customHeight="1" x14ac:dyDescent="0.3">
      <c r="A587" s="107"/>
      <c r="B587" s="107"/>
      <c r="C587" s="107"/>
      <c r="D587" s="108"/>
      <c r="E587" s="109"/>
      <c r="F587" s="109"/>
      <c r="G587" s="107"/>
      <c r="H587" s="129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 spans="1:26" ht="15.75" customHeight="1" x14ac:dyDescent="0.3">
      <c r="A588" s="107"/>
      <c r="B588" s="107"/>
      <c r="C588" s="107"/>
      <c r="D588" s="108"/>
      <c r="E588" s="109"/>
      <c r="F588" s="109"/>
      <c r="G588" s="107"/>
      <c r="H588" s="129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 spans="1:26" ht="15.75" customHeight="1" x14ac:dyDescent="0.3">
      <c r="A589" s="107"/>
      <c r="B589" s="107"/>
      <c r="C589" s="107"/>
      <c r="D589" s="108"/>
      <c r="E589" s="109"/>
      <c r="F589" s="109"/>
      <c r="G589" s="107"/>
      <c r="H589" s="129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 spans="1:26" ht="15.75" customHeight="1" x14ac:dyDescent="0.3">
      <c r="A590" s="107"/>
      <c r="B590" s="107"/>
      <c r="C590" s="107"/>
      <c r="D590" s="108"/>
      <c r="E590" s="109"/>
      <c r="F590" s="109"/>
      <c r="G590" s="107"/>
      <c r="H590" s="129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 spans="1:26" ht="15.75" customHeight="1" x14ac:dyDescent="0.3">
      <c r="A591" s="107"/>
      <c r="B591" s="107"/>
      <c r="C591" s="107"/>
      <c r="D591" s="108"/>
      <c r="E591" s="109"/>
      <c r="F591" s="109"/>
      <c r="G591" s="107"/>
      <c r="H591" s="129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 spans="1:26" ht="15.75" customHeight="1" x14ac:dyDescent="0.3">
      <c r="A592" s="107"/>
      <c r="B592" s="107"/>
      <c r="C592" s="107"/>
      <c r="D592" s="108"/>
      <c r="E592" s="109"/>
      <c r="F592" s="109"/>
      <c r="G592" s="107"/>
      <c r="H592" s="129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 spans="1:26" ht="15.75" customHeight="1" x14ac:dyDescent="0.3">
      <c r="A593" s="107"/>
      <c r="B593" s="107"/>
      <c r="C593" s="107"/>
      <c r="D593" s="108"/>
      <c r="E593" s="109"/>
      <c r="F593" s="109"/>
      <c r="G593" s="107"/>
      <c r="H593" s="129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 spans="1:26" ht="15.75" customHeight="1" x14ac:dyDescent="0.3">
      <c r="A594" s="107"/>
      <c r="B594" s="107"/>
      <c r="C594" s="107"/>
      <c r="D594" s="108"/>
      <c r="E594" s="109"/>
      <c r="F594" s="109"/>
      <c r="G594" s="107"/>
      <c r="H594" s="129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 spans="1:26" ht="15.75" customHeight="1" x14ac:dyDescent="0.3">
      <c r="A595" s="107"/>
      <c r="B595" s="107"/>
      <c r="C595" s="107"/>
      <c r="D595" s="108"/>
      <c r="E595" s="109"/>
      <c r="F595" s="109"/>
      <c r="G595" s="107"/>
      <c r="H595" s="129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 spans="1:26" ht="15.75" customHeight="1" x14ac:dyDescent="0.3">
      <c r="A596" s="107"/>
      <c r="B596" s="107"/>
      <c r="C596" s="107"/>
      <c r="D596" s="108"/>
      <c r="E596" s="109"/>
      <c r="F596" s="109"/>
      <c r="G596" s="107"/>
      <c r="H596" s="129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 spans="1:26" ht="15.75" customHeight="1" x14ac:dyDescent="0.3">
      <c r="A597" s="107"/>
      <c r="B597" s="107"/>
      <c r="C597" s="107"/>
      <c r="D597" s="108"/>
      <c r="E597" s="109"/>
      <c r="F597" s="109"/>
      <c r="G597" s="107"/>
      <c r="H597" s="129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 spans="1:26" ht="15.75" customHeight="1" x14ac:dyDescent="0.3">
      <c r="A598" s="107"/>
      <c r="B598" s="107"/>
      <c r="C598" s="107"/>
      <c r="D598" s="108"/>
      <c r="E598" s="109"/>
      <c r="F598" s="109"/>
      <c r="G598" s="107"/>
      <c r="H598" s="129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 spans="1:26" ht="15.75" customHeight="1" x14ac:dyDescent="0.3">
      <c r="A599" s="107"/>
      <c r="B599" s="107"/>
      <c r="C599" s="107"/>
      <c r="D599" s="108"/>
      <c r="E599" s="109"/>
      <c r="F599" s="109"/>
      <c r="G599" s="107"/>
      <c r="H599" s="129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 spans="1:26" ht="15.75" customHeight="1" x14ac:dyDescent="0.3">
      <c r="A600" s="107"/>
      <c r="B600" s="107"/>
      <c r="C600" s="107"/>
      <c r="D600" s="108"/>
      <c r="E600" s="109"/>
      <c r="F600" s="109"/>
      <c r="G600" s="107"/>
      <c r="H600" s="129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 spans="1:26" ht="15.75" customHeight="1" x14ac:dyDescent="0.3">
      <c r="A601" s="107"/>
      <c r="B601" s="107"/>
      <c r="C601" s="107"/>
      <c r="D601" s="108"/>
      <c r="E601" s="109"/>
      <c r="F601" s="109"/>
      <c r="G601" s="107"/>
      <c r="H601" s="129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 spans="1:26" ht="15.75" customHeight="1" x14ac:dyDescent="0.3">
      <c r="A602" s="107"/>
      <c r="B602" s="107"/>
      <c r="C602" s="107"/>
      <c r="D602" s="108"/>
      <c r="E602" s="109"/>
      <c r="F602" s="109"/>
      <c r="G602" s="107"/>
      <c r="H602" s="129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 spans="1:26" ht="15.75" customHeight="1" x14ac:dyDescent="0.3">
      <c r="A603" s="107"/>
      <c r="B603" s="107"/>
      <c r="C603" s="107"/>
      <c r="D603" s="108"/>
      <c r="E603" s="109"/>
      <c r="F603" s="109"/>
      <c r="G603" s="107"/>
      <c r="H603" s="129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 spans="1:26" ht="15.75" customHeight="1" x14ac:dyDescent="0.3">
      <c r="A604" s="107"/>
      <c r="B604" s="107"/>
      <c r="C604" s="107"/>
      <c r="D604" s="108"/>
      <c r="E604" s="109"/>
      <c r="F604" s="109"/>
      <c r="G604" s="107"/>
      <c r="H604" s="129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 spans="1:26" ht="15.75" customHeight="1" x14ac:dyDescent="0.3">
      <c r="A605" s="107"/>
      <c r="B605" s="107"/>
      <c r="C605" s="107"/>
      <c r="D605" s="108"/>
      <c r="E605" s="109"/>
      <c r="F605" s="109"/>
      <c r="G605" s="107"/>
      <c r="H605" s="129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 spans="1:26" ht="15.75" customHeight="1" x14ac:dyDescent="0.3">
      <c r="A606" s="107"/>
      <c r="B606" s="107"/>
      <c r="C606" s="107"/>
      <c r="D606" s="108"/>
      <c r="E606" s="109"/>
      <c r="F606" s="109"/>
      <c r="G606" s="107"/>
      <c r="H606" s="129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 spans="1:26" ht="15.75" customHeight="1" x14ac:dyDescent="0.3">
      <c r="A607" s="107"/>
      <c r="B607" s="107"/>
      <c r="C607" s="107"/>
      <c r="D607" s="108"/>
      <c r="E607" s="109"/>
      <c r="F607" s="109"/>
      <c r="G607" s="107"/>
      <c r="H607" s="129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 spans="1:26" ht="15.75" customHeight="1" x14ac:dyDescent="0.3">
      <c r="A608" s="107"/>
      <c r="B608" s="107"/>
      <c r="C608" s="107"/>
      <c r="D608" s="108"/>
      <c r="E608" s="109"/>
      <c r="F608" s="109"/>
      <c r="G608" s="107"/>
      <c r="H608" s="129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 spans="1:26" ht="15.75" customHeight="1" x14ac:dyDescent="0.3">
      <c r="A609" s="107"/>
      <c r="B609" s="107"/>
      <c r="C609" s="107"/>
      <c r="D609" s="108"/>
      <c r="E609" s="109"/>
      <c r="F609" s="109"/>
      <c r="G609" s="107"/>
      <c r="H609" s="129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 spans="1:26" ht="15.75" customHeight="1" x14ac:dyDescent="0.3">
      <c r="A610" s="107"/>
      <c r="B610" s="107"/>
      <c r="C610" s="107"/>
      <c r="D610" s="108"/>
      <c r="E610" s="109"/>
      <c r="F610" s="109"/>
      <c r="G610" s="107"/>
      <c r="H610" s="129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 spans="1:26" ht="15.75" customHeight="1" x14ac:dyDescent="0.3">
      <c r="A611" s="107"/>
      <c r="B611" s="107"/>
      <c r="C611" s="107"/>
      <c r="D611" s="108"/>
      <c r="E611" s="109"/>
      <c r="F611" s="109"/>
      <c r="G611" s="107"/>
      <c r="H611" s="129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 spans="1:26" ht="15.75" customHeight="1" x14ac:dyDescent="0.3">
      <c r="A612" s="107"/>
      <c r="B612" s="107"/>
      <c r="C612" s="107"/>
      <c r="D612" s="108"/>
      <c r="E612" s="109"/>
      <c r="F612" s="109"/>
      <c r="G612" s="107"/>
      <c r="H612" s="129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 spans="1:26" ht="15.75" customHeight="1" x14ac:dyDescent="0.3">
      <c r="A613" s="107"/>
      <c r="B613" s="107"/>
      <c r="C613" s="107"/>
      <c r="D613" s="108"/>
      <c r="E613" s="109"/>
      <c r="F613" s="109"/>
      <c r="G613" s="107"/>
      <c r="H613" s="129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 spans="1:26" ht="15.75" customHeight="1" x14ac:dyDescent="0.3">
      <c r="A614" s="107"/>
      <c r="B614" s="107"/>
      <c r="C614" s="107"/>
      <c r="D614" s="108"/>
      <c r="E614" s="109"/>
      <c r="F614" s="109"/>
      <c r="G614" s="107"/>
      <c r="H614" s="129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 spans="1:26" ht="15.75" customHeight="1" x14ac:dyDescent="0.3">
      <c r="A615" s="107"/>
      <c r="B615" s="107"/>
      <c r="C615" s="107"/>
      <c r="D615" s="108"/>
      <c r="E615" s="109"/>
      <c r="F615" s="109"/>
      <c r="G615" s="107"/>
      <c r="H615" s="129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 spans="1:26" ht="15.75" customHeight="1" x14ac:dyDescent="0.3">
      <c r="A616" s="107"/>
      <c r="B616" s="107"/>
      <c r="C616" s="107"/>
      <c r="D616" s="108"/>
      <c r="E616" s="109"/>
      <c r="F616" s="109"/>
      <c r="G616" s="107"/>
      <c r="H616" s="129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 spans="1:26" ht="15.75" customHeight="1" x14ac:dyDescent="0.3">
      <c r="A617" s="107"/>
      <c r="B617" s="107"/>
      <c r="C617" s="107"/>
      <c r="D617" s="108"/>
      <c r="E617" s="109"/>
      <c r="F617" s="109"/>
      <c r="G617" s="107"/>
      <c r="H617" s="129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 spans="1:26" ht="15.75" customHeight="1" x14ac:dyDescent="0.3">
      <c r="A618" s="107"/>
      <c r="B618" s="107"/>
      <c r="C618" s="107"/>
      <c r="D618" s="108"/>
      <c r="E618" s="109"/>
      <c r="F618" s="109"/>
      <c r="G618" s="107"/>
      <c r="H618" s="129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 spans="1:26" ht="15.75" customHeight="1" x14ac:dyDescent="0.3">
      <c r="A619" s="107"/>
      <c r="B619" s="107"/>
      <c r="C619" s="107"/>
      <c r="D619" s="108"/>
      <c r="E619" s="109"/>
      <c r="F619" s="109"/>
      <c r="G619" s="107"/>
      <c r="H619" s="129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 spans="1:26" ht="15.75" customHeight="1" x14ac:dyDescent="0.3">
      <c r="A620" s="107"/>
      <c r="B620" s="107"/>
      <c r="C620" s="107"/>
      <c r="D620" s="108"/>
      <c r="E620" s="109"/>
      <c r="F620" s="109"/>
      <c r="G620" s="107"/>
      <c r="H620" s="129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 spans="1:26" ht="15.75" customHeight="1" x14ac:dyDescent="0.3">
      <c r="A621" s="107"/>
      <c r="B621" s="107"/>
      <c r="C621" s="107"/>
      <c r="D621" s="108"/>
      <c r="E621" s="109"/>
      <c r="F621" s="109"/>
      <c r="G621" s="107"/>
      <c r="H621" s="129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 spans="1:26" ht="15.75" customHeight="1" x14ac:dyDescent="0.3">
      <c r="A622" s="107"/>
      <c r="B622" s="107"/>
      <c r="C622" s="107"/>
      <c r="D622" s="108"/>
      <c r="E622" s="109"/>
      <c r="F622" s="109"/>
      <c r="G622" s="107"/>
      <c r="H622" s="129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 spans="1:26" ht="15.75" customHeight="1" x14ac:dyDescent="0.3">
      <c r="A623" s="107"/>
      <c r="B623" s="107"/>
      <c r="C623" s="107"/>
      <c r="D623" s="108"/>
      <c r="E623" s="109"/>
      <c r="F623" s="109"/>
      <c r="G623" s="107"/>
      <c r="H623" s="129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 spans="1:26" ht="15.75" customHeight="1" x14ac:dyDescent="0.3">
      <c r="A624" s="107"/>
      <c r="B624" s="107"/>
      <c r="C624" s="107"/>
      <c r="D624" s="108"/>
      <c r="E624" s="109"/>
      <c r="F624" s="109"/>
      <c r="G624" s="107"/>
      <c r="H624" s="129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 spans="1:26" ht="15.75" customHeight="1" x14ac:dyDescent="0.3">
      <c r="A625" s="107"/>
      <c r="B625" s="107"/>
      <c r="C625" s="107"/>
      <c r="D625" s="108"/>
      <c r="E625" s="109"/>
      <c r="F625" s="109"/>
      <c r="G625" s="107"/>
      <c r="H625" s="129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 spans="1:26" ht="15.75" customHeight="1" x14ac:dyDescent="0.3">
      <c r="A626" s="107"/>
      <c r="B626" s="107"/>
      <c r="C626" s="107"/>
      <c r="D626" s="108"/>
      <c r="E626" s="109"/>
      <c r="F626" s="109"/>
      <c r="G626" s="107"/>
      <c r="H626" s="129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 spans="1:26" ht="15.75" customHeight="1" x14ac:dyDescent="0.3">
      <c r="A627" s="107"/>
      <c r="B627" s="107"/>
      <c r="C627" s="107"/>
      <c r="D627" s="108"/>
      <c r="E627" s="109"/>
      <c r="F627" s="109"/>
      <c r="G627" s="107"/>
      <c r="H627" s="129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 spans="1:26" ht="15.75" customHeight="1" x14ac:dyDescent="0.3">
      <c r="A628" s="107"/>
      <c r="B628" s="107"/>
      <c r="C628" s="107"/>
      <c r="D628" s="108"/>
      <c r="E628" s="109"/>
      <c r="F628" s="109"/>
      <c r="G628" s="107"/>
      <c r="H628" s="129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 spans="1:26" ht="15.75" customHeight="1" x14ac:dyDescent="0.3">
      <c r="A629" s="107"/>
      <c r="B629" s="107"/>
      <c r="C629" s="107"/>
      <c r="D629" s="108"/>
      <c r="E629" s="109"/>
      <c r="F629" s="109"/>
      <c r="G629" s="107"/>
      <c r="H629" s="129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 spans="1:26" ht="15.75" customHeight="1" x14ac:dyDescent="0.3">
      <c r="A630" s="107"/>
      <c r="B630" s="107"/>
      <c r="C630" s="107"/>
      <c r="D630" s="108"/>
      <c r="E630" s="109"/>
      <c r="F630" s="109"/>
      <c r="G630" s="107"/>
      <c r="H630" s="129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 spans="1:26" ht="15.75" customHeight="1" x14ac:dyDescent="0.3">
      <c r="A631" s="107"/>
      <c r="B631" s="107"/>
      <c r="C631" s="107"/>
      <c r="D631" s="108"/>
      <c r="E631" s="109"/>
      <c r="F631" s="109"/>
      <c r="G631" s="107"/>
      <c r="H631" s="129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 spans="1:26" ht="15.75" customHeight="1" x14ac:dyDescent="0.3">
      <c r="A632" s="107"/>
      <c r="B632" s="107"/>
      <c r="C632" s="107"/>
      <c r="D632" s="108"/>
      <c r="E632" s="109"/>
      <c r="F632" s="109"/>
      <c r="G632" s="107"/>
      <c r="H632" s="129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 spans="1:26" ht="15.75" customHeight="1" x14ac:dyDescent="0.3">
      <c r="A633" s="107"/>
      <c r="B633" s="107"/>
      <c r="C633" s="107"/>
      <c r="D633" s="108"/>
      <c r="E633" s="109"/>
      <c r="F633" s="109"/>
      <c r="G633" s="107"/>
      <c r="H633" s="129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 spans="1:26" ht="15.75" customHeight="1" x14ac:dyDescent="0.3">
      <c r="A634" s="107"/>
      <c r="B634" s="107"/>
      <c r="C634" s="107"/>
      <c r="D634" s="108"/>
      <c r="E634" s="109"/>
      <c r="F634" s="109"/>
      <c r="G634" s="107"/>
      <c r="H634" s="129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 spans="1:26" ht="15.75" customHeight="1" x14ac:dyDescent="0.3">
      <c r="A635" s="107"/>
      <c r="B635" s="107"/>
      <c r="C635" s="107"/>
      <c r="D635" s="108"/>
      <c r="E635" s="109"/>
      <c r="F635" s="109"/>
      <c r="G635" s="107"/>
      <c r="H635" s="129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 spans="1:26" ht="15.75" customHeight="1" x14ac:dyDescent="0.3">
      <c r="A636" s="107"/>
      <c r="B636" s="107"/>
      <c r="C636" s="107"/>
      <c r="D636" s="108"/>
      <c r="E636" s="109"/>
      <c r="F636" s="109"/>
      <c r="G636" s="107"/>
      <c r="H636" s="129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 spans="1:26" ht="15.75" customHeight="1" x14ac:dyDescent="0.3">
      <c r="A637" s="107"/>
      <c r="B637" s="107"/>
      <c r="C637" s="107"/>
      <c r="D637" s="108"/>
      <c r="E637" s="109"/>
      <c r="F637" s="109"/>
      <c r="G637" s="107"/>
      <c r="H637" s="129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 spans="1:26" ht="15.75" customHeight="1" x14ac:dyDescent="0.3">
      <c r="A638" s="107"/>
      <c r="B638" s="107"/>
      <c r="C638" s="107"/>
      <c r="D638" s="108"/>
      <c r="E638" s="109"/>
      <c r="F638" s="109"/>
      <c r="G638" s="107"/>
      <c r="H638" s="129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 spans="1:26" ht="15.75" customHeight="1" x14ac:dyDescent="0.3">
      <c r="A639" s="107"/>
      <c r="B639" s="107"/>
      <c r="C639" s="107"/>
      <c r="D639" s="108"/>
      <c r="E639" s="109"/>
      <c r="F639" s="109"/>
      <c r="G639" s="107"/>
      <c r="H639" s="129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 spans="1:26" ht="15.75" customHeight="1" x14ac:dyDescent="0.3">
      <c r="A640" s="107"/>
      <c r="B640" s="107"/>
      <c r="C640" s="107"/>
      <c r="D640" s="108"/>
      <c r="E640" s="109"/>
      <c r="F640" s="109"/>
      <c r="G640" s="107"/>
      <c r="H640" s="129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 spans="1:26" ht="15.75" customHeight="1" x14ac:dyDescent="0.3">
      <c r="A641" s="107"/>
      <c r="B641" s="107"/>
      <c r="C641" s="107"/>
      <c r="D641" s="108"/>
      <c r="E641" s="109"/>
      <c r="F641" s="109"/>
      <c r="G641" s="107"/>
      <c r="H641" s="129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 spans="1:26" ht="15.75" customHeight="1" x14ac:dyDescent="0.3">
      <c r="A642" s="107"/>
      <c r="B642" s="107"/>
      <c r="C642" s="107"/>
      <c r="D642" s="108"/>
      <c r="E642" s="109"/>
      <c r="F642" s="109"/>
      <c r="G642" s="107"/>
      <c r="H642" s="129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 spans="1:26" ht="15.75" customHeight="1" x14ac:dyDescent="0.3">
      <c r="A643" s="107"/>
      <c r="B643" s="107"/>
      <c r="C643" s="107"/>
      <c r="D643" s="108"/>
      <c r="E643" s="109"/>
      <c r="F643" s="109"/>
      <c r="G643" s="107"/>
      <c r="H643" s="129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 spans="1:26" ht="15.75" customHeight="1" x14ac:dyDescent="0.3">
      <c r="A644" s="107"/>
      <c r="B644" s="107"/>
      <c r="C644" s="107"/>
      <c r="D644" s="108"/>
      <c r="E644" s="109"/>
      <c r="F644" s="109"/>
      <c r="G644" s="107"/>
      <c r="H644" s="129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 spans="1:26" ht="15.75" customHeight="1" x14ac:dyDescent="0.3">
      <c r="A645" s="107"/>
      <c r="B645" s="107"/>
      <c r="C645" s="107"/>
      <c r="D645" s="108"/>
      <c r="E645" s="109"/>
      <c r="F645" s="109"/>
      <c r="G645" s="107"/>
      <c r="H645" s="129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 spans="1:26" ht="15.75" customHeight="1" x14ac:dyDescent="0.3">
      <c r="A646" s="107"/>
      <c r="B646" s="107"/>
      <c r="C646" s="107"/>
      <c r="D646" s="108"/>
      <c r="E646" s="109"/>
      <c r="F646" s="109"/>
      <c r="G646" s="107"/>
      <c r="H646" s="129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 spans="1:26" ht="15.75" customHeight="1" x14ac:dyDescent="0.3">
      <c r="A647" s="107"/>
      <c r="B647" s="107"/>
      <c r="C647" s="107"/>
      <c r="D647" s="108"/>
      <c r="E647" s="109"/>
      <c r="F647" s="109"/>
      <c r="G647" s="107"/>
      <c r="H647" s="129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 spans="1:26" ht="15.75" customHeight="1" x14ac:dyDescent="0.3">
      <c r="A648" s="107"/>
      <c r="B648" s="107"/>
      <c r="C648" s="107"/>
      <c r="D648" s="108"/>
      <c r="E648" s="109"/>
      <c r="F648" s="109"/>
      <c r="G648" s="107"/>
      <c r="H648" s="129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 spans="1:26" ht="15.75" customHeight="1" x14ac:dyDescent="0.3">
      <c r="A649" s="107"/>
      <c r="B649" s="107"/>
      <c r="C649" s="107"/>
      <c r="D649" s="108"/>
      <c r="E649" s="109"/>
      <c r="F649" s="109"/>
      <c r="G649" s="107"/>
      <c r="H649" s="129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 spans="1:26" ht="15.75" customHeight="1" x14ac:dyDescent="0.3">
      <c r="A650" s="107"/>
      <c r="B650" s="107"/>
      <c r="C650" s="107"/>
      <c r="D650" s="108"/>
      <c r="E650" s="109"/>
      <c r="F650" s="109"/>
      <c r="G650" s="107"/>
      <c r="H650" s="129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 spans="1:26" ht="15.75" customHeight="1" x14ac:dyDescent="0.3">
      <c r="A651" s="107"/>
      <c r="B651" s="107"/>
      <c r="C651" s="107"/>
      <c r="D651" s="108"/>
      <c r="E651" s="109"/>
      <c r="F651" s="109"/>
      <c r="G651" s="107"/>
      <c r="H651" s="129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 spans="1:26" ht="15.75" customHeight="1" x14ac:dyDescent="0.3">
      <c r="A652" s="107"/>
      <c r="B652" s="107"/>
      <c r="C652" s="107"/>
      <c r="D652" s="108"/>
      <c r="E652" s="109"/>
      <c r="F652" s="109"/>
      <c r="G652" s="107"/>
      <c r="H652" s="129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 spans="1:26" ht="15.75" customHeight="1" x14ac:dyDescent="0.3">
      <c r="A653" s="107"/>
      <c r="B653" s="107"/>
      <c r="C653" s="107"/>
      <c r="D653" s="108"/>
      <c r="E653" s="109"/>
      <c r="F653" s="109"/>
      <c r="G653" s="107"/>
      <c r="H653" s="129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 spans="1:26" ht="15.75" customHeight="1" x14ac:dyDescent="0.3">
      <c r="A654" s="107"/>
      <c r="B654" s="107"/>
      <c r="C654" s="107"/>
      <c r="D654" s="108"/>
      <c r="E654" s="109"/>
      <c r="F654" s="109"/>
      <c r="G654" s="107"/>
      <c r="H654" s="129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 spans="1:26" ht="15.75" customHeight="1" x14ac:dyDescent="0.3">
      <c r="A655" s="107"/>
      <c r="B655" s="107"/>
      <c r="C655" s="107"/>
      <c r="D655" s="108"/>
      <c r="E655" s="109"/>
      <c r="F655" s="109"/>
      <c r="G655" s="107"/>
      <c r="H655" s="129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 spans="1:26" ht="15.75" customHeight="1" x14ac:dyDescent="0.3">
      <c r="A656" s="107"/>
      <c r="B656" s="107"/>
      <c r="C656" s="107"/>
      <c r="D656" s="108"/>
      <c r="E656" s="109"/>
      <c r="F656" s="109"/>
      <c r="G656" s="107"/>
      <c r="H656" s="129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 spans="1:26" ht="15.75" customHeight="1" x14ac:dyDescent="0.3">
      <c r="A657" s="107"/>
      <c r="B657" s="107"/>
      <c r="C657" s="107"/>
      <c r="D657" s="108"/>
      <c r="E657" s="109"/>
      <c r="F657" s="109"/>
      <c r="G657" s="107"/>
      <c r="H657" s="129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 spans="1:26" ht="15.75" customHeight="1" x14ac:dyDescent="0.3">
      <c r="A658" s="107"/>
      <c r="B658" s="107"/>
      <c r="C658" s="107"/>
      <c r="D658" s="108"/>
      <c r="E658" s="109"/>
      <c r="F658" s="109"/>
      <c r="G658" s="107"/>
      <c r="H658" s="129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 spans="1:26" ht="15.75" customHeight="1" x14ac:dyDescent="0.3">
      <c r="A659" s="107"/>
      <c r="B659" s="107"/>
      <c r="C659" s="107"/>
      <c r="D659" s="108"/>
      <c r="E659" s="109"/>
      <c r="F659" s="109"/>
      <c r="G659" s="107"/>
      <c r="H659" s="129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 spans="1:26" ht="15.75" customHeight="1" x14ac:dyDescent="0.3">
      <c r="A660" s="107"/>
      <c r="B660" s="107"/>
      <c r="C660" s="107"/>
      <c r="D660" s="108"/>
      <c r="E660" s="109"/>
      <c r="F660" s="109"/>
      <c r="G660" s="107"/>
      <c r="H660" s="129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 spans="1:26" ht="15.75" customHeight="1" x14ac:dyDescent="0.3">
      <c r="A661" s="107"/>
      <c r="B661" s="107"/>
      <c r="C661" s="107"/>
      <c r="D661" s="108"/>
      <c r="E661" s="109"/>
      <c r="F661" s="109"/>
      <c r="G661" s="107"/>
      <c r="H661" s="129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 spans="1:26" ht="15.75" customHeight="1" x14ac:dyDescent="0.3">
      <c r="A662" s="107"/>
      <c r="B662" s="107"/>
      <c r="C662" s="107"/>
      <c r="D662" s="108"/>
      <c r="E662" s="109"/>
      <c r="F662" s="109"/>
      <c r="G662" s="107"/>
      <c r="H662" s="129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 spans="1:26" ht="15.75" customHeight="1" x14ac:dyDescent="0.3">
      <c r="A663" s="107"/>
      <c r="B663" s="107"/>
      <c r="C663" s="107"/>
      <c r="D663" s="108"/>
      <c r="E663" s="109"/>
      <c r="F663" s="109"/>
      <c r="G663" s="107"/>
      <c r="H663" s="129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 spans="1:26" ht="15.75" customHeight="1" x14ac:dyDescent="0.3">
      <c r="A664" s="107"/>
      <c r="B664" s="107"/>
      <c r="C664" s="107"/>
      <c r="D664" s="108"/>
      <c r="E664" s="109"/>
      <c r="F664" s="109"/>
      <c r="G664" s="107"/>
      <c r="H664" s="129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 spans="1:26" ht="15.75" customHeight="1" x14ac:dyDescent="0.3">
      <c r="A665" s="107"/>
      <c r="B665" s="107"/>
      <c r="C665" s="107"/>
      <c r="D665" s="108"/>
      <c r="E665" s="109"/>
      <c r="F665" s="109"/>
      <c r="G665" s="107"/>
      <c r="H665" s="129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 spans="1:26" ht="15.75" customHeight="1" x14ac:dyDescent="0.3">
      <c r="A666" s="107"/>
      <c r="B666" s="107"/>
      <c r="C666" s="107"/>
      <c r="D666" s="108"/>
      <c r="E666" s="109"/>
      <c r="F666" s="109"/>
      <c r="G666" s="107"/>
      <c r="H666" s="129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 spans="1:26" ht="15.75" customHeight="1" x14ac:dyDescent="0.3">
      <c r="A667" s="107"/>
      <c r="B667" s="107"/>
      <c r="C667" s="107"/>
      <c r="D667" s="108"/>
      <c r="E667" s="109"/>
      <c r="F667" s="109"/>
      <c r="G667" s="107"/>
      <c r="H667" s="129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 spans="1:26" ht="15.75" customHeight="1" x14ac:dyDescent="0.3">
      <c r="A668" s="107"/>
      <c r="B668" s="107"/>
      <c r="C668" s="107"/>
      <c r="D668" s="108"/>
      <c r="E668" s="109"/>
      <c r="F668" s="109"/>
      <c r="G668" s="107"/>
      <c r="H668" s="129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 spans="1:26" ht="15.75" customHeight="1" x14ac:dyDescent="0.3">
      <c r="A669" s="107"/>
      <c r="B669" s="107"/>
      <c r="C669" s="107"/>
      <c r="D669" s="108"/>
      <c r="E669" s="109"/>
      <c r="F669" s="109"/>
      <c r="G669" s="107"/>
      <c r="H669" s="129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 spans="1:26" ht="15.75" customHeight="1" x14ac:dyDescent="0.3">
      <c r="A670" s="107"/>
      <c r="B670" s="107"/>
      <c r="C670" s="107"/>
      <c r="D670" s="108"/>
      <c r="E670" s="109"/>
      <c r="F670" s="109"/>
      <c r="G670" s="107"/>
      <c r="H670" s="129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 spans="1:26" ht="15.75" customHeight="1" x14ac:dyDescent="0.3">
      <c r="A671" s="107"/>
      <c r="B671" s="107"/>
      <c r="C671" s="107"/>
      <c r="D671" s="108"/>
      <c r="E671" s="109"/>
      <c r="F671" s="109"/>
      <c r="G671" s="107"/>
      <c r="H671" s="129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 spans="1:26" ht="15.75" customHeight="1" x14ac:dyDescent="0.3">
      <c r="A672" s="107"/>
      <c r="B672" s="107"/>
      <c r="C672" s="107"/>
      <c r="D672" s="108"/>
      <c r="E672" s="109"/>
      <c r="F672" s="109"/>
      <c r="G672" s="107"/>
      <c r="H672" s="129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 spans="1:26" ht="15.75" customHeight="1" x14ac:dyDescent="0.3">
      <c r="A673" s="107"/>
      <c r="B673" s="107"/>
      <c r="C673" s="107"/>
      <c r="D673" s="108"/>
      <c r="E673" s="109"/>
      <c r="F673" s="109"/>
      <c r="G673" s="107"/>
      <c r="H673" s="129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 spans="1:26" ht="15.75" customHeight="1" x14ac:dyDescent="0.3">
      <c r="A674" s="107"/>
      <c r="B674" s="107"/>
      <c r="C674" s="107"/>
      <c r="D674" s="108"/>
      <c r="E674" s="109"/>
      <c r="F674" s="109"/>
      <c r="G674" s="107"/>
      <c r="H674" s="129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 spans="1:26" ht="15.75" customHeight="1" x14ac:dyDescent="0.3">
      <c r="A675" s="107"/>
      <c r="B675" s="107"/>
      <c r="C675" s="107"/>
      <c r="D675" s="108"/>
      <c r="E675" s="109"/>
      <c r="F675" s="109"/>
      <c r="G675" s="107"/>
      <c r="H675" s="129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 spans="1:26" ht="15.75" customHeight="1" x14ac:dyDescent="0.3">
      <c r="A676" s="107"/>
      <c r="B676" s="107"/>
      <c r="C676" s="107"/>
      <c r="D676" s="108"/>
      <c r="E676" s="109"/>
      <c r="F676" s="109"/>
      <c r="G676" s="107"/>
      <c r="H676" s="129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 spans="1:26" ht="15.75" customHeight="1" x14ac:dyDescent="0.3">
      <c r="A677" s="107"/>
      <c r="B677" s="107"/>
      <c r="C677" s="107"/>
      <c r="D677" s="108"/>
      <c r="E677" s="109"/>
      <c r="F677" s="109"/>
      <c r="G677" s="107"/>
      <c r="H677" s="129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 spans="1:26" ht="15.75" customHeight="1" x14ac:dyDescent="0.3">
      <c r="A678" s="107"/>
      <c r="B678" s="107"/>
      <c r="C678" s="107"/>
      <c r="D678" s="108"/>
      <c r="E678" s="109"/>
      <c r="F678" s="109"/>
      <c r="G678" s="107"/>
      <c r="H678" s="129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 spans="1:26" ht="15.75" customHeight="1" x14ac:dyDescent="0.3">
      <c r="A679" s="107"/>
      <c r="B679" s="107"/>
      <c r="C679" s="107"/>
      <c r="D679" s="108"/>
      <c r="E679" s="109"/>
      <c r="F679" s="109"/>
      <c r="G679" s="107"/>
      <c r="H679" s="129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 spans="1:26" ht="15.75" customHeight="1" x14ac:dyDescent="0.3">
      <c r="A680" s="107"/>
      <c r="B680" s="107"/>
      <c r="C680" s="107"/>
      <c r="D680" s="108"/>
      <c r="E680" s="109"/>
      <c r="F680" s="109"/>
      <c r="G680" s="107"/>
      <c r="H680" s="129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 spans="1:26" ht="15.75" customHeight="1" x14ac:dyDescent="0.3">
      <c r="A681" s="107"/>
      <c r="B681" s="107"/>
      <c r="C681" s="107"/>
      <c r="D681" s="108"/>
      <c r="E681" s="109"/>
      <c r="F681" s="109"/>
      <c r="G681" s="107"/>
      <c r="H681" s="129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 spans="1:26" ht="15.75" customHeight="1" x14ac:dyDescent="0.3">
      <c r="A682" s="107"/>
      <c r="B682" s="107"/>
      <c r="C682" s="107"/>
      <c r="D682" s="108"/>
      <c r="E682" s="109"/>
      <c r="F682" s="109"/>
      <c r="G682" s="107"/>
      <c r="H682" s="129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 spans="1:26" ht="15.75" customHeight="1" x14ac:dyDescent="0.3">
      <c r="A683" s="107"/>
      <c r="B683" s="107"/>
      <c r="C683" s="107"/>
      <c r="D683" s="108"/>
      <c r="E683" s="109"/>
      <c r="F683" s="109"/>
      <c r="G683" s="107"/>
      <c r="H683" s="129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 spans="1:26" ht="15.75" customHeight="1" x14ac:dyDescent="0.3">
      <c r="A684" s="107"/>
      <c r="B684" s="107"/>
      <c r="C684" s="107"/>
      <c r="D684" s="108"/>
      <c r="E684" s="109"/>
      <c r="F684" s="109"/>
      <c r="G684" s="107"/>
      <c r="H684" s="129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 spans="1:26" ht="15.75" customHeight="1" x14ac:dyDescent="0.3">
      <c r="A685" s="107"/>
      <c r="B685" s="107"/>
      <c r="C685" s="107"/>
      <c r="D685" s="108"/>
      <c r="E685" s="109"/>
      <c r="F685" s="109"/>
      <c r="G685" s="107"/>
      <c r="H685" s="129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 spans="1:26" ht="15.75" customHeight="1" x14ac:dyDescent="0.3">
      <c r="A686" s="107"/>
      <c r="B686" s="107"/>
      <c r="C686" s="107"/>
      <c r="D686" s="108"/>
      <c r="E686" s="109"/>
      <c r="F686" s="109"/>
      <c r="G686" s="107"/>
      <c r="H686" s="129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 spans="1:26" ht="15.75" customHeight="1" x14ac:dyDescent="0.3">
      <c r="A687" s="107"/>
      <c r="B687" s="107"/>
      <c r="C687" s="107"/>
      <c r="D687" s="108"/>
      <c r="E687" s="109"/>
      <c r="F687" s="109"/>
      <c r="G687" s="107"/>
      <c r="H687" s="129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 spans="1:26" ht="15.75" customHeight="1" x14ac:dyDescent="0.3">
      <c r="A688" s="107"/>
      <c r="B688" s="107"/>
      <c r="C688" s="107"/>
      <c r="D688" s="108"/>
      <c r="E688" s="109"/>
      <c r="F688" s="109"/>
      <c r="G688" s="107"/>
      <c r="H688" s="129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 spans="1:26" ht="15.75" customHeight="1" x14ac:dyDescent="0.3">
      <c r="A689" s="107"/>
      <c r="B689" s="107"/>
      <c r="C689" s="107"/>
      <c r="D689" s="108"/>
      <c r="E689" s="109"/>
      <c r="F689" s="109"/>
      <c r="G689" s="107"/>
      <c r="H689" s="129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 spans="1:26" ht="15.75" customHeight="1" x14ac:dyDescent="0.3">
      <c r="A690" s="107"/>
      <c r="B690" s="107"/>
      <c r="C690" s="107"/>
      <c r="D690" s="108"/>
      <c r="E690" s="109"/>
      <c r="F690" s="109"/>
      <c r="G690" s="107"/>
      <c r="H690" s="129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 spans="1:26" ht="15.75" customHeight="1" x14ac:dyDescent="0.3">
      <c r="A691" s="107"/>
      <c r="B691" s="107"/>
      <c r="C691" s="107"/>
      <c r="D691" s="108"/>
      <c r="E691" s="109"/>
      <c r="F691" s="109"/>
      <c r="G691" s="107"/>
      <c r="H691" s="129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 spans="1:26" ht="15.75" customHeight="1" x14ac:dyDescent="0.3">
      <c r="A692" s="107"/>
      <c r="B692" s="107"/>
      <c r="C692" s="107"/>
      <c r="D692" s="108"/>
      <c r="E692" s="109"/>
      <c r="F692" s="109"/>
      <c r="G692" s="107"/>
      <c r="H692" s="129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 spans="1:26" ht="15.75" customHeight="1" x14ac:dyDescent="0.3">
      <c r="A693" s="107"/>
      <c r="B693" s="107"/>
      <c r="C693" s="107"/>
      <c r="D693" s="108"/>
      <c r="E693" s="109"/>
      <c r="F693" s="109"/>
      <c r="G693" s="107"/>
      <c r="H693" s="129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 spans="1:26" ht="15.75" customHeight="1" x14ac:dyDescent="0.3">
      <c r="A694" s="107"/>
      <c r="B694" s="107"/>
      <c r="C694" s="107"/>
      <c r="D694" s="108"/>
      <c r="E694" s="109"/>
      <c r="F694" s="109"/>
      <c r="G694" s="107"/>
      <c r="H694" s="129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 spans="1:26" ht="15.75" customHeight="1" x14ac:dyDescent="0.3">
      <c r="A695" s="107"/>
      <c r="B695" s="107"/>
      <c r="C695" s="107"/>
      <c r="D695" s="108"/>
      <c r="E695" s="109"/>
      <c r="F695" s="109"/>
      <c r="G695" s="107"/>
      <c r="H695" s="129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 spans="1:26" ht="15.75" customHeight="1" x14ac:dyDescent="0.3">
      <c r="A696" s="107"/>
      <c r="B696" s="107"/>
      <c r="C696" s="107"/>
      <c r="D696" s="108"/>
      <c r="E696" s="109"/>
      <c r="F696" s="109"/>
      <c r="G696" s="107"/>
      <c r="H696" s="129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 spans="1:26" ht="15.75" customHeight="1" x14ac:dyDescent="0.3">
      <c r="A697" s="107"/>
      <c r="B697" s="107"/>
      <c r="C697" s="107"/>
      <c r="D697" s="108"/>
      <c r="E697" s="109"/>
      <c r="F697" s="109"/>
      <c r="G697" s="107"/>
      <c r="H697" s="129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 spans="1:26" ht="15.75" customHeight="1" x14ac:dyDescent="0.3">
      <c r="A698" s="107"/>
      <c r="B698" s="107"/>
      <c r="C698" s="107"/>
      <c r="D698" s="108"/>
      <c r="E698" s="109"/>
      <c r="F698" s="109"/>
      <c r="G698" s="107"/>
      <c r="H698" s="129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 spans="1:26" ht="15.75" customHeight="1" x14ac:dyDescent="0.3">
      <c r="A699" s="107"/>
      <c r="B699" s="107"/>
      <c r="C699" s="107"/>
      <c r="D699" s="108"/>
      <c r="E699" s="109"/>
      <c r="F699" s="109"/>
      <c r="G699" s="107"/>
      <c r="H699" s="129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 spans="1:26" ht="15.75" customHeight="1" x14ac:dyDescent="0.3">
      <c r="A700" s="107"/>
      <c r="B700" s="107"/>
      <c r="C700" s="107"/>
      <c r="D700" s="108"/>
      <c r="E700" s="109"/>
      <c r="F700" s="109"/>
      <c r="G700" s="107"/>
      <c r="H700" s="129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 spans="1:26" ht="15.75" customHeight="1" x14ac:dyDescent="0.3">
      <c r="A701" s="107"/>
      <c r="B701" s="107"/>
      <c r="C701" s="107"/>
      <c r="D701" s="108"/>
      <c r="E701" s="109"/>
      <c r="F701" s="109"/>
      <c r="G701" s="107"/>
      <c r="H701" s="129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 spans="1:26" ht="15.75" customHeight="1" x14ac:dyDescent="0.3">
      <c r="A702" s="107"/>
      <c r="B702" s="107"/>
      <c r="C702" s="107"/>
      <c r="D702" s="108"/>
      <c r="E702" s="109"/>
      <c r="F702" s="109"/>
      <c r="G702" s="107"/>
      <c r="H702" s="129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 spans="1:26" ht="15.75" customHeight="1" x14ac:dyDescent="0.3">
      <c r="A703" s="107"/>
      <c r="B703" s="107"/>
      <c r="C703" s="107"/>
      <c r="D703" s="108"/>
      <c r="E703" s="109"/>
      <c r="F703" s="109"/>
      <c r="G703" s="107"/>
      <c r="H703" s="129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 spans="1:26" ht="15.75" customHeight="1" x14ac:dyDescent="0.3">
      <c r="A704" s="107"/>
      <c r="B704" s="107"/>
      <c r="C704" s="107"/>
      <c r="D704" s="108"/>
      <c r="E704" s="109"/>
      <c r="F704" s="109"/>
      <c r="G704" s="107"/>
      <c r="H704" s="129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 spans="1:26" ht="15.75" customHeight="1" x14ac:dyDescent="0.3">
      <c r="A705" s="107"/>
      <c r="B705" s="107"/>
      <c r="C705" s="107"/>
      <c r="D705" s="108"/>
      <c r="E705" s="109"/>
      <c r="F705" s="109"/>
      <c r="G705" s="107"/>
      <c r="H705" s="129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 spans="1:26" ht="15.75" customHeight="1" x14ac:dyDescent="0.3">
      <c r="A706" s="107"/>
      <c r="B706" s="107"/>
      <c r="C706" s="107"/>
      <c r="D706" s="108"/>
      <c r="E706" s="109"/>
      <c r="F706" s="109"/>
      <c r="G706" s="107"/>
      <c r="H706" s="129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 spans="1:26" ht="15.75" customHeight="1" x14ac:dyDescent="0.3">
      <c r="A707" s="107"/>
      <c r="B707" s="107"/>
      <c r="C707" s="107"/>
      <c r="D707" s="108"/>
      <c r="E707" s="109"/>
      <c r="F707" s="109"/>
      <c r="G707" s="107"/>
      <c r="H707" s="129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 spans="1:26" ht="15.75" customHeight="1" x14ac:dyDescent="0.3">
      <c r="A708" s="107"/>
      <c r="B708" s="107"/>
      <c r="C708" s="107"/>
      <c r="D708" s="108"/>
      <c r="E708" s="109"/>
      <c r="F708" s="109"/>
      <c r="G708" s="107"/>
      <c r="H708" s="129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 spans="1:26" ht="15.75" customHeight="1" x14ac:dyDescent="0.3">
      <c r="A709" s="107"/>
      <c r="B709" s="107"/>
      <c r="C709" s="107"/>
      <c r="D709" s="108"/>
      <c r="E709" s="109"/>
      <c r="F709" s="109"/>
      <c r="G709" s="107"/>
      <c r="H709" s="129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 spans="1:26" ht="15.75" customHeight="1" x14ac:dyDescent="0.3">
      <c r="A710" s="107"/>
      <c r="B710" s="107"/>
      <c r="C710" s="107"/>
      <c r="D710" s="108"/>
      <c r="E710" s="109"/>
      <c r="F710" s="109"/>
      <c r="G710" s="107"/>
      <c r="H710" s="129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 spans="1:26" ht="15.75" customHeight="1" x14ac:dyDescent="0.3">
      <c r="A711" s="107"/>
      <c r="B711" s="107"/>
      <c r="C711" s="107"/>
      <c r="D711" s="108"/>
      <c r="E711" s="109"/>
      <c r="F711" s="109"/>
      <c r="G711" s="107"/>
      <c r="H711" s="129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 spans="1:26" ht="15.75" customHeight="1" x14ac:dyDescent="0.3">
      <c r="A712" s="107"/>
      <c r="B712" s="107"/>
      <c r="C712" s="107"/>
      <c r="D712" s="108"/>
      <c r="E712" s="109"/>
      <c r="F712" s="109"/>
      <c r="G712" s="107"/>
      <c r="H712" s="129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 spans="1:26" ht="15.75" customHeight="1" x14ac:dyDescent="0.3">
      <c r="A713" s="107"/>
      <c r="B713" s="107"/>
      <c r="C713" s="107"/>
      <c r="D713" s="108"/>
      <c r="E713" s="109"/>
      <c r="F713" s="109"/>
      <c r="G713" s="107"/>
      <c r="H713" s="129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 spans="1:26" ht="15.75" customHeight="1" x14ac:dyDescent="0.3">
      <c r="A714" s="107"/>
      <c r="B714" s="107"/>
      <c r="C714" s="107"/>
      <c r="D714" s="108"/>
      <c r="E714" s="109"/>
      <c r="F714" s="109"/>
      <c r="G714" s="107"/>
      <c r="H714" s="129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 spans="1:26" ht="15.75" customHeight="1" x14ac:dyDescent="0.3">
      <c r="A715" s="107"/>
      <c r="B715" s="107"/>
      <c r="C715" s="107"/>
      <c r="D715" s="108"/>
      <c r="E715" s="109"/>
      <c r="F715" s="109"/>
      <c r="G715" s="107"/>
      <c r="H715" s="129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 spans="1:26" ht="15.75" customHeight="1" x14ac:dyDescent="0.3">
      <c r="A716" s="107"/>
      <c r="B716" s="107"/>
      <c r="C716" s="107"/>
      <c r="D716" s="108"/>
      <c r="E716" s="109"/>
      <c r="F716" s="109"/>
      <c r="G716" s="107"/>
      <c r="H716" s="129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 spans="1:26" ht="15.75" customHeight="1" x14ac:dyDescent="0.3">
      <c r="A717" s="107"/>
      <c r="B717" s="107"/>
      <c r="C717" s="107"/>
      <c r="D717" s="108"/>
      <c r="E717" s="109"/>
      <c r="F717" s="109"/>
      <c r="G717" s="107"/>
      <c r="H717" s="129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 spans="1:26" ht="15.75" customHeight="1" x14ac:dyDescent="0.3">
      <c r="A718" s="107"/>
      <c r="B718" s="107"/>
      <c r="C718" s="107"/>
      <c r="D718" s="108"/>
      <c r="E718" s="109"/>
      <c r="F718" s="109"/>
      <c r="G718" s="107"/>
      <c r="H718" s="129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 spans="1:26" ht="15.75" customHeight="1" x14ac:dyDescent="0.3">
      <c r="A719" s="107"/>
      <c r="B719" s="107"/>
      <c r="C719" s="107"/>
      <c r="D719" s="108"/>
      <c r="E719" s="109"/>
      <c r="F719" s="109"/>
      <c r="G719" s="107"/>
      <c r="H719" s="129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 spans="1:26" ht="15.75" customHeight="1" x14ac:dyDescent="0.3">
      <c r="A720" s="107"/>
      <c r="B720" s="107"/>
      <c r="C720" s="107"/>
      <c r="D720" s="108"/>
      <c r="E720" s="109"/>
      <c r="F720" s="109"/>
      <c r="G720" s="107"/>
      <c r="H720" s="129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 spans="1:26" ht="15.75" customHeight="1" x14ac:dyDescent="0.3">
      <c r="A721" s="107"/>
      <c r="B721" s="107"/>
      <c r="C721" s="107"/>
      <c r="D721" s="108"/>
      <c r="E721" s="109"/>
      <c r="F721" s="109"/>
      <c r="G721" s="107"/>
      <c r="H721" s="129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 spans="1:26" ht="15.75" customHeight="1" x14ac:dyDescent="0.3">
      <c r="A722" s="107"/>
      <c r="B722" s="107"/>
      <c r="C722" s="107"/>
      <c r="D722" s="108"/>
      <c r="E722" s="109"/>
      <c r="F722" s="109"/>
      <c r="G722" s="107"/>
      <c r="H722" s="129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 spans="1:26" ht="15.75" customHeight="1" x14ac:dyDescent="0.3">
      <c r="A723" s="107"/>
      <c r="B723" s="107"/>
      <c r="C723" s="107"/>
      <c r="D723" s="108"/>
      <c r="E723" s="109"/>
      <c r="F723" s="109"/>
      <c r="G723" s="107"/>
      <c r="H723" s="129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 spans="1:26" ht="15.75" customHeight="1" x14ac:dyDescent="0.3">
      <c r="A724" s="107"/>
      <c r="B724" s="107"/>
      <c r="C724" s="107"/>
      <c r="D724" s="108"/>
      <c r="E724" s="109"/>
      <c r="F724" s="109"/>
      <c r="G724" s="107"/>
      <c r="H724" s="129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 spans="1:26" ht="15.75" customHeight="1" x14ac:dyDescent="0.3">
      <c r="A725" s="107"/>
      <c r="B725" s="107"/>
      <c r="C725" s="107"/>
      <c r="D725" s="108"/>
      <c r="E725" s="109"/>
      <c r="F725" s="109"/>
      <c r="G725" s="107"/>
      <c r="H725" s="129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 spans="1:26" ht="15.75" customHeight="1" x14ac:dyDescent="0.3">
      <c r="A726" s="107"/>
      <c r="B726" s="107"/>
      <c r="C726" s="107"/>
      <c r="D726" s="108"/>
      <c r="E726" s="109"/>
      <c r="F726" s="109"/>
      <c r="G726" s="107"/>
      <c r="H726" s="129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 spans="1:26" ht="15.75" customHeight="1" x14ac:dyDescent="0.3">
      <c r="A727" s="107"/>
      <c r="B727" s="107"/>
      <c r="C727" s="107"/>
      <c r="D727" s="108"/>
      <c r="E727" s="109"/>
      <c r="F727" s="109"/>
      <c r="G727" s="107"/>
      <c r="H727" s="129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 spans="1:26" ht="15.75" customHeight="1" x14ac:dyDescent="0.3">
      <c r="A728" s="107"/>
      <c r="B728" s="107"/>
      <c r="C728" s="107"/>
      <c r="D728" s="108"/>
      <c r="E728" s="109"/>
      <c r="F728" s="109"/>
      <c r="G728" s="107"/>
      <c r="H728" s="129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 spans="1:26" ht="15.75" customHeight="1" x14ac:dyDescent="0.3">
      <c r="A729" s="107"/>
      <c r="B729" s="107"/>
      <c r="C729" s="107"/>
      <c r="D729" s="108"/>
      <c r="E729" s="109"/>
      <c r="F729" s="109"/>
      <c r="G729" s="107"/>
      <c r="H729" s="129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 spans="1:26" ht="15.75" customHeight="1" x14ac:dyDescent="0.3">
      <c r="A730" s="107"/>
      <c r="B730" s="107"/>
      <c r="C730" s="107"/>
      <c r="D730" s="108"/>
      <c r="E730" s="109"/>
      <c r="F730" s="109"/>
      <c r="G730" s="107"/>
      <c r="H730" s="129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 spans="1:26" ht="15.75" customHeight="1" x14ac:dyDescent="0.3">
      <c r="A731" s="107"/>
      <c r="B731" s="107"/>
      <c r="C731" s="107"/>
      <c r="D731" s="108"/>
      <c r="E731" s="109"/>
      <c r="F731" s="109"/>
      <c r="G731" s="107"/>
      <c r="H731" s="129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 spans="1:26" ht="15.75" customHeight="1" x14ac:dyDescent="0.3">
      <c r="A732" s="107"/>
      <c r="B732" s="107"/>
      <c r="C732" s="107"/>
      <c r="D732" s="108"/>
      <c r="E732" s="109"/>
      <c r="F732" s="109"/>
      <c r="G732" s="107"/>
      <c r="H732" s="129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 spans="1:26" ht="15.75" customHeight="1" x14ac:dyDescent="0.3">
      <c r="A733" s="107"/>
      <c r="B733" s="107"/>
      <c r="C733" s="107"/>
      <c r="D733" s="108"/>
      <c r="E733" s="109"/>
      <c r="F733" s="109"/>
      <c r="G733" s="107"/>
      <c r="H733" s="129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 spans="1:26" ht="15.75" customHeight="1" x14ac:dyDescent="0.3">
      <c r="A734" s="107"/>
      <c r="B734" s="107"/>
      <c r="C734" s="107"/>
      <c r="D734" s="108"/>
      <c r="E734" s="109"/>
      <c r="F734" s="109"/>
      <c r="G734" s="107"/>
      <c r="H734" s="129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 spans="1:26" ht="15.75" customHeight="1" x14ac:dyDescent="0.3">
      <c r="A735" s="107"/>
      <c r="B735" s="107"/>
      <c r="C735" s="107"/>
      <c r="D735" s="108"/>
      <c r="E735" s="109"/>
      <c r="F735" s="109"/>
      <c r="G735" s="107"/>
      <c r="H735" s="129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 spans="1:26" ht="15.75" customHeight="1" x14ac:dyDescent="0.3">
      <c r="A736" s="107"/>
      <c r="B736" s="107"/>
      <c r="C736" s="107"/>
      <c r="D736" s="108"/>
      <c r="E736" s="109"/>
      <c r="F736" s="109"/>
      <c r="G736" s="107"/>
      <c r="H736" s="129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 spans="1:26" ht="15.75" customHeight="1" x14ac:dyDescent="0.3">
      <c r="A737" s="107"/>
      <c r="B737" s="107"/>
      <c r="C737" s="107"/>
      <c r="D737" s="108"/>
      <c r="E737" s="109"/>
      <c r="F737" s="109"/>
      <c r="G737" s="107"/>
      <c r="H737" s="129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 spans="1:26" ht="15.75" customHeight="1" x14ac:dyDescent="0.3">
      <c r="A738" s="107"/>
      <c r="B738" s="107"/>
      <c r="C738" s="107"/>
      <c r="D738" s="108"/>
      <c r="E738" s="109"/>
      <c r="F738" s="109"/>
      <c r="G738" s="107"/>
      <c r="H738" s="129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 spans="1:26" ht="15.75" customHeight="1" x14ac:dyDescent="0.3">
      <c r="A739" s="107"/>
      <c r="B739" s="107"/>
      <c r="C739" s="107"/>
      <c r="D739" s="108"/>
      <c r="E739" s="109"/>
      <c r="F739" s="109"/>
      <c r="G739" s="107"/>
      <c r="H739" s="129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 spans="1:26" ht="15.75" customHeight="1" x14ac:dyDescent="0.3">
      <c r="A740" s="107"/>
      <c r="B740" s="107"/>
      <c r="C740" s="107"/>
      <c r="D740" s="108"/>
      <c r="E740" s="109"/>
      <c r="F740" s="109"/>
      <c r="G740" s="107"/>
      <c r="H740" s="129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 spans="1:26" ht="15.75" customHeight="1" x14ac:dyDescent="0.3">
      <c r="A741" s="107"/>
      <c r="B741" s="107"/>
      <c r="C741" s="107"/>
      <c r="D741" s="108"/>
      <c r="E741" s="109"/>
      <c r="F741" s="109"/>
      <c r="G741" s="107"/>
      <c r="H741" s="129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 spans="1:26" ht="15.75" customHeight="1" x14ac:dyDescent="0.3">
      <c r="A742" s="107"/>
      <c r="B742" s="107"/>
      <c r="C742" s="107"/>
      <c r="D742" s="108"/>
      <c r="E742" s="109"/>
      <c r="F742" s="109"/>
      <c r="G742" s="107"/>
      <c r="H742" s="129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 spans="1:26" ht="15.75" customHeight="1" x14ac:dyDescent="0.3">
      <c r="A743" s="107"/>
      <c r="B743" s="107"/>
      <c r="C743" s="107"/>
      <c r="D743" s="108"/>
      <c r="E743" s="109"/>
      <c r="F743" s="109"/>
      <c r="G743" s="107"/>
      <c r="H743" s="129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 spans="1:26" ht="15.75" customHeight="1" x14ac:dyDescent="0.3">
      <c r="A744" s="107"/>
      <c r="B744" s="107"/>
      <c r="C744" s="107"/>
      <c r="D744" s="108"/>
      <c r="E744" s="109"/>
      <c r="F744" s="109"/>
      <c r="G744" s="107"/>
      <c r="H744" s="129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 spans="1:26" ht="15.75" customHeight="1" x14ac:dyDescent="0.3">
      <c r="A745" s="107"/>
      <c r="B745" s="107"/>
      <c r="C745" s="107"/>
      <c r="D745" s="108"/>
      <c r="E745" s="109"/>
      <c r="F745" s="109"/>
      <c r="G745" s="107"/>
      <c r="H745" s="129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 spans="1:26" ht="15.75" customHeight="1" x14ac:dyDescent="0.3">
      <c r="A746" s="107"/>
      <c r="B746" s="107"/>
      <c r="C746" s="107"/>
      <c r="D746" s="108"/>
      <c r="E746" s="109"/>
      <c r="F746" s="109"/>
      <c r="G746" s="107"/>
      <c r="H746" s="129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 spans="1:26" ht="15.75" customHeight="1" x14ac:dyDescent="0.3">
      <c r="A747" s="107"/>
      <c r="B747" s="107"/>
      <c r="C747" s="107"/>
      <c r="D747" s="108"/>
      <c r="E747" s="109"/>
      <c r="F747" s="109"/>
      <c r="G747" s="107"/>
      <c r="H747" s="129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 spans="1:26" ht="15.75" customHeight="1" x14ac:dyDescent="0.3">
      <c r="A748" s="107"/>
      <c r="B748" s="107"/>
      <c r="C748" s="107"/>
      <c r="D748" s="108"/>
      <c r="E748" s="109"/>
      <c r="F748" s="109"/>
      <c r="G748" s="107"/>
      <c r="H748" s="129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 spans="1:26" ht="15.75" customHeight="1" x14ac:dyDescent="0.3">
      <c r="A749" s="107"/>
      <c r="B749" s="107"/>
      <c r="C749" s="107"/>
      <c r="D749" s="108"/>
      <c r="E749" s="109"/>
      <c r="F749" s="109"/>
      <c r="G749" s="107"/>
      <c r="H749" s="129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 spans="1:26" ht="15.75" customHeight="1" x14ac:dyDescent="0.3">
      <c r="A750" s="107"/>
      <c r="B750" s="107"/>
      <c r="C750" s="107"/>
      <c r="D750" s="108"/>
      <c r="E750" s="109"/>
      <c r="F750" s="109"/>
      <c r="G750" s="107"/>
      <c r="H750" s="129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 spans="1:26" ht="15.75" customHeight="1" x14ac:dyDescent="0.3">
      <c r="A751" s="107"/>
      <c r="B751" s="107"/>
      <c r="C751" s="107"/>
      <c r="D751" s="108"/>
      <c r="E751" s="109"/>
      <c r="F751" s="109"/>
      <c r="G751" s="107"/>
      <c r="H751" s="129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 spans="1:26" ht="15.75" customHeight="1" x14ac:dyDescent="0.3">
      <c r="A752" s="107"/>
      <c r="B752" s="107"/>
      <c r="C752" s="107"/>
      <c r="D752" s="108"/>
      <c r="E752" s="109"/>
      <c r="F752" s="109"/>
      <c r="G752" s="107"/>
      <c r="H752" s="129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 spans="1:26" ht="15.75" customHeight="1" x14ac:dyDescent="0.3">
      <c r="A753" s="107"/>
      <c r="B753" s="107"/>
      <c r="C753" s="107"/>
      <c r="D753" s="108"/>
      <c r="E753" s="109"/>
      <c r="F753" s="109"/>
      <c r="G753" s="107"/>
      <c r="H753" s="129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 spans="1:26" ht="15.75" customHeight="1" x14ac:dyDescent="0.3">
      <c r="A754" s="107"/>
      <c r="B754" s="107"/>
      <c r="C754" s="107"/>
      <c r="D754" s="108"/>
      <c r="E754" s="109"/>
      <c r="F754" s="109"/>
      <c r="G754" s="107"/>
      <c r="H754" s="129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 spans="1:26" ht="15.75" customHeight="1" x14ac:dyDescent="0.3">
      <c r="A755" s="107"/>
      <c r="B755" s="107"/>
      <c r="C755" s="107"/>
      <c r="D755" s="108"/>
      <c r="E755" s="109"/>
      <c r="F755" s="109"/>
      <c r="G755" s="107"/>
      <c r="H755" s="129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 spans="1:26" ht="15.75" customHeight="1" x14ac:dyDescent="0.3">
      <c r="A756" s="107"/>
      <c r="B756" s="107"/>
      <c r="C756" s="107"/>
      <c r="D756" s="108"/>
      <c r="E756" s="109"/>
      <c r="F756" s="109"/>
      <c r="G756" s="107"/>
      <c r="H756" s="129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 spans="1:26" ht="15.75" customHeight="1" x14ac:dyDescent="0.3">
      <c r="A757" s="107"/>
      <c r="B757" s="107"/>
      <c r="C757" s="107"/>
      <c r="D757" s="108"/>
      <c r="E757" s="109"/>
      <c r="F757" s="109"/>
      <c r="G757" s="107"/>
      <c r="H757" s="129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 spans="1:26" ht="15.75" customHeight="1" x14ac:dyDescent="0.3">
      <c r="A758" s="107"/>
      <c r="B758" s="107"/>
      <c r="C758" s="107"/>
      <c r="D758" s="108"/>
      <c r="E758" s="109"/>
      <c r="F758" s="109"/>
      <c r="G758" s="107"/>
      <c r="H758" s="129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 spans="1:26" ht="15.75" customHeight="1" x14ac:dyDescent="0.3">
      <c r="A759" s="107"/>
      <c r="B759" s="107"/>
      <c r="C759" s="107"/>
      <c r="D759" s="108"/>
      <c r="E759" s="109"/>
      <c r="F759" s="109"/>
      <c r="G759" s="107"/>
      <c r="H759" s="129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 spans="1:26" ht="15.75" customHeight="1" x14ac:dyDescent="0.3">
      <c r="A760" s="107"/>
      <c r="B760" s="107"/>
      <c r="C760" s="107"/>
      <c r="D760" s="108"/>
      <c r="E760" s="109"/>
      <c r="F760" s="109"/>
      <c r="G760" s="107"/>
      <c r="H760" s="129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 spans="1:26" ht="15.75" customHeight="1" x14ac:dyDescent="0.3">
      <c r="A761" s="107"/>
      <c r="B761" s="107"/>
      <c r="C761" s="107"/>
      <c r="D761" s="108"/>
      <c r="E761" s="109"/>
      <c r="F761" s="109"/>
      <c r="G761" s="107"/>
      <c r="H761" s="129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 spans="1:26" ht="15.75" customHeight="1" x14ac:dyDescent="0.3">
      <c r="A762" s="107"/>
      <c r="B762" s="107"/>
      <c r="C762" s="107"/>
      <c r="D762" s="108"/>
      <c r="E762" s="109"/>
      <c r="F762" s="109"/>
      <c r="G762" s="107"/>
      <c r="H762" s="129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 spans="1:26" ht="15.75" customHeight="1" x14ac:dyDescent="0.3">
      <c r="A763" s="107"/>
      <c r="B763" s="107"/>
      <c r="C763" s="107"/>
      <c r="D763" s="108"/>
      <c r="E763" s="109"/>
      <c r="F763" s="109"/>
      <c r="G763" s="107"/>
      <c r="H763" s="129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 spans="1:26" ht="15.75" customHeight="1" x14ac:dyDescent="0.3">
      <c r="A764" s="107"/>
      <c r="B764" s="107"/>
      <c r="C764" s="107"/>
      <c r="D764" s="108"/>
      <c r="E764" s="109"/>
      <c r="F764" s="109"/>
      <c r="G764" s="107"/>
      <c r="H764" s="129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 spans="1:26" ht="15.75" customHeight="1" x14ac:dyDescent="0.3">
      <c r="A765" s="107"/>
      <c r="B765" s="107"/>
      <c r="C765" s="107"/>
      <c r="D765" s="108"/>
      <c r="E765" s="109"/>
      <c r="F765" s="109"/>
      <c r="G765" s="107"/>
      <c r="H765" s="129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 spans="1:26" ht="15.75" customHeight="1" x14ac:dyDescent="0.3">
      <c r="A766" s="107"/>
      <c r="B766" s="107"/>
      <c r="C766" s="107"/>
      <c r="D766" s="108"/>
      <c r="E766" s="109"/>
      <c r="F766" s="109"/>
      <c r="G766" s="107"/>
      <c r="H766" s="129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 spans="1:26" ht="15.75" customHeight="1" x14ac:dyDescent="0.3">
      <c r="A767" s="107"/>
      <c r="B767" s="107"/>
      <c r="C767" s="107"/>
      <c r="D767" s="108"/>
      <c r="E767" s="109"/>
      <c r="F767" s="109"/>
      <c r="G767" s="107"/>
      <c r="H767" s="129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 spans="1:26" ht="15.75" customHeight="1" x14ac:dyDescent="0.3">
      <c r="A768" s="107"/>
      <c r="B768" s="107"/>
      <c r="C768" s="107"/>
      <c r="D768" s="108"/>
      <c r="E768" s="109"/>
      <c r="F768" s="109"/>
      <c r="G768" s="107"/>
      <c r="H768" s="129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 spans="1:26" ht="15.75" customHeight="1" x14ac:dyDescent="0.3">
      <c r="A769" s="107"/>
      <c r="B769" s="107"/>
      <c r="C769" s="107"/>
      <c r="D769" s="108"/>
      <c r="E769" s="109"/>
      <c r="F769" s="109"/>
      <c r="G769" s="107"/>
      <c r="H769" s="129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 spans="1:26" ht="15.75" customHeight="1" x14ac:dyDescent="0.3">
      <c r="A770" s="107"/>
      <c r="B770" s="107"/>
      <c r="C770" s="107"/>
      <c r="D770" s="108"/>
      <c r="E770" s="109"/>
      <c r="F770" s="109"/>
      <c r="G770" s="107"/>
      <c r="H770" s="129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 spans="1:26" ht="15.75" customHeight="1" x14ac:dyDescent="0.3">
      <c r="A771" s="107"/>
      <c r="B771" s="107"/>
      <c r="C771" s="107"/>
      <c r="D771" s="108"/>
      <c r="E771" s="109"/>
      <c r="F771" s="109"/>
      <c r="G771" s="107"/>
      <c r="H771" s="129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 spans="1:26" ht="15.75" customHeight="1" x14ac:dyDescent="0.3">
      <c r="A772" s="107"/>
      <c r="B772" s="107"/>
      <c r="C772" s="107"/>
      <c r="D772" s="108"/>
      <c r="E772" s="109"/>
      <c r="F772" s="109"/>
      <c r="G772" s="107"/>
      <c r="H772" s="129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 spans="1:26" ht="15.75" customHeight="1" x14ac:dyDescent="0.3">
      <c r="A773" s="107"/>
      <c r="B773" s="107"/>
      <c r="C773" s="107"/>
      <c r="D773" s="108"/>
      <c r="E773" s="109"/>
      <c r="F773" s="109"/>
      <c r="G773" s="107"/>
      <c r="H773" s="129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 spans="1:26" ht="15.75" customHeight="1" x14ac:dyDescent="0.3">
      <c r="A774" s="107"/>
      <c r="B774" s="107"/>
      <c r="C774" s="107"/>
      <c r="D774" s="108"/>
      <c r="E774" s="109"/>
      <c r="F774" s="109"/>
      <c r="G774" s="107"/>
      <c r="H774" s="129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 spans="1:26" ht="15.75" customHeight="1" x14ac:dyDescent="0.3">
      <c r="A775" s="107"/>
      <c r="B775" s="107"/>
      <c r="C775" s="107"/>
      <c r="D775" s="108"/>
      <c r="E775" s="109"/>
      <c r="F775" s="109"/>
      <c r="G775" s="107"/>
      <c r="H775" s="129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 spans="1:26" ht="15.75" customHeight="1" x14ac:dyDescent="0.3">
      <c r="A776" s="107"/>
      <c r="B776" s="107"/>
      <c r="C776" s="107"/>
      <c r="D776" s="108"/>
      <c r="E776" s="109"/>
      <c r="F776" s="109"/>
      <c r="G776" s="107"/>
      <c r="H776" s="129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 spans="1:26" ht="15.75" customHeight="1" x14ac:dyDescent="0.3">
      <c r="A777" s="107"/>
      <c r="B777" s="107"/>
      <c r="C777" s="107"/>
      <c r="D777" s="108"/>
      <c r="E777" s="109"/>
      <c r="F777" s="109"/>
      <c r="G777" s="107"/>
      <c r="H777" s="129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 spans="1:26" ht="15.75" customHeight="1" x14ac:dyDescent="0.3">
      <c r="A778" s="107"/>
      <c r="B778" s="107"/>
      <c r="C778" s="107"/>
      <c r="D778" s="108"/>
      <c r="E778" s="109"/>
      <c r="F778" s="109"/>
      <c r="G778" s="107"/>
      <c r="H778" s="129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 spans="1:26" ht="15.75" customHeight="1" x14ac:dyDescent="0.3">
      <c r="A779" s="107"/>
      <c r="B779" s="107"/>
      <c r="C779" s="107"/>
      <c r="D779" s="108"/>
      <c r="E779" s="109"/>
      <c r="F779" s="109"/>
      <c r="G779" s="107"/>
      <c r="H779" s="129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 spans="1:26" ht="15.75" customHeight="1" x14ac:dyDescent="0.3">
      <c r="A780" s="107"/>
      <c r="B780" s="107"/>
      <c r="C780" s="107"/>
      <c r="D780" s="108"/>
      <c r="E780" s="109"/>
      <c r="F780" s="109"/>
      <c r="G780" s="107"/>
      <c r="H780" s="129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 spans="1:26" ht="15.75" customHeight="1" x14ac:dyDescent="0.3">
      <c r="A781" s="107"/>
      <c r="B781" s="107"/>
      <c r="C781" s="107"/>
      <c r="D781" s="108"/>
      <c r="E781" s="109"/>
      <c r="F781" s="109"/>
      <c r="G781" s="107"/>
      <c r="H781" s="129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 spans="1:26" ht="15.75" customHeight="1" x14ac:dyDescent="0.3">
      <c r="A782" s="107"/>
      <c r="B782" s="107"/>
      <c r="C782" s="107"/>
      <c r="D782" s="108"/>
      <c r="E782" s="109"/>
      <c r="F782" s="109"/>
      <c r="G782" s="107"/>
      <c r="H782" s="129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 spans="1:26" ht="15.75" customHeight="1" x14ac:dyDescent="0.3">
      <c r="A783" s="107"/>
      <c r="B783" s="107"/>
      <c r="C783" s="107"/>
      <c r="D783" s="108"/>
      <c r="E783" s="109"/>
      <c r="F783" s="109"/>
      <c r="G783" s="107"/>
      <c r="H783" s="129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 spans="1:26" ht="15.75" customHeight="1" x14ac:dyDescent="0.3">
      <c r="A784" s="107"/>
      <c r="B784" s="107"/>
      <c r="C784" s="107"/>
      <c r="D784" s="108"/>
      <c r="E784" s="109"/>
      <c r="F784" s="109"/>
      <c r="G784" s="107"/>
      <c r="H784" s="129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 spans="1:26" ht="15.75" customHeight="1" x14ac:dyDescent="0.3">
      <c r="A785" s="107"/>
      <c r="B785" s="107"/>
      <c r="C785" s="107"/>
      <c r="D785" s="108"/>
      <c r="E785" s="109"/>
      <c r="F785" s="109"/>
      <c r="G785" s="107"/>
      <c r="H785" s="129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 spans="1:26" ht="15.75" customHeight="1" x14ac:dyDescent="0.3">
      <c r="A786" s="107"/>
      <c r="B786" s="107"/>
      <c r="C786" s="107"/>
      <c r="D786" s="108"/>
      <c r="E786" s="109"/>
      <c r="F786" s="109"/>
      <c r="G786" s="107"/>
      <c r="H786" s="129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 spans="1:26" ht="15.75" customHeight="1" x14ac:dyDescent="0.3">
      <c r="A787" s="107"/>
      <c r="B787" s="107"/>
      <c r="C787" s="107"/>
      <c r="D787" s="108"/>
      <c r="E787" s="109"/>
      <c r="F787" s="109"/>
      <c r="G787" s="107"/>
      <c r="H787" s="129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 spans="1:26" ht="15.75" customHeight="1" x14ac:dyDescent="0.3">
      <c r="A788" s="107"/>
      <c r="B788" s="107"/>
      <c r="C788" s="107"/>
      <c r="D788" s="108"/>
      <c r="E788" s="109"/>
      <c r="F788" s="109"/>
      <c r="G788" s="107"/>
      <c r="H788" s="129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 spans="1:26" ht="15.75" customHeight="1" x14ac:dyDescent="0.3">
      <c r="A789" s="107"/>
      <c r="B789" s="107"/>
      <c r="C789" s="107"/>
      <c r="D789" s="108"/>
      <c r="E789" s="109"/>
      <c r="F789" s="109"/>
      <c r="G789" s="107"/>
      <c r="H789" s="129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 spans="1:26" ht="15.75" customHeight="1" x14ac:dyDescent="0.3">
      <c r="A790" s="107"/>
      <c r="B790" s="107"/>
      <c r="C790" s="107"/>
      <c r="D790" s="108"/>
      <c r="E790" s="109"/>
      <c r="F790" s="109"/>
      <c r="G790" s="107"/>
      <c r="H790" s="129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 spans="1:26" ht="15.75" customHeight="1" x14ac:dyDescent="0.3">
      <c r="A791" s="107"/>
      <c r="B791" s="107"/>
      <c r="C791" s="107"/>
      <c r="D791" s="108"/>
      <c r="E791" s="109"/>
      <c r="F791" s="109"/>
      <c r="G791" s="107"/>
      <c r="H791" s="129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 spans="1:26" ht="15.75" customHeight="1" x14ac:dyDescent="0.3">
      <c r="A792" s="107"/>
      <c r="B792" s="107"/>
      <c r="C792" s="107"/>
      <c r="D792" s="108"/>
      <c r="E792" s="109"/>
      <c r="F792" s="109"/>
      <c r="G792" s="107"/>
      <c r="H792" s="129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 spans="1:26" ht="15.75" customHeight="1" x14ac:dyDescent="0.3">
      <c r="A793" s="107"/>
      <c r="B793" s="107"/>
      <c r="C793" s="107"/>
      <c r="D793" s="108"/>
      <c r="E793" s="109"/>
      <c r="F793" s="109"/>
      <c r="G793" s="107"/>
      <c r="H793" s="129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 spans="1:26" ht="15.75" customHeight="1" x14ac:dyDescent="0.3">
      <c r="A794" s="107"/>
      <c r="B794" s="107"/>
      <c r="C794" s="107"/>
      <c r="D794" s="108"/>
      <c r="E794" s="109"/>
      <c r="F794" s="109"/>
      <c r="G794" s="107"/>
      <c r="H794" s="129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 spans="1:26" ht="15.75" customHeight="1" x14ac:dyDescent="0.3">
      <c r="A795" s="107"/>
      <c r="B795" s="107"/>
      <c r="C795" s="107"/>
      <c r="D795" s="108"/>
      <c r="E795" s="109"/>
      <c r="F795" s="109"/>
      <c r="G795" s="107"/>
      <c r="H795" s="129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 spans="1:26" ht="15.75" customHeight="1" x14ac:dyDescent="0.3">
      <c r="A796" s="107"/>
      <c r="B796" s="107"/>
      <c r="C796" s="107"/>
      <c r="D796" s="108"/>
      <c r="E796" s="109"/>
      <c r="F796" s="109"/>
      <c r="G796" s="107"/>
      <c r="H796" s="129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 spans="1:26" ht="15.75" customHeight="1" x14ac:dyDescent="0.3">
      <c r="A797" s="107"/>
      <c r="B797" s="107"/>
      <c r="C797" s="107"/>
      <c r="D797" s="108"/>
      <c r="E797" s="109"/>
      <c r="F797" s="109"/>
      <c r="G797" s="107"/>
      <c r="H797" s="129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 spans="1:26" ht="15.75" customHeight="1" x14ac:dyDescent="0.3">
      <c r="A798" s="107"/>
      <c r="B798" s="107"/>
      <c r="C798" s="107"/>
      <c r="D798" s="108"/>
      <c r="E798" s="109"/>
      <c r="F798" s="109"/>
      <c r="G798" s="107"/>
      <c r="H798" s="129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 spans="1:26" ht="15.75" customHeight="1" x14ac:dyDescent="0.3">
      <c r="A799" s="107"/>
      <c r="B799" s="107"/>
      <c r="C799" s="107"/>
      <c r="D799" s="108"/>
      <c r="E799" s="109"/>
      <c r="F799" s="109"/>
      <c r="G799" s="107"/>
      <c r="H799" s="129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 spans="1:26" ht="15.75" customHeight="1" x14ac:dyDescent="0.3">
      <c r="A800" s="107"/>
      <c r="B800" s="107"/>
      <c r="C800" s="107"/>
      <c r="D800" s="108"/>
      <c r="E800" s="109"/>
      <c r="F800" s="109"/>
      <c r="G800" s="107"/>
      <c r="H800" s="129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 spans="1:26" ht="15.75" customHeight="1" x14ac:dyDescent="0.3">
      <c r="A801" s="107"/>
      <c r="B801" s="107"/>
      <c r="C801" s="107"/>
      <c r="D801" s="108"/>
      <c r="E801" s="109"/>
      <c r="F801" s="109"/>
      <c r="G801" s="107"/>
      <c r="H801" s="129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 spans="1:26" ht="15.75" customHeight="1" x14ac:dyDescent="0.3">
      <c r="A802" s="107"/>
      <c r="B802" s="107"/>
      <c r="C802" s="107"/>
      <c r="D802" s="108"/>
      <c r="E802" s="109"/>
      <c r="F802" s="109"/>
      <c r="G802" s="107"/>
      <c r="H802" s="129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 spans="1:26" ht="15.75" customHeight="1" x14ac:dyDescent="0.3">
      <c r="A803" s="107"/>
      <c r="B803" s="107"/>
      <c r="C803" s="107"/>
      <c r="D803" s="108"/>
      <c r="E803" s="109"/>
      <c r="F803" s="109"/>
      <c r="G803" s="107"/>
      <c r="H803" s="129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 spans="1:26" ht="15.75" customHeight="1" x14ac:dyDescent="0.3">
      <c r="A804" s="107"/>
      <c r="B804" s="107"/>
      <c r="C804" s="107"/>
      <c r="D804" s="108"/>
      <c r="E804" s="109"/>
      <c r="F804" s="109"/>
      <c r="G804" s="107"/>
      <c r="H804" s="129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 spans="1:26" ht="15.75" customHeight="1" x14ac:dyDescent="0.3">
      <c r="A805" s="107"/>
      <c r="B805" s="107"/>
      <c r="C805" s="107"/>
      <c r="D805" s="108"/>
      <c r="E805" s="109"/>
      <c r="F805" s="109"/>
      <c r="G805" s="107"/>
      <c r="H805" s="129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 spans="1:26" ht="15.75" customHeight="1" x14ac:dyDescent="0.3">
      <c r="A806" s="107"/>
      <c r="B806" s="107"/>
      <c r="C806" s="107"/>
      <c r="D806" s="108"/>
      <c r="E806" s="109"/>
      <c r="F806" s="109"/>
      <c r="G806" s="107"/>
      <c r="H806" s="129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 spans="1:26" ht="15.75" customHeight="1" x14ac:dyDescent="0.3">
      <c r="A807" s="107"/>
      <c r="B807" s="107"/>
      <c r="C807" s="107"/>
      <c r="D807" s="108"/>
      <c r="E807" s="109"/>
      <c r="F807" s="109"/>
      <c r="G807" s="107"/>
      <c r="H807" s="129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 spans="1:26" ht="15.75" customHeight="1" x14ac:dyDescent="0.3">
      <c r="A808" s="107"/>
      <c r="B808" s="107"/>
      <c r="C808" s="107"/>
      <c r="D808" s="108"/>
      <c r="E808" s="109"/>
      <c r="F808" s="109"/>
      <c r="G808" s="107"/>
      <c r="H808" s="129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 spans="1:26" ht="15.75" customHeight="1" x14ac:dyDescent="0.3">
      <c r="A809" s="107"/>
      <c r="B809" s="107"/>
      <c r="C809" s="107"/>
      <c r="D809" s="108"/>
      <c r="E809" s="109"/>
      <c r="F809" s="109"/>
      <c r="G809" s="107"/>
      <c r="H809" s="129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 spans="1:26" ht="15.75" customHeight="1" x14ac:dyDescent="0.3">
      <c r="A810" s="107"/>
      <c r="B810" s="107"/>
      <c r="C810" s="107"/>
      <c r="D810" s="108"/>
      <c r="E810" s="109"/>
      <c r="F810" s="109"/>
      <c r="G810" s="107"/>
      <c r="H810" s="129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 spans="1:26" ht="15.75" customHeight="1" x14ac:dyDescent="0.3">
      <c r="A811" s="107"/>
      <c r="B811" s="107"/>
      <c r="C811" s="107"/>
      <c r="D811" s="108"/>
      <c r="E811" s="109"/>
      <c r="F811" s="109"/>
      <c r="G811" s="107"/>
      <c r="H811" s="129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 spans="1:26" ht="15.75" customHeight="1" x14ac:dyDescent="0.3">
      <c r="A812" s="107"/>
      <c r="B812" s="107"/>
      <c r="C812" s="107"/>
      <c r="D812" s="108"/>
      <c r="E812" s="109"/>
      <c r="F812" s="109"/>
      <c r="G812" s="107"/>
      <c r="H812" s="129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 spans="1:26" ht="15.75" customHeight="1" x14ac:dyDescent="0.3">
      <c r="A813" s="107"/>
      <c r="B813" s="107"/>
      <c r="C813" s="107"/>
      <c r="D813" s="108"/>
      <c r="E813" s="109"/>
      <c r="F813" s="109"/>
      <c r="G813" s="107"/>
      <c r="H813" s="129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 spans="1:26" ht="15.75" customHeight="1" x14ac:dyDescent="0.3">
      <c r="A814" s="107"/>
      <c r="B814" s="107"/>
      <c r="C814" s="107"/>
      <c r="D814" s="108"/>
      <c r="E814" s="109"/>
      <c r="F814" s="109"/>
      <c r="G814" s="107"/>
      <c r="H814" s="129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 spans="1:26" ht="15.75" customHeight="1" x14ac:dyDescent="0.3">
      <c r="A815" s="107"/>
      <c r="B815" s="107"/>
      <c r="C815" s="107"/>
      <c r="D815" s="108"/>
      <c r="E815" s="109"/>
      <c r="F815" s="109"/>
      <c r="G815" s="107"/>
      <c r="H815" s="129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 spans="1:26" ht="15.75" customHeight="1" x14ac:dyDescent="0.3">
      <c r="A816" s="107"/>
      <c r="B816" s="107"/>
      <c r="C816" s="107"/>
      <c r="D816" s="108"/>
      <c r="E816" s="109"/>
      <c r="F816" s="109"/>
      <c r="G816" s="107"/>
      <c r="H816" s="129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 spans="1:26" ht="15.75" customHeight="1" x14ac:dyDescent="0.3">
      <c r="A817" s="107"/>
      <c r="B817" s="107"/>
      <c r="C817" s="107"/>
      <c r="D817" s="108"/>
      <c r="E817" s="109"/>
      <c r="F817" s="109"/>
      <c r="G817" s="107"/>
      <c r="H817" s="129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 spans="1:26" ht="15.75" customHeight="1" x14ac:dyDescent="0.3">
      <c r="A818" s="107"/>
      <c r="B818" s="107"/>
      <c r="C818" s="107"/>
      <c r="D818" s="108"/>
      <c r="E818" s="109"/>
      <c r="F818" s="109"/>
      <c r="G818" s="107"/>
      <c r="H818" s="129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 spans="1:26" ht="15.75" customHeight="1" x14ac:dyDescent="0.3">
      <c r="A819" s="107"/>
      <c r="B819" s="107"/>
      <c r="C819" s="107"/>
      <c r="D819" s="108"/>
      <c r="E819" s="109"/>
      <c r="F819" s="109"/>
      <c r="G819" s="107"/>
      <c r="H819" s="129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 spans="1:26" ht="15.75" customHeight="1" x14ac:dyDescent="0.3">
      <c r="A820" s="107"/>
      <c r="B820" s="107"/>
      <c r="C820" s="107"/>
      <c r="D820" s="108"/>
      <c r="E820" s="109"/>
      <c r="F820" s="109"/>
      <c r="G820" s="107"/>
      <c r="H820" s="129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 spans="1:26" ht="15.75" customHeight="1" x14ac:dyDescent="0.3">
      <c r="A821" s="107"/>
      <c r="B821" s="107"/>
      <c r="C821" s="107"/>
      <c r="D821" s="108"/>
      <c r="E821" s="109"/>
      <c r="F821" s="109"/>
      <c r="G821" s="107"/>
      <c r="H821" s="129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 spans="1:26" ht="15.75" customHeight="1" x14ac:dyDescent="0.3">
      <c r="A822" s="107"/>
      <c r="B822" s="107"/>
      <c r="C822" s="107"/>
      <c r="D822" s="108"/>
      <c r="E822" s="109"/>
      <c r="F822" s="109"/>
      <c r="G822" s="107"/>
      <c r="H822" s="129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 spans="1:26" ht="15.75" customHeight="1" x14ac:dyDescent="0.3">
      <c r="A823" s="107"/>
      <c r="B823" s="107"/>
      <c r="C823" s="107"/>
      <c r="D823" s="108"/>
      <c r="E823" s="109"/>
      <c r="F823" s="109"/>
      <c r="G823" s="107"/>
      <c r="H823" s="129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 spans="1:26" ht="15.75" customHeight="1" x14ac:dyDescent="0.3">
      <c r="A824" s="107"/>
      <c r="B824" s="107"/>
      <c r="C824" s="107"/>
      <c r="D824" s="108"/>
      <c r="E824" s="109"/>
      <c r="F824" s="109"/>
      <c r="G824" s="107"/>
      <c r="H824" s="129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 spans="1:26" ht="15.75" customHeight="1" x14ac:dyDescent="0.3">
      <c r="A825" s="107"/>
      <c r="B825" s="107"/>
      <c r="C825" s="107"/>
      <c r="D825" s="108"/>
      <c r="E825" s="109"/>
      <c r="F825" s="109"/>
      <c r="G825" s="107"/>
      <c r="H825" s="129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 spans="1:26" ht="15.75" customHeight="1" x14ac:dyDescent="0.3">
      <c r="A826" s="107"/>
      <c r="B826" s="107"/>
      <c r="C826" s="107"/>
      <c r="D826" s="108"/>
      <c r="E826" s="109"/>
      <c r="F826" s="109"/>
      <c r="G826" s="107"/>
      <c r="H826" s="129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 spans="1:26" ht="15.75" customHeight="1" x14ac:dyDescent="0.3">
      <c r="A827" s="107"/>
      <c r="B827" s="107"/>
      <c r="C827" s="107"/>
      <c r="D827" s="108"/>
      <c r="E827" s="109"/>
      <c r="F827" s="109"/>
      <c r="G827" s="107"/>
      <c r="H827" s="129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 spans="1:26" ht="15.75" customHeight="1" x14ac:dyDescent="0.3">
      <c r="A828" s="107"/>
      <c r="B828" s="107"/>
      <c r="C828" s="107"/>
      <c r="D828" s="108"/>
      <c r="E828" s="109"/>
      <c r="F828" s="109"/>
      <c r="G828" s="107"/>
      <c r="H828" s="129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 spans="1:26" ht="15.75" customHeight="1" x14ac:dyDescent="0.3">
      <c r="A829" s="107"/>
      <c r="B829" s="107"/>
      <c r="C829" s="107"/>
      <c r="D829" s="108"/>
      <c r="E829" s="109"/>
      <c r="F829" s="109"/>
      <c r="G829" s="107"/>
      <c r="H829" s="129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 spans="1:26" ht="15.75" customHeight="1" x14ac:dyDescent="0.3">
      <c r="A830" s="107"/>
      <c r="B830" s="107"/>
      <c r="C830" s="107"/>
      <c r="D830" s="108"/>
      <c r="E830" s="109"/>
      <c r="F830" s="109"/>
      <c r="G830" s="107"/>
      <c r="H830" s="129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 spans="1:26" ht="15.75" customHeight="1" x14ac:dyDescent="0.3">
      <c r="A831" s="107"/>
      <c r="B831" s="107"/>
      <c r="C831" s="107"/>
      <c r="D831" s="108"/>
      <c r="E831" s="109"/>
      <c r="F831" s="109"/>
      <c r="G831" s="107"/>
      <c r="H831" s="129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 spans="1:26" ht="15.75" customHeight="1" x14ac:dyDescent="0.3">
      <c r="A832" s="107"/>
      <c r="B832" s="107"/>
      <c r="C832" s="107"/>
      <c r="D832" s="108"/>
      <c r="E832" s="109"/>
      <c r="F832" s="109"/>
      <c r="G832" s="107"/>
      <c r="H832" s="129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 spans="1:26" ht="15.75" customHeight="1" x14ac:dyDescent="0.3">
      <c r="A833" s="107"/>
      <c r="B833" s="107"/>
      <c r="C833" s="107"/>
      <c r="D833" s="108"/>
      <c r="E833" s="109"/>
      <c r="F833" s="109"/>
      <c r="G833" s="107"/>
      <c r="H833" s="129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 spans="1:26" ht="15.75" customHeight="1" x14ac:dyDescent="0.3">
      <c r="A834" s="107"/>
      <c r="B834" s="107"/>
      <c r="C834" s="107"/>
      <c r="D834" s="108"/>
      <c r="E834" s="109"/>
      <c r="F834" s="109"/>
      <c r="G834" s="107"/>
      <c r="H834" s="129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 spans="1:26" ht="15.75" customHeight="1" x14ac:dyDescent="0.3">
      <c r="A835" s="107"/>
      <c r="B835" s="107"/>
      <c r="C835" s="107"/>
      <c r="D835" s="108"/>
      <c r="E835" s="109"/>
      <c r="F835" s="109"/>
      <c r="G835" s="107"/>
      <c r="H835" s="129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 spans="1:26" ht="15.75" customHeight="1" x14ac:dyDescent="0.3">
      <c r="A836" s="107"/>
      <c r="B836" s="107"/>
      <c r="C836" s="107"/>
      <c r="D836" s="108"/>
      <c r="E836" s="109"/>
      <c r="F836" s="109"/>
      <c r="G836" s="107"/>
      <c r="H836" s="129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 spans="1:26" ht="15.75" customHeight="1" x14ac:dyDescent="0.3">
      <c r="A837" s="107"/>
      <c r="B837" s="107"/>
      <c r="C837" s="107"/>
      <c r="D837" s="108"/>
      <c r="E837" s="109"/>
      <c r="F837" s="109"/>
      <c r="G837" s="107"/>
      <c r="H837" s="129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 spans="1:26" ht="15.75" customHeight="1" x14ac:dyDescent="0.3">
      <c r="A838" s="107"/>
      <c r="B838" s="107"/>
      <c r="C838" s="107"/>
      <c r="D838" s="108"/>
      <c r="E838" s="109"/>
      <c r="F838" s="109"/>
      <c r="G838" s="107"/>
      <c r="H838" s="129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 spans="1:26" ht="15.75" customHeight="1" x14ac:dyDescent="0.3">
      <c r="A839" s="107"/>
      <c r="B839" s="107"/>
      <c r="C839" s="107"/>
      <c r="D839" s="108"/>
      <c r="E839" s="109"/>
      <c r="F839" s="109"/>
      <c r="G839" s="107"/>
      <c r="H839" s="129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 spans="1:26" ht="15.75" customHeight="1" x14ac:dyDescent="0.3">
      <c r="A840" s="107"/>
      <c r="B840" s="107"/>
      <c r="C840" s="107"/>
      <c r="D840" s="108"/>
      <c r="E840" s="109"/>
      <c r="F840" s="109"/>
      <c r="G840" s="107"/>
      <c r="H840" s="129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 spans="1:26" ht="15.75" customHeight="1" x14ac:dyDescent="0.3">
      <c r="A841" s="107"/>
      <c r="B841" s="107"/>
      <c r="C841" s="107"/>
      <c r="D841" s="108"/>
      <c r="E841" s="109"/>
      <c r="F841" s="109"/>
      <c r="G841" s="107"/>
      <c r="H841" s="129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 spans="1:26" ht="15.75" customHeight="1" x14ac:dyDescent="0.3">
      <c r="A842" s="107"/>
      <c r="B842" s="107"/>
      <c r="C842" s="107"/>
      <c r="D842" s="108"/>
      <c r="E842" s="109"/>
      <c r="F842" s="109"/>
      <c r="G842" s="107"/>
      <c r="H842" s="129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 spans="1:26" ht="15.75" customHeight="1" x14ac:dyDescent="0.3">
      <c r="A843" s="107"/>
      <c r="B843" s="107"/>
      <c r="C843" s="107"/>
      <c r="D843" s="108"/>
      <c r="E843" s="109"/>
      <c r="F843" s="109"/>
      <c r="G843" s="107"/>
      <c r="H843" s="129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 spans="1:26" ht="15.75" customHeight="1" x14ac:dyDescent="0.3">
      <c r="A844" s="107"/>
      <c r="B844" s="107"/>
      <c r="C844" s="107"/>
      <c r="D844" s="108"/>
      <c r="E844" s="109"/>
      <c r="F844" s="109"/>
      <c r="G844" s="107"/>
      <c r="H844" s="129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 spans="1:26" ht="15.75" customHeight="1" x14ac:dyDescent="0.3">
      <c r="A845" s="107"/>
      <c r="B845" s="107"/>
      <c r="C845" s="107"/>
      <c r="D845" s="108"/>
      <c r="E845" s="109"/>
      <c r="F845" s="109"/>
      <c r="G845" s="107"/>
      <c r="H845" s="129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 spans="1:26" ht="15.75" customHeight="1" x14ac:dyDescent="0.3">
      <c r="A846" s="107"/>
      <c r="B846" s="107"/>
      <c r="C846" s="107"/>
      <c r="D846" s="108"/>
      <c r="E846" s="109"/>
      <c r="F846" s="109"/>
      <c r="G846" s="107"/>
      <c r="H846" s="129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 spans="1:26" ht="15.75" customHeight="1" x14ac:dyDescent="0.3">
      <c r="A847" s="107"/>
      <c r="B847" s="107"/>
      <c r="C847" s="107"/>
      <c r="D847" s="108"/>
      <c r="E847" s="109"/>
      <c r="F847" s="109"/>
      <c r="G847" s="107"/>
      <c r="H847" s="129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 spans="1:26" ht="15.75" customHeight="1" x14ac:dyDescent="0.3">
      <c r="A848" s="107"/>
      <c r="B848" s="107"/>
      <c r="C848" s="107"/>
      <c r="D848" s="108"/>
      <c r="E848" s="109"/>
      <c r="F848" s="109"/>
      <c r="G848" s="107"/>
      <c r="H848" s="129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 spans="1:26" ht="15.75" customHeight="1" x14ac:dyDescent="0.3">
      <c r="A849" s="107"/>
      <c r="B849" s="107"/>
      <c r="C849" s="107"/>
      <c r="D849" s="108"/>
      <c r="E849" s="109"/>
      <c r="F849" s="109"/>
      <c r="G849" s="107"/>
      <c r="H849" s="129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 spans="1:26" ht="15.75" customHeight="1" x14ac:dyDescent="0.3">
      <c r="A850" s="107"/>
      <c r="B850" s="107"/>
      <c r="C850" s="107"/>
      <c r="D850" s="108"/>
      <c r="E850" s="109"/>
      <c r="F850" s="109"/>
      <c r="G850" s="107"/>
      <c r="H850" s="129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 spans="1:26" ht="15.75" customHeight="1" x14ac:dyDescent="0.3">
      <c r="A851" s="107"/>
      <c r="B851" s="107"/>
      <c r="C851" s="107"/>
      <c r="D851" s="108"/>
      <c r="E851" s="109"/>
      <c r="F851" s="109"/>
      <c r="G851" s="107"/>
      <c r="H851" s="129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 spans="1:26" ht="15.75" customHeight="1" x14ac:dyDescent="0.3">
      <c r="A852" s="107"/>
      <c r="B852" s="107"/>
      <c r="C852" s="107"/>
      <c r="D852" s="108"/>
      <c r="E852" s="109"/>
      <c r="F852" s="109"/>
      <c r="G852" s="107"/>
      <c r="H852" s="129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 spans="1:26" ht="15.75" customHeight="1" x14ac:dyDescent="0.3">
      <c r="A853" s="107"/>
      <c r="B853" s="107"/>
      <c r="C853" s="107"/>
      <c r="D853" s="108"/>
      <c r="E853" s="109"/>
      <c r="F853" s="109"/>
      <c r="G853" s="107"/>
      <c r="H853" s="129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 spans="1:26" ht="15.75" customHeight="1" x14ac:dyDescent="0.3">
      <c r="A854" s="107"/>
      <c r="B854" s="107"/>
      <c r="C854" s="107"/>
      <c r="D854" s="108"/>
      <c r="E854" s="109"/>
      <c r="F854" s="109"/>
      <c r="G854" s="107"/>
      <c r="H854" s="129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 spans="1:26" ht="15.75" customHeight="1" x14ac:dyDescent="0.3">
      <c r="A855" s="107"/>
      <c r="B855" s="107"/>
      <c r="C855" s="107"/>
      <c r="D855" s="108"/>
      <c r="E855" s="109"/>
      <c r="F855" s="109"/>
      <c r="G855" s="107"/>
      <c r="H855" s="129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 spans="1:26" ht="15.75" customHeight="1" x14ac:dyDescent="0.3">
      <c r="A856" s="107"/>
      <c r="B856" s="107"/>
      <c r="C856" s="107"/>
      <c r="D856" s="108"/>
      <c r="E856" s="109"/>
      <c r="F856" s="109"/>
      <c r="G856" s="107"/>
      <c r="H856" s="129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 spans="1:26" ht="15.75" customHeight="1" x14ac:dyDescent="0.3">
      <c r="A857" s="107"/>
      <c r="B857" s="107"/>
      <c r="C857" s="107"/>
      <c r="D857" s="108"/>
      <c r="E857" s="109"/>
      <c r="F857" s="109"/>
      <c r="G857" s="107"/>
      <c r="H857" s="129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 spans="1:26" ht="15.75" customHeight="1" x14ac:dyDescent="0.3">
      <c r="A858" s="107"/>
      <c r="B858" s="107"/>
      <c r="C858" s="107"/>
      <c r="D858" s="108"/>
      <c r="E858" s="109"/>
      <c r="F858" s="109"/>
      <c r="G858" s="107"/>
      <c r="H858" s="129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 spans="1:26" ht="15.75" customHeight="1" x14ac:dyDescent="0.3">
      <c r="A859" s="107"/>
      <c r="B859" s="107"/>
      <c r="C859" s="107"/>
      <c r="D859" s="108"/>
      <c r="E859" s="109"/>
      <c r="F859" s="109"/>
      <c r="G859" s="107"/>
      <c r="H859" s="129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 spans="1:26" ht="15.75" customHeight="1" x14ac:dyDescent="0.3">
      <c r="A860" s="107"/>
      <c r="B860" s="107"/>
      <c r="C860" s="107"/>
      <c r="D860" s="108"/>
      <c r="E860" s="109"/>
      <c r="F860" s="109"/>
      <c r="G860" s="107"/>
      <c r="H860" s="129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 spans="1:26" ht="15.75" customHeight="1" x14ac:dyDescent="0.3">
      <c r="A861" s="107"/>
      <c r="B861" s="107"/>
      <c r="C861" s="107"/>
      <c r="D861" s="108"/>
      <c r="E861" s="109"/>
      <c r="F861" s="109"/>
      <c r="G861" s="107"/>
      <c r="H861" s="129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 spans="1:26" ht="15.75" customHeight="1" x14ac:dyDescent="0.3">
      <c r="A862" s="107"/>
      <c r="B862" s="107"/>
      <c r="C862" s="107"/>
      <c r="D862" s="108"/>
      <c r="E862" s="109"/>
      <c r="F862" s="109"/>
      <c r="G862" s="107"/>
      <c r="H862" s="129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 spans="1:26" ht="15.75" customHeight="1" x14ac:dyDescent="0.3">
      <c r="A863" s="107"/>
      <c r="B863" s="107"/>
      <c r="C863" s="107"/>
      <c r="D863" s="108"/>
      <c r="E863" s="109"/>
      <c r="F863" s="109"/>
      <c r="G863" s="107"/>
      <c r="H863" s="129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 spans="1:26" ht="15.75" customHeight="1" x14ac:dyDescent="0.3">
      <c r="A864" s="107"/>
      <c r="B864" s="107"/>
      <c r="C864" s="107"/>
      <c r="D864" s="108"/>
      <c r="E864" s="109"/>
      <c r="F864" s="109"/>
      <c r="G864" s="107"/>
      <c r="H864" s="129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 spans="1:26" ht="15.75" customHeight="1" x14ac:dyDescent="0.3">
      <c r="A865" s="107"/>
      <c r="B865" s="107"/>
      <c r="C865" s="107"/>
      <c r="D865" s="108"/>
      <c r="E865" s="109"/>
      <c r="F865" s="109"/>
      <c r="G865" s="107"/>
      <c r="H865" s="129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 spans="1:26" ht="15.75" customHeight="1" x14ac:dyDescent="0.3">
      <c r="A866" s="107"/>
      <c r="B866" s="107"/>
      <c r="C866" s="107"/>
      <c r="D866" s="108"/>
      <c r="E866" s="109"/>
      <c r="F866" s="109"/>
      <c r="G866" s="107"/>
      <c r="H866" s="129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 spans="1:26" ht="15.75" customHeight="1" x14ac:dyDescent="0.3">
      <c r="A867" s="107"/>
      <c r="B867" s="107"/>
      <c r="C867" s="107"/>
      <c r="D867" s="108"/>
      <c r="E867" s="109"/>
      <c r="F867" s="109"/>
      <c r="G867" s="107"/>
      <c r="H867" s="129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 spans="1:26" ht="15.75" customHeight="1" x14ac:dyDescent="0.3">
      <c r="A868" s="107"/>
      <c r="B868" s="107"/>
      <c r="C868" s="107"/>
      <c r="D868" s="108"/>
      <c r="E868" s="109"/>
      <c r="F868" s="109"/>
      <c r="G868" s="107"/>
      <c r="H868" s="129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 spans="1:26" ht="15.75" customHeight="1" x14ac:dyDescent="0.3">
      <c r="A869" s="107"/>
      <c r="B869" s="107"/>
      <c r="C869" s="107"/>
      <c r="D869" s="108"/>
      <c r="E869" s="109"/>
      <c r="F869" s="109"/>
      <c r="G869" s="107"/>
      <c r="H869" s="129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 spans="1:26" ht="15.75" customHeight="1" x14ac:dyDescent="0.3">
      <c r="A870" s="107"/>
      <c r="B870" s="107"/>
      <c r="C870" s="107"/>
      <c r="D870" s="108"/>
      <c r="E870" s="109"/>
      <c r="F870" s="109"/>
      <c r="G870" s="107"/>
      <c r="H870" s="129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 spans="1:26" ht="15.75" customHeight="1" x14ac:dyDescent="0.3">
      <c r="A871" s="107"/>
      <c r="B871" s="107"/>
      <c r="C871" s="107"/>
      <c r="D871" s="108"/>
      <c r="E871" s="109"/>
      <c r="F871" s="109"/>
      <c r="G871" s="107"/>
      <c r="H871" s="129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 spans="1:26" ht="15.75" customHeight="1" x14ac:dyDescent="0.3">
      <c r="A872" s="107"/>
      <c r="B872" s="107"/>
      <c r="C872" s="107"/>
      <c r="D872" s="108"/>
      <c r="E872" s="109"/>
      <c r="F872" s="109"/>
      <c r="G872" s="107"/>
      <c r="H872" s="129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 spans="1:26" ht="15.75" customHeight="1" x14ac:dyDescent="0.3">
      <c r="A873" s="107"/>
      <c r="B873" s="107"/>
      <c r="C873" s="107"/>
      <c r="D873" s="108"/>
      <c r="E873" s="109"/>
      <c r="F873" s="109"/>
      <c r="G873" s="107"/>
      <c r="H873" s="129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 spans="1:26" ht="15.75" customHeight="1" x14ac:dyDescent="0.3">
      <c r="A874" s="107"/>
      <c r="B874" s="107"/>
      <c r="C874" s="107"/>
      <c r="D874" s="108"/>
      <c r="E874" s="109"/>
      <c r="F874" s="109"/>
      <c r="G874" s="107"/>
      <c r="H874" s="129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 spans="1:26" ht="15.75" customHeight="1" x14ac:dyDescent="0.3">
      <c r="A875" s="107"/>
      <c r="B875" s="107"/>
      <c r="C875" s="107"/>
      <c r="D875" s="108"/>
      <c r="E875" s="109"/>
      <c r="F875" s="109"/>
      <c r="G875" s="107"/>
      <c r="H875" s="129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 spans="1:26" ht="15.75" customHeight="1" x14ac:dyDescent="0.3">
      <c r="A876" s="107"/>
      <c r="B876" s="107"/>
      <c r="C876" s="107"/>
      <c r="D876" s="108"/>
      <c r="E876" s="109"/>
      <c r="F876" s="109"/>
      <c r="G876" s="107"/>
      <c r="H876" s="129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 spans="1:26" ht="15.75" customHeight="1" x14ac:dyDescent="0.3">
      <c r="A877" s="107"/>
      <c r="B877" s="107"/>
      <c r="C877" s="107"/>
      <c r="D877" s="108"/>
      <c r="E877" s="109"/>
      <c r="F877" s="109"/>
      <c r="G877" s="107"/>
      <c r="H877" s="129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 spans="1:26" ht="15.75" customHeight="1" x14ac:dyDescent="0.3">
      <c r="A878" s="107"/>
      <c r="B878" s="107"/>
      <c r="C878" s="107"/>
      <c r="D878" s="108"/>
      <c r="E878" s="109"/>
      <c r="F878" s="109"/>
      <c r="G878" s="107"/>
      <c r="H878" s="129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 spans="1:26" ht="15.75" customHeight="1" x14ac:dyDescent="0.3">
      <c r="A879" s="107"/>
      <c r="B879" s="107"/>
      <c r="C879" s="107"/>
      <c r="D879" s="108"/>
      <c r="E879" s="109"/>
      <c r="F879" s="109"/>
      <c r="G879" s="107"/>
      <c r="H879" s="129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 spans="1:26" ht="15.75" customHeight="1" x14ac:dyDescent="0.3">
      <c r="A880" s="107"/>
      <c r="B880" s="107"/>
      <c r="C880" s="107"/>
      <c r="D880" s="108"/>
      <c r="E880" s="109"/>
      <c r="F880" s="109"/>
      <c r="G880" s="107"/>
      <c r="H880" s="129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 spans="1:26" ht="15.75" customHeight="1" x14ac:dyDescent="0.3">
      <c r="A881" s="107"/>
      <c r="B881" s="107"/>
      <c r="C881" s="107"/>
      <c r="D881" s="108"/>
      <c r="E881" s="109"/>
      <c r="F881" s="109"/>
      <c r="G881" s="107"/>
      <c r="H881" s="129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 spans="1:26" ht="15.75" customHeight="1" x14ac:dyDescent="0.3">
      <c r="A882" s="107"/>
      <c r="B882" s="107"/>
      <c r="C882" s="107"/>
      <c r="D882" s="108"/>
      <c r="E882" s="109"/>
      <c r="F882" s="109"/>
      <c r="G882" s="107"/>
      <c r="H882" s="129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 spans="1:26" ht="15.75" customHeight="1" x14ac:dyDescent="0.3">
      <c r="A883" s="107"/>
      <c r="B883" s="107"/>
      <c r="C883" s="107"/>
      <c r="D883" s="108"/>
      <c r="E883" s="109"/>
      <c r="F883" s="109"/>
      <c r="G883" s="107"/>
      <c r="H883" s="129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 spans="1:26" ht="15.75" customHeight="1" x14ac:dyDescent="0.3">
      <c r="A884" s="107"/>
      <c r="B884" s="107"/>
      <c r="C884" s="107"/>
      <c r="D884" s="108"/>
      <c r="E884" s="109"/>
      <c r="F884" s="109"/>
      <c r="G884" s="107"/>
      <c r="H884" s="129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 spans="1:26" ht="15.75" customHeight="1" x14ac:dyDescent="0.3">
      <c r="A885" s="107"/>
      <c r="B885" s="107"/>
      <c r="C885" s="107"/>
      <c r="D885" s="108"/>
      <c r="E885" s="109"/>
      <c r="F885" s="109"/>
      <c r="G885" s="107"/>
      <c r="H885" s="129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 spans="1:26" ht="15.75" customHeight="1" x14ac:dyDescent="0.3">
      <c r="A886" s="107"/>
      <c r="B886" s="107"/>
      <c r="C886" s="107"/>
      <c r="D886" s="108"/>
      <c r="E886" s="109"/>
      <c r="F886" s="109"/>
      <c r="G886" s="107"/>
      <c r="H886" s="129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 spans="1:26" ht="15.75" customHeight="1" x14ac:dyDescent="0.3">
      <c r="A887" s="107"/>
      <c r="B887" s="107"/>
      <c r="C887" s="107"/>
      <c r="D887" s="108"/>
      <c r="E887" s="109"/>
      <c r="F887" s="109"/>
      <c r="G887" s="107"/>
      <c r="H887" s="129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 spans="1:26" ht="15.75" customHeight="1" x14ac:dyDescent="0.3">
      <c r="A888" s="107"/>
      <c r="B888" s="107"/>
      <c r="C888" s="107"/>
      <c r="D888" s="108"/>
      <c r="E888" s="109"/>
      <c r="F888" s="109"/>
      <c r="G888" s="107"/>
      <c r="H888" s="129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 spans="1:26" ht="15.75" customHeight="1" x14ac:dyDescent="0.3">
      <c r="A889" s="107"/>
      <c r="B889" s="107"/>
      <c r="C889" s="107"/>
      <c r="D889" s="108"/>
      <c r="E889" s="109"/>
      <c r="F889" s="109"/>
      <c r="G889" s="107"/>
      <c r="H889" s="129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 spans="1:26" ht="15.75" customHeight="1" x14ac:dyDescent="0.3">
      <c r="A890" s="107"/>
      <c r="B890" s="107"/>
      <c r="C890" s="107"/>
      <c r="D890" s="108"/>
      <c r="E890" s="109"/>
      <c r="F890" s="109"/>
      <c r="G890" s="107"/>
      <c r="H890" s="129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 spans="1:26" ht="15.75" customHeight="1" x14ac:dyDescent="0.3">
      <c r="A891" s="107"/>
      <c r="B891" s="107"/>
      <c r="C891" s="107"/>
      <c r="D891" s="108"/>
      <c r="E891" s="109"/>
      <c r="F891" s="109"/>
      <c r="G891" s="107"/>
      <c r="H891" s="129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 spans="1:26" ht="15.75" customHeight="1" x14ac:dyDescent="0.3">
      <c r="A892" s="107"/>
      <c r="B892" s="107"/>
      <c r="C892" s="107"/>
      <c r="D892" s="108"/>
      <c r="E892" s="109"/>
      <c r="F892" s="109"/>
      <c r="G892" s="107"/>
      <c r="H892" s="129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 spans="1:26" ht="15.75" customHeight="1" x14ac:dyDescent="0.3">
      <c r="A893" s="107"/>
      <c r="B893" s="107"/>
      <c r="C893" s="107"/>
      <c r="D893" s="108"/>
      <c r="E893" s="109"/>
      <c r="F893" s="109"/>
      <c r="G893" s="107"/>
      <c r="H893" s="129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 spans="1:26" ht="15.75" customHeight="1" x14ac:dyDescent="0.3">
      <c r="A894" s="107"/>
      <c r="B894" s="107"/>
      <c r="C894" s="107"/>
      <c r="D894" s="108"/>
      <c r="E894" s="109"/>
      <c r="F894" s="109"/>
      <c r="G894" s="107"/>
      <c r="H894" s="129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 spans="1:26" ht="15.75" customHeight="1" x14ac:dyDescent="0.3">
      <c r="A895" s="107"/>
      <c r="B895" s="107"/>
      <c r="C895" s="107"/>
      <c r="D895" s="108"/>
      <c r="E895" s="109"/>
      <c r="F895" s="109"/>
      <c r="G895" s="107"/>
      <c r="H895" s="129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 spans="1:26" ht="15.75" customHeight="1" x14ac:dyDescent="0.3">
      <c r="A896" s="107"/>
      <c r="B896" s="107"/>
      <c r="C896" s="107"/>
      <c r="D896" s="108"/>
      <c r="E896" s="109"/>
      <c r="F896" s="109"/>
      <c r="G896" s="107"/>
      <c r="H896" s="129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 spans="1:26" ht="15.75" customHeight="1" x14ac:dyDescent="0.3">
      <c r="A897" s="107"/>
      <c r="B897" s="107"/>
      <c r="C897" s="107"/>
      <c r="D897" s="108"/>
      <c r="E897" s="109"/>
      <c r="F897" s="109"/>
      <c r="G897" s="107"/>
      <c r="H897" s="129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 spans="1:26" ht="15.75" customHeight="1" x14ac:dyDescent="0.3">
      <c r="A898" s="107"/>
      <c r="B898" s="107"/>
      <c r="C898" s="107"/>
      <c r="D898" s="108"/>
      <c r="E898" s="109"/>
      <c r="F898" s="109"/>
      <c r="G898" s="107"/>
      <c r="H898" s="129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 spans="1:26" ht="15.75" customHeight="1" x14ac:dyDescent="0.3">
      <c r="A899" s="107"/>
      <c r="B899" s="107"/>
      <c r="C899" s="107"/>
      <c r="D899" s="108"/>
      <c r="E899" s="109"/>
      <c r="F899" s="109"/>
      <c r="G899" s="107"/>
      <c r="H899" s="129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 spans="1:26" ht="15.75" customHeight="1" x14ac:dyDescent="0.3">
      <c r="A900" s="107"/>
      <c r="B900" s="107"/>
      <c r="C900" s="107"/>
      <c r="D900" s="108"/>
      <c r="E900" s="109"/>
      <c r="F900" s="109"/>
      <c r="G900" s="107"/>
      <c r="H900" s="129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 spans="1:26" ht="15.75" customHeight="1" x14ac:dyDescent="0.3">
      <c r="A901" s="107"/>
      <c r="B901" s="107"/>
      <c r="C901" s="107"/>
      <c r="D901" s="108"/>
      <c r="E901" s="109"/>
      <c r="F901" s="109"/>
      <c r="G901" s="107"/>
      <c r="H901" s="129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 spans="1:26" ht="15.75" customHeight="1" x14ac:dyDescent="0.3">
      <c r="A902" s="107"/>
      <c r="B902" s="107"/>
      <c r="C902" s="107"/>
      <c r="D902" s="108"/>
      <c r="E902" s="109"/>
      <c r="F902" s="109"/>
      <c r="G902" s="107"/>
      <c r="H902" s="129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 spans="1:26" ht="15.75" customHeight="1" x14ac:dyDescent="0.3">
      <c r="A903" s="107"/>
      <c r="B903" s="107"/>
      <c r="C903" s="107"/>
      <c r="D903" s="108"/>
      <c r="E903" s="109"/>
      <c r="F903" s="109"/>
      <c r="G903" s="107"/>
      <c r="H903" s="129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 spans="1:26" ht="15.75" customHeight="1" x14ac:dyDescent="0.3">
      <c r="A904" s="107"/>
      <c r="B904" s="107"/>
      <c r="C904" s="107"/>
      <c r="D904" s="108"/>
      <c r="E904" s="109"/>
      <c r="F904" s="109"/>
      <c r="G904" s="107"/>
      <c r="H904" s="129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 spans="1:26" ht="15.75" customHeight="1" x14ac:dyDescent="0.3">
      <c r="A905" s="107"/>
      <c r="B905" s="107"/>
      <c r="C905" s="107"/>
      <c r="D905" s="108"/>
      <c r="E905" s="109"/>
      <c r="F905" s="109"/>
      <c r="G905" s="107"/>
      <c r="H905" s="129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 spans="1:26" ht="15.75" customHeight="1" x14ac:dyDescent="0.3">
      <c r="A906" s="107"/>
      <c r="B906" s="107"/>
      <c r="C906" s="107"/>
      <c r="D906" s="108"/>
      <c r="E906" s="109"/>
      <c r="F906" s="109"/>
      <c r="G906" s="107"/>
      <c r="H906" s="129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 spans="1:26" ht="15.75" customHeight="1" x14ac:dyDescent="0.3">
      <c r="A907" s="107"/>
      <c r="B907" s="107"/>
      <c r="C907" s="107"/>
      <c r="D907" s="108"/>
      <c r="E907" s="109"/>
      <c r="F907" s="109"/>
      <c r="G907" s="107"/>
      <c r="H907" s="129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 spans="1:26" ht="15.75" customHeight="1" x14ac:dyDescent="0.3">
      <c r="A908" s="107"/>
      <c r="B908" s="107"/>
      <c r="C908" s="107"/>
      <c r="D908" s="108"/>
      <c r="E908" s="109"/>
      <c r="F908" s="109"/>
      <c r="G908" s="107"/>
      <c r="H908" s="129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 spans="1:26" ht="15.75" customHeight="1" x14ac:dyDescent="0.3">
      <c r="A909" s="107"/>
      <c r="B909" s="107"/>
      <c r="C909" s="107"/>
      <c r="D909" s="108"/>
      <c r="E909" s="109"/>
      <c r="F909" s="109"/>
      <c r="G909" s="107"/>
      <c r="H909" s="129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 spans="1:26" ht="15.75" customHeight="1" x14ac:dyDescent="0.3">
      <c r="A910" s="107"/>
      <c r="B910" s="107"/>
      <c r="C910" s="107"/>
      <c r="D910" s="108"/>
      <c r="E910" s="109"/>
      <c r="F910" s="109"/>
      <c r="G910" s="107"/>
      <c r="H910" s="129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 spans="1:26" ht="15.75" customHeight="1" x14ac:dyDescent="0.3">
      <c r="A911" s="107"/>
      <c r="B911" s="107"/>
      <c r="C911" s="107"/>
      <c r="D911" s="108"/>
      <c r="E911" s="109"/>
      <c r="F911" s="109"/>
      <c r="G911" s="107"/>
      <c r="H911" s="129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 spans="1:26" ht="15.75" customHeight="1" x14ac:dyDescent="0.3">
      <c r="A912" s="107"/>
      <c r="B912" s="107"/>
      <c r="C912" s="107"/>
      <c r="D912" s="108"/>
      <c r="E912" s="109"/>
      <c r="F912" s="109"/>
      <c r="G912" s="107"/>
      <c r="H912" s="129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 spans="1:26" ht="15.75" customHeight="1" x14ac:dyDescent="0.3">
      <c r="A913" s="107"/>
      <c r="B913" s="107"/>
      <c r="C913" s="107"/>
      <c r="D913" s="108"/>
      <c r="E913" s="109"/>
      <c r="F913" s="109"/>
      <c r="G913" s="107"/>
      <c r="H913" s="129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 spans="1:26" ht="15.75" customHeight="1" x14ac:dyDescent="0.3">
      <c r="A914" s="107"/>
      <c r="B914" s="107"/>
      <c r="C914" s="107"/>
      <c r="D914" s="108"/>
      <c r="E914" s="109"/>
      <c r="F914" s="109"/>
      <c r="G914" s="107"/>
      <c r="H914" s="129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 spans="1:26" ht="15.75" customHeight="1" x14ac:dyDescent="0.3">
      <c r="A915" s="107"/>
      <c r="B915" s="107"/>
      <c r="C915" s="107"/>
      <c r="D915" s="108"/>
      <c r="E915" s="109"/>
      <c r="F915" s="109"/>
      <c r="G915" s="107"/>
      <c r="H915" s="129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 spans="1:26" ht="15.75" customHeight="1" x14ac:dyDescent="0.3">
      <c r="A916" s="107"/>
      <c r="B916" s="107"/>
      <c r="C916" s="107"/>
      <c r="D916" s="108"/>
      <c r="E916" s="109"/>
      <c r="F916" s="109"/>
      <c r="G916" s="107"/>
      <c r="H916" s="129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 spans="1:26" ht="15.75" customHeight="1" x14ac:dyDescent="0.3">
      <c r="A917" s="107"/>
      <c r="B917" s="107"/>
      <c r="C917" s="107"/>
      <c r="D917" s="108"/>
      <c r="E917" s="109"/>
      <c r="F917" s="109"/>
      <c r="G917" s="107"/>
      <c r="H917" s="129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 spans="1:26" ht="15.75" customHeight="1" x14ac:dyDescent="0.3">
      <c r="A918" s="107"/>
      <c r="B918" s="107"/>
      <c r="C918" s="107"/>
      <c r="D918" s="108"/>
      <c r="E918" s="109"/>
      <c r="F918" s="109"/>
      <c r="G918" s="107"/>
      <c r="H918" s="129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 spans="1:26" ht="15.75" customHeight="1" x14ac:dyDescent="0.3">
      <c r="A919" s="107"/>
      <c r="B919" s="107"/>
      <c r="C919" s="107"/>
      <c r="D919" s="108"/>
      <c r="E919" s="109"/>
      <c r="F919" s="109"/>
      <c r="G919" s="107"/>
      <c r="H919" s="129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 spans="1:26" ht="15.75" customHeight="1" x14ac:dyDescent="0.3">
      <c r="A920" s="107"/>
      <c r="B920" s="107"/>
      <c r="C920" s="107"/>
      <c r="D920" s="108"/>
      <c r="E920" s="109"/>
      <c r="F920" s="109"/>
      <c r="G920" s="107"/>
      <c r="H920" s="129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 spans="1:26" ht="15.75" customHeight="1" x14ac:dyDescent="0.3">
      <c r="A921" s="107"/>
      <c r="B921" s="107"/>
      <c r="C921" s="107"/>
      <c r="D921" s="108"/>
      <c r="E921" s="109"/>
      <c r="F921" s="109"/>
      <c r="G921" s="107"/>
      <c r="H921" s="129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 spans="1:26" ht="15.75" customHeight="1" x14ac:dyDescent="0.3">
      <c r="A922" s="107"/>
      <c r="B922" s="107"/>
      <c r="C922" s="107"/>
      <c r="D922" s="108"/>
      <c r="E922" s="109"/>
      <c r="F922" s="109"/>
      <c r="G922" s="107"/>
      <c r="H922" s="129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 spans="1:26" ht="15.75" customHeight="1" x14ac:dyDescent="0.3">
      <c r="A923" s="107"/>
      <c r="B923" s="107"/>
      <c r="C923" s="107"/>
      <c r="D923" s="108"/>
      <c r="E923" s="109"/>
      <c r="F923" s="109"/>
      <c r="G923" s="107"/>
      <c r="H923" s="129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 spans="1:26" ht="15.75" customHeight="1" x14ac:dyDescent="0.3">
      <c r="A924" s="107"/>
      <c r="B924" s="107"/>
      <c r="C924" s="107"/>
      <c r="D924" s="108"/>
      <c r="E924" s="109"/>
      <c r="F924" s="109"/>
      <c r="G924" s="107"/>
      <c r="H924" s="129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 spans="1:26" ht="15.75" customHeight="1" x14ac:dyDescent="0.3">
      <c r="A925" s="107"/>
      <c r="B925" s="107"/>
      <c r="C925" s="107"/>
      <c r="D925" s="108"/>
      <c r="E925" s="109"/>
      <c r="F925" s="109"/>
      <c r="G925" s="107"/>
      <c r="H925" s="129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 spans="1:26" ht="15.75" customHeight="1" x14ac:dyDescent="0.3">
      <c r="A926" s="107"/>
      <c r="B926" s="107"/>
      <c r="C926" s="107"/>
      <c r="D926" s="108"/>
      <c r="E926" s="109"/>
      <c r="F926" s="109"/>
      <c r="G926" s="107"/>
      <c r="H926" s="129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 spans="1:26" ht="15.75" customHeight="1" x14ac:dyDescent="0.3">
      <c r="A927" s="107"/>
      <c r="B927" s="107"/>
      <c r="C927" s="107"/>
      <c r="D927" s="108"/>
      <c r="E927" s="109"/>
      <c r="F927" s="109"/>
      <c r="G927" s="107"/>
      <c r="H927" s="129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 spans="1:26" ht="15.75" customHeight="1" x14ac:dyDescent="0.3">
      <c r="A928" s="107"/>
      <c r="B928" s="107"/>
      <c r="C928" s="107"/>
      <c r="D928" s="108"/>
      <c r="E928" s="109"/>
      <c r="F928" s="109"/>
      <c r="G928" s="107"/>
      <c r="H928" s="129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 spans="1:26" ht="15.75" customHeight="1" x14ac:dyDescent="0.3">
      <c r="A929" s="107"/>
      <c r="B929" s="107"/>
      <c r="C929" s="107"/>
      <c r="D929" s="108"/>
      <c r="E929" s="109"/>
      <c r="F929" s="109"/>
      <c r="G929" s="107"/>
      <c r="H929" s="129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 spans="1:26" ht="15.75" customHeight="1" x14ac:dyDescent="0.3">
      <c r="A930" s="107"/>
      <c r="B930" s="107"/>
      <c r="C930" s="107"/>
      <c r="D930" s="108"/>
      <c r="E930" s="109"/>
      <c r="F930" s="109"/>
      <c r="G930" s="107"/>
      <c r="H930" s="129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 spans="1:26" ht="15.75" customHeight="1" x14ac:dyDescent="0.3">
      <c r="A931" s="107"/>
      <c r="B931" s="107"/>
      <c r="C931" s="107"/>
      <c r="D931" s="108"/>
      <c r="E931" s="109"/>
      <c r="F931" s="109"/>
      <c r="G931" s="107"/>
      <c r="H931" s="129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 spans="1:26" ht="15.75" customHeight="1" x14ac:dyDescent="0.3">
      <c r="A932" s="107"/>
      <c r="B932" s="107"/>
      <c r="C932" s="107"/>
      <c r="D932" s="108"/>
      <c r="E932" s="109"/>
      <c r="F932" s="109"/>
      <c r="G932" s="107"/>
      <c r="H932" s="129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 spans="1:26" ht="15.75" customHeight="1" x14ac:dyDescent="0.3">
      <c r="A933" s="107"/>
      <c r="B933" s="107"/>
      <c r="C933" s="107"/>
      <c r="D933" s="108"/>
      <c r="E933" s="109"/>
      <c r="F933" s="109"/>
      <c r="G933" s="107"/>
      <c r="H933" s="129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 spans="1:26" ht="15.75" customHeight="1" x14ac:dyDescent="0.3">
      <c r="A934" s="107"/>
      <c r="B934" s="107"/>
      <c r="C934" s="107"/>
      <c r="D934" s="108"/>
      <c r="E934" s="109"/>
      <c r="F934" s="109"/>
      <c r="G934" s="107"/>
      <c r="H934" s="129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 spans="1:26" ht="15.75" customHeight="1" x14ac:dyDescent="0.3">
      <c r="A935" s="107"/>
      <c r="B935" s="107"/>
      <c r="C935" s="107"/>
      <c r="D935" s="108"/>
      <c r="E935" s="109"/>
      <c r="F935" s="109"/>
      <c r="G935" s="107"/>
      <c r="H935" s="129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 spans="1:26" ht="15.75" customHeight="1" x14ac:dyDescent="0.3">
      <c r="A936" s="107"/>
      <c r="B936" s="107"/>
      <c r="C936" s="107"/>
      <c r="D936" s="108"/>
      <c r="E936" s="109"/>
      <c r="F936" s="109"/>
      <c r="G936" s="107"/>
      <c r="H936" s="129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 spans="1:26" ht="15.75" customHeight="1" x14ac:dyDescent="0.3">
      <c r="A937" s="107"/>
      <c r="B937" s="107"/>
      <c r="C937" s="107"/>
      <c r="D937" s="108"/>
      <c r="E937" s="109"/>
      <c r="F937" s="109"/>
      <c r="G937" s="107"/>
      <c r="H937" s="129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 spans="1:26" ht="15.75" customHeight="1" x14ac:dyDescent="0.3">
      <c r="A938" s="107"/>
      <c r="B938" s="107"/>
      <c r="C938" s="107"/>
      <c r="D938" s="108"/>
      <c r="E938" s="109"/>
      <c r="F938" s="109"/>
      <c r="G938" s="107"/>
      <c r="H938" s="129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 spans="1:26" ht="15.75" customHeight="1" x14ac:dyDescent="0.3">
      <c r="A939" s="107"/>
      <c r="B939" s="107"/>
      <c r="C939" s="107"/>
      <c r="D939" s="108"/>
      <c r="E939" s="109"/>
      <c r="F939" s="109"/>
      <c r="G939" s="107"/>
      <c r="H939" s="129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 spans="1:26" ht="15.75" customHeight="1" x14ac:dyDescent="0.3">
      <c r="A940" s="107"/>
      <c r="B940" s="107"/>
      <c r="C940" s="107"/>
      <c r="D940" s="108"/>
      <c r="E940" s="109"/>
      <c r="F940" s="109"/>
      <c r="G940" s="107"/>
      <c r="H940" s="129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 spans="1:26" ht="15.75" customHeight="1" x14ac:dyDescent="0.3">
      <c r="A941" s="107"/>
      <c r="B941" s="107"/>
      <c r="C941" s="107"/>
      <c r="D941" s="108"/>
      <c r="E941" s="109"/>
      <c r="F941" s="109"/>
      <c r="G941" s="107"/>
      <c r="H941" s="129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 spans="1:26" ht="15.75" customHeight="1" x14ac:dyDescent="0.3">
      <c r="A942" s="107"/>
      <c r="B942" s="107"/>
      <c r="C942" s="107"/>
      <c r="D942" s="108"/>
      <c r="E942" s="109"/>
      <c r="F942" s="109"/>
      <c r="G942" s="107"/>
      <c r="H942" s="129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 spans="1:26" ht="15.75" customHeight="1" x14ac:dyDescent="0.3">
      <c r="A943" s="107"/>
      <c r="B943" s="107"/>
      <c r="C943" s="107"/>
      <c r="D943" s="108"/>
      <c r="E943" s="109"/>
      <c r="F943" s="109"/>
      <c r="G943" s="107"/>
      <c r="H943" s="129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 spans="1:26" ht="15.75" customHeight="1" x14ac:dyDescent="0.3">
      <c r="A944" s="107"/>
      <c r="B944" s="107"/>
      <c r="C944" s="107"/>
      <c r="D944" s="108"/>
      <c r="E944" s="109"/>
      <c r="F944" s="109"/>
      <c r="G944" s="107"/>
      <c r="H944" s="129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 spans="1:26" ht="15.75" customHeight="1" x14ac:dyDescent="0.3">
      <c r="A945" s="107"/>
      <c r="B945" s="107"/>
      <c r="C945" s="107"/>
      <c r="D945" s="108"/>
      <c r="E945" s="109"/>
      <c r="F945" s="109"/>
      <c r="G945" s="107"/>
      <c r="H945" s="129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 spans="1:26" ht="15.75" customHeight="1" x14ac:dyDescent="0.3">
      <c r="A946" s="107"/>
      <c r="B946" s="107"/>
      <c r="C946" s="107"/>
      <c r="D946" s="108"/>
      <c r="E946" s="109"/>
      <c r="F946" s="109"/>
      <c r="G946" s="107"/>
      <c r="H946" s="129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 spans="1:26" ht="15.75" customHeight="1" x14ac:dyDescent="0.3">
      <c r="A947" s="107"/>
      <c r="B947" s="107"/>
      <c r="C947" s="107"/>
      <c r="D947" s="108"/>
      <c r="E947" s="109"/>
      <c r="F947" s="109"/>
      <c r="G947" s="107"/>
      <c r="H947" s="129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 spans="1:26" ht="15.75" customHeight="1" x14ac:dyDescent="0.3">
      <c r="A948" s="107"/>
      <c r="B948" s="107"/>
      <c r="C948" s="107"/>
      <c r="D948" s="108"/>
      <c r="E948" s="109"/>
      <c r="F948" s="109"/>
      <c r="G948" s="107"/>
      <c r="H948" s="129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 spans="1:26" ht="15.75" customHeight="1" x14ac:dyDescent="0.3">
      <c r="A949" s="107"/>
      <c r="B949" s="107"/>
      <c r="C949" s="107"/>
      <c r="D949" s="108"/>
      <c r="E949" s="109"/>
      <c r="F949" s="109"/>
      <c r="G949" s="107"/>
      <c r="H949" s="129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 spans="1:26" ht="15.75" customHeight="1" x14ac:dyDescent="0.3">
      <c r="A950" s="107"/>
      <c r="B950" s="107"/>
      <c r="C950" s="107"/>
      <c r="D950" s="108"/>
      <c r="E950" s="109"/>
      <c r="F950" s="109"/>
      <c r="G950" s="107"/>
      <c r="H950" s="129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 spans="1:26" ht="15.75" customHeight="1" x14ac:dyDescent="0.3">
      <c r="A951" s="107"/>
      <c r="B951" s="107"/>
      <c r="C951" s="107"/>
      <c r="D951" s="108"/>
      <c r="E951" s="109"/>
      <c r="F951" s="109"/>
      <c r="G951" s="107"/>
      <c r="H951" s="129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 spans="1:26" ht="15.75" customHeight="1" x14ac:dyDescent="0.3">
      <c r="A952" s="107"/>
      <c r="B952" s="107"/>
      <c r="C952" s="107"/>
      <c r="D952" s="108"/>
      <c r="E952" s="109"/>
      <c r="F952" s="109"/>
      <c r="G952" s="107"/>
      <c r="H952" s="129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 spans="1:26" ht="15.75" customHeight="1" x14ac:dyDescent="0.3">
      <c r="A953" s="107"/>
      <c r="B953" s="107"/>
      <c r="C953" s="107"/>
      <c r="D953" s="108"/>
      <c r="E953" s="109"/>
      <c r="F953" s="109"/>
      <c r="G953" s="107"/>
      <c r="H953" s="129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 spans="1:26" ht="15.75" customHeight="1" x14ac:dyDescent="0.3">
      <c r="A954" s="107"/>
      <c r="B954" s="107"/>
      <c r="C954" s="107"/>
      <c r="D954" s="108"/>
      <c r="E954" s="109"/>
      <c r="F954" s="109"/>
      <c r="G954" s="107"/>
      <c r="H954" s="129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 spans="1:26" ht="15.75" customHeight="1" x14ac:dyDescent="0.3">
      <c r="A955" s="107"/>
      <c r="B955" s="107"/>
      <c r="C955" s="107"/>
      <c r="D955" s="108"/>
      <c r="E955" s="109"/>
      <c r="F955" s="109"/>
      <c r="G955" s="107"/>
      <c r="H955" s="129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 spans="1:26" ht="15.75" customHeight="1" x14ac:dyDescent="0.3">
      <c r="A956" s="107"/>
      <c r="B956" s="107"/>
      <c r="C956" s="107"/>
      <c r="D956" s="108"/>
      <c r="E956" s="109"/>
      <c r="F956" s="109"/>
      <c r="G956" s="107"/>
      <c r="H956" s="129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 spans="1:26" ht="15.75" customHeight="1" x14ac:dyDescent="0.3">
      <c r="A957" s="107"/>
      <c r="B957" s="107"/>
      <c r="C957" s="107"/>
      <c r="D957" s="108"/>
      <c r="E957" s="109"/>
      <c r="F957" s="109"/>
      <c r="G957" s="107"/>
      <c r="H957" s="129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 spans="1:26" ht="15.75" customHeight="1" x14ac:dyDescent="0.3">
      <c r="A958" s="107"/>
      <c r="B958" s="107"/>
      <c r="C958" s="107"/>
      <c r="D958" s="108"/>
      <c r="E958" s="109"/>
      <c r="F958" s="109"/>
      <c r="G958" s="107"/>
      <c r="H958" s="129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 spans="1:26" ht="15.75" customHeight="1" x14ac:dyDescent="0.3">
      <c r="A959" s="107"/>
      <c r="B959" s="107"/>
      <c r="C959" s="107"/>
      <c r="D959" s="108"/>
      <c r="E959" s="109"/>
      <c r="F959" s="109"/>
      <c r="G959" s="107"/>
      <c r="H959" s="129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 spans="1:26" ht="15.75" customHeight="1" x14ac:dyDescent="0.3">
      <c r="A960" s="107"/>
      <c r="B960" s="107"/>
      <c r="C960" s="107"/>
      <c r="D960" s="108"/>
      <c r="E960" s="109"/>
      <c r="F960" s="109"/>
      <c r="G960" s="107"/>
      <c r="H960" s="129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 spans="1:26" ht="15.75" customHeight="1" x14ac:dyDescent="0.3">
      <c r="A961" s="107"/>
      <c r="B961" s="107"/>
      <c r="C961" s="107"/>
      <c r="D961" s="108"/>
      <c r="E961" s="109"/>
      <c r="F961" s="109"/>
      <c r="G961" s="107"/>
      <c r="H961" s="129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 spans="1:26" ht="15.75" customHeight="1" x14ac:dyDescent="0.3">
      <c r="A962" s="107"/>
      <c r="B962" s="107"/>
      <c r="C962" s="107"/>
      <c r="D962" s="108"/>
      <c r="E962" s="109"/>
      <c r="F962" s="109"/>
      <c r="G962" s="107"/>
      <c r="H962" s="129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 spans="1:26" ht="15.75" customHeight="1" x14ac:dyDescent="0.3">
      <c r="A963" s="107"/>
      <c r="B963" s="107"/>
      <c r="C963" s="107"/>
      <c r="D963" s="108"/>
      <c r="E963" s="109"/>
      <c r="F963" s="109"/>
      <c r="G963" s="107"/>
      <c r="H963" s="129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 spans="1:26" ht="15.75" customHeight="1" x14ac:dyDescent="0.3">
      <c r="A964" s="107"/>
      <c r="B964" s="107"/>
      <c r="C964" s="107"/>
      <c r="D964" s="108"/>
      <c r="E964" s="109"/>
      <c r="F964" s="109"/>
      <c r="G964" s="107"/>
      <c r="H964" s="129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 spans="1:26" ht="15.75" customHeight="1" x14ac:dyDescent="0.3">
      <c r="A965" s="107"/>
      <c r="B965" s="107"/>
      <c r="C965" s="107"/>
      <c r="D965" s="108"/>
      <c r="E965" s="109"/>
      <c r="F965" s="109"/>
      <c r="G965" s="107"/>
      <c r="H965" s="129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 spans="1:26" ht="15.75" customHeight="1" x14ac:dyDescent="0.3">
      <c r="A966" s="107"/>
      <c r="B966" s="107"/>
      <c r="C966" s="107"/>
      <c r="D966" s="108"/>
      <c r="E966" s="109"/>
      <c r="F966" s="109"/>
      <c r="G966" s="107"/>
      <c r="H966" s="129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 spans="1:26" ht="15.75" customHeight="1" x14ac:dyDescent="0.3">
      <c r="A967" s="107"/>
      <c r="B967" s="107"/>
      <c r="C967" s="107"/>
      <c r="D967" s="108"/>
      <c r="E967" s="109"/>
      <c r="F967" s="109"/>
      <c r="G967" s="107"/>
      <c r="H967" s="129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 spans="1:26" ht="15.75" customHeight="1" x14ac:dyDescent="0.3">
      <c r="A968" s="107"/>
      <c r="B968" s="107"/>
      <c r="C968" s="107"/>
      <c r="D968" s="108"/>
      <c r="E968" s="109"/>
      <c r="F968" s="109"/>
      <c r="G968" s="107"/>
      <c r="H968" s="129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 spans="1:26" ht="15.75" customHeight="1" x14ac:dyDescent="0.3">
      <c r="A969" s="107"/>
      <c r="B969" s="107"/>
      <c r="C969" s="107"/>
      <c r="D969" s="108"/>
      <c r="E969" s="109"/>
      <c r="F969" s="109"/>
      <c r="G969" s="107"/>
      <c r="H969" s="129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 spans="1:26" ht="15.75" customHeight="1" x14ac:dyDescent="0.3">
      <c r="A970" s="107"/>
      <c r="B970" s="107"/>
      <c r="C970" s="107"/>
      <c r="D970" s="108"/>
      <c r="E970" s="109"/>
      <c r="F970" s="109"/>
      <c r="G970" s="107"/>
      <c r="H970" s="129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 spans="1:26" ht="15.75" customHeight="1" x14ac:dyDescent="0.3">
      <c r="A971" s="107"/>
      <c r="B971" s="107"/>
      <c r="C971" s="107"/>
      <c r="D971" s="108"/>
      <c r="E971" s="109"/>
      <c r="F971" s="109"/>
      <c r="G971" s="107"/>
      <c r="H971" s="129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 spans="1:26" ht="15.75" customHeight="1" x14ac:dyDescent="0.3">
      <c r="A972" s="107"/>
      <c r="B972" s="107"/>
      <c r="C972" s="107"/>
      <c r="D972" s="108"/>
      <c r="E972" s="109"/>
      <c r="F972" s="109"/>
      <c r="G972" s="107"/>
      <c r="H972" s="129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 spans="1:26" ht="15.75" customHeight="1" x14ac:dyDescent="0.3">
      <c r="A973" s="107"/>
      <c r="B973" s="107"/>
      <c r="C973" s="107"/>
      <c r="D973" s="108"/>
      <c r="E973" s="109"/>
      <c r="F973" s="109"/>
      <c r="G973" s="107"/>
      <c r="H973" s="129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 spans="1:26" ht="15.75" customHeight="1" x14ac:dyDescent="0.3">
      <c r="A974" s="107"/>
      <c r="B974" s="107"/>
      <c r="C974" s="107"/>
      <c r="D974" s="108"/>
      <c r="E974" s="109"/>
      <c r="F974" s="109"/>
      <c r="G974" s="107"/>
      <c r="H974" s="129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 spans="1:26" ht="15.75" customHeight="1" x14ac:dyDescent="0.3">
      <c r="A975" s="107"/>
      <c r="B975" s="107"/>
      <c r="C975" s="107"/>
      <c r="D975" s="108"/>
      <c r="E975" s="109"/>
      <c r="F975" s="109"/>
      <c r="G975" s="107"/>
      <c r="H975" s="129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 spans="1:26" ht="15.75" customHeight="1" x14ac:dyDescent="0.3">
      <c r="A976" s="107"/>
      <c r="B976" s="107"/>
      <c r="C976" s="107"/>
      <c r="D976" s="108"/>
      <c r="E976" s="109"/>
      <c r="F976" s="109"/>
      <c r="G976" s="107"/>
      <c r="H976" s="129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 spans="1:26" ht="15.75" customHeight="1" x14ac:dyDescent="0.3">
      <c r="A977" s="107"/>
      <c r="B977" s="107"/>
      <c r="C977" s="107"/>
      <c r="D977" s="108"/>
      <c r="E977" s="109"/>
      <c r="F977" s="109"/>
      <c r="G977" s="107"/>
      <c r="H977" s="129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 spans="1:26" ht="15.75" customHeight="1" x14ac:dyDescent="0.3">
      <c r="A978" s="107"/>
      <c r="B978" s="107"/>
      <c r="C978" s="107"/>
      <c r="D978" s="108"/>
      <c r="E978" s="109"/>
      <c r="F978" s="109"/>
      <c r="G978" s="107"/>
      <c r="H978" s="129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 spans="1:26" ht="15.75" customHeight="1" x14ac:dyDescent="0.3">
      <c r="A979" s="107"/>
      <c r="B979" s="107"/>
      <c r="C979" s="107"/>
      <c r="D979" s="108"/>
      <c r="E979" s="109"/>
      <c r="F979" s="109"/>
      <c r="G979" s="107"/>
      <c r="H979" s="129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 spans="1:26" ht="15.75" customHeight="1" x14ac:dyDescent="0.3">
      <c r="A980" s="107"/>
      <c r="B980" s="107"/>
      <c r="C980" s="107"/>
      <c r="D980" s="108"/>
      <c r="E980" s="109"/>
      <c r="F980" s="109"/>
      <c r="G980" s="107"/>
      <c r="H980" s="129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 spans="1:26" ht="15.75" customHeight="1" x14ac:dyDescent="0.3">
      <c r="A981" s="107"/>
      <c r="B981" s="107"/>
      <c r="C981" s="107"/>
      <c r="D981" s="108"/>
      <c r="E981" s="109"/>
      <c r="F981" s="109"/>
      <c r="G981" s="107"/>
      <c r="H981" s="129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 spans="1:26" ht="15.75" customHeight="1" x14ac:dyDescent="0.3">
      <c r="A982" s="107"/>
      <c r="B982" s="107"/>
      <c r="C982" s="107"/>
      <c r="D982" s="108"/>
      <c r="E982" s="109"/>
      <c r="F982" s="109"/>
      <c r="G982" s="107"/>
      <c r="H982" s="129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 spans="1:26" ht="15.75" customHeight="1" x14ac:dyDescent="0.3">
      <c r="A983" s="107"/>
      <c r="B983" s="107"/>
      <c r="C983" s="107"/>
      <c r="D983" s="108"/>
      <c r="E983" s="109"/>
      <c r="F983" s="109"/>
      <c r="G983" s="107"/>
      <c r="H983" s="129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 spans="1:26" ht="15.75" customHeight="1" x14ac:dyDescent="0.3">
      <c r="A984" s="107"/>
      <c r="B984" s="107"/>
      <c r="C984" s="107"/>
      <c r="D984" s="108"/>
      <c r="E984" s="109"/>
      <c r="F984" s="109"/>
      <c r="G984" s="107"/>
      <c r="H984" s="129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 spans="1:26" ht="15.75" customHeight="1" x14ac:dyDescent="0.3">
      <c r="A985" s="107"/>
      <c r="B985" s="107"/>
      <c r="C985" s="107"/>
      <c r="D985" s="108"/>
      <c r="E985" s="109"/>
      <c r="F985" s="109"/>
      <c r="G985" s="107"/>
      <c r="H985" s="129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 spans="1:26" ht="15.75" customHeight="1" x14ac:dyDescent="0.3">
      <c r="A986" s="107"/>
      <c r="B986" s="107"/>
      <c r="C986" s="107"/>
      <c r="D986" s="108"/>
      <c r="E986" s="109"/>
      <c r="F986" s="109"/>
      <c r="G986" s="107"/>
      <c r="H986" s="129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 spans="1:26" ht="15.75" customHeight="1" x14ac:dyDescent="0.3">
      <c r="A987" s="107"/>
      <c r="B987" s="107"/>
      <c r="C987" s="107"/>
      <c r="D987" s="108"/>
      <c r="E987" s="109"/>
      <c r="F987" s="109"/>
      <c r="G987" s="107"/>
      <c r="H987" s="129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 spans="1:26" ht="15.75" customHeight="1" x14ac:dyDescent="0.3">
      <c r="A988" s="107"/>
      <c r="B988" s="107"/>
      <c r="C988" s="107"/>
      <c r="D988" s="108"/>
      <c r="E988" s="109"/>
      <c r="F988" s="109"/>
      <c r="G988" s="107"/>
      <c r="H988" s="129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 spans="1:26" ht="15.75" customHeight="1" x14ac:dyDescent="0.3">
      <c r="A989" s="107"/>
      <c r="B989" s="107"/>
      <c r="C989" s="107"/>
      <c r="D989" s="108"/>
      <c r="E989" s="109"/>
      <c r="F989" s="109"/>
      <c r="G989" s="107"/>
      <c r="H989" s="129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 spans="1:26" ht="15.75" customHeight="1" x14ac:dyDescent="0.3">
      <c r="A990" s="107"/>
      <c r="B990" s="107"/>
      <c r="C990" s="107"/>
      <c r="D990" s="108"/>
      <c r="E990" s="109"/>
      <c r="F990" s="109"/>
      <c r="G990" s="107"/>
      <c r="H990" s="129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 spans="1:26" ht="15.75" customHeight="1" x14ac:dyDescent="0.3">
      <c r="A991" s="107"/>
      <c r="B991" s="107"/>
      <c r="C991" s="107"/>
      <c r="D991" s="108"/>
      <c r="E991" s="109"/>
      <c r="F991" s="109"/>
      <c r="G991" s="107"/>
      <c r="H991" s="129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 spans="1:26" ht="15.75" customHeight="1" x14ac:dyDescent="0.3">
      <c r="A992" s="107"/>
      <c r="B992" s="107"/>
      <c r="C992" s="107"/>
      <c r="D992" s="108"/>
      <c r="E992" s="109"/>
      <c r="F992" s="109"/>
      <c r="G992" s="107"/>
      <c r="H992" s="129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 spans="1:26" ht="15.75" customHeight="1" x14ac:dyDescent="0.3">
      <c r="A993" s="107"/>
      <c r="B993" s="107"/>
      <c r="C993" s="107"/>
      <c r="D993" s="108"/>
      <c r="E993" s="109"/>
      <c r="F993" s="109"/>
      <c r="G993" s="107"/>
      <c r="H993" s="129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 spans="1:26" ht="15.75" customHeight="1" x14ac:dyDescent="0.3">
      <c r="A994" s="107"/>
      <c r="B994" s="107"/>
      <c r="C994" s="107"/>
      <c r="D994" s="108"/>
      <c r="E994" s="109"/>
      <c r="F994" s="109"/>
      <c r="G994" s="107"/>
      <c r="H994" s="129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 spans="1:26" ht="15.75" customHeight="1" x14ac:dyDescent="0.3">
      <c r="A995" s="107"/>
      <c r="B995" s="107"/>
      <c r="C995" s="107"/>
      <c r="D995" s="108"/>
      <c r="E995" s="109"/>
      <c r="F995" s="109"/>
      <c r="G995" s="107"/>
      <c r="H995" s="129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 spans="1:26" ht="15.75" customHeight="1" x14ac:dyDescent="0.3">
      <c r="A996" s="107"/>
      <c r="B996" s="107"/>
      <c r="C996" s="107"/>
      <c r="D996" s="108"/>
      <c r="E996" s="109"/>
      <c r="F996" s="109"/>
      <c r="G996" s="107"/>
      <c r="H996" s="129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Polycom</vt:lpstr>
      <vt:lpstr>Jabra</vt:lpstr>
      <vt:lpstr>Plantronics</vt:lpstr>
      <vt:lpstr>XPC</vt:lpstr>
      <vt:lpstr>Eaton-new</vt:lpstr>
      <vt:lpstr>APC-new</vt:lpstr>
      <vt:lpstr>Avaya</vt:lpstr>
      <vt:lpstr>Yealink</vt:lpstr>
      <vt:lpstr>VTech-Snom</vt:lpstr>
      <vt:lpstr>ITW Linx</vt:lpstr>
      <vt:lpstr>Viking</vt:lpstr>
      <vt:lpstr>Valcom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Saldivar</dc:creator>
  <cp:lastModifiedBy>J G</cp:lastModifiedBy>
  <dcterms:created xsi:type="dcterms:W3CDTF">2019-03-19T18:43:53Z</dcterms:created>
  <dcterms:modified xsi:type="dcterms:W3CDTF">2022-01-19T15:21:54Z</dcterms:modified>
</cp:coreProperties>
</file>