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proy_neg\01-Documentación\"/>
    </mc:Choice>
  </mc:AlternateContent>
  <bookViews>
    <workbookView xWindow="0" yWindow="0" windowWidth="15675" windowHeight="7575" tabRatio="836" firstSheet="3" activeTab="7"/>
  </bookViews>
  <sheets>
    <sheet name="Ingresos" sheetId="42" r:id="rId1"/>
    <sheet name="Inversión-Gastos preopera" sheetId="35" r:id="rId2"/>
    <sheet name="Marketing y Ventas" sheetId="47" r:id="rId3"/>
    <sheet name="Tecnología" sheetId="46" r:id="rId4"/>
    <sheet name="RRHH" sheetId="48" r:id="rId5"/>
    <sheet name="CIF" sheetId="45" r:id="rId6"/>
    <sheet name="Costos directos de prod o servi" sheetId="49" r:id="rId7"/>
    <sheet name="Flujo de caja" sheetId="19" r:id="rId8"/>
    <sheet name="Estado de Resultados" sheetId="52" r:id="rId9"/>
    <sheet name="Ratios" sheetId="50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">#REF!</definedName>
    <definedName name="_xlnm.Print_Area" localSheetId="7">'Flujo de caja'!$C$2:$AO$83</definedName>
    <definedName name="_xlnm.Print_Area" localSheetId="0">Ingresos!$A$3:$AK$22</definedName>
    <definedName name="_xlnm.Print_Area" localSheetId="1">'Inversión-Gastos preopera'!$A$3:$E$13</definedName>
    <definedName name="B">[8]Interno!$AD$12</definedName>
    <definedName name="BuiltIn_Print_Area">#REF!</definedName>
    <definedName name="CAMBIO">[1]factores!$E$9</definedName>
    <definedName name="Categoría_RMA">'[11]Tipo de Compra'!$L$7:$M$12</definedName>
    <definedName name="co" localSheetId="6">#REF!</definedName>
    <definedName name="co">#REF!</definedName>
    <definedName name="codigos">'[11]Tipo de Compra'!$K$6:$K$26</definedName>
    <definedName name="DCT_CISCO">#REF!</definedName>
    <definedName name="dd">#REF!</definedName>
    <definedName name="dto_cisco">#REF!</definedName>
    <definedName name="dto_cisco2" localSheetId="6">#REF!</definedName>
    <definedName name="dto_cisco2">#REF!</definedName>
    <definedName name="dto_cisco3" localSheetId="6">#REF!</definedName>
    <definedName name="dto_cisco3">#REF!</definedName>
    <definedName name="EE" localSheetId="6">[1]factores!#REF!</definedName>
    <definedName name="EE">[1]factores!#REF!</definedName>
    <definedName name="_f" localSheetId="6">#REF!</definedName>
    <definedName name="_f">#REF!</definedName>
    <definedName name="FACT_DTO_CISCO">#REF!</definedName>
    <definedName name="factor_cisco" localSheetId="6">#REF!</definedName>
    <definedName name="factor_cisco">#REF!</definedName>
    <definedName name="factor_garan">#REF!</definedName>
    <definedName name="factor_trans">#REF!</definedName>
    <definedName name="fib" localSheetId="6">#REF!</definedName>
    <definedName name="fib">#REF!</definedName>
    <definedName name="fle" localSheetId="6">#REF!</definedName>
    <definedName name="fle">#REF!</definedName>
    <definedName name="fob" localSheetId="6">#REF!</definedName>
    <definedName name="fob">#REF!</definedName>
    <definedName name="ftd">[1]factores!$B$27</definedName>
    <definedName name="fth">[1]factores!$B$26</definedName>
    <definedName name="ftm">[1]factores!$B$25</definedName>
    <definedName name="ftmes">[1]factores!$B$28</definedName>
    <definedName name="GAI" localSheetId="6">[1]factores!#REF!</definedName>
    <definedName name="GAI">[1]factores!#REF!</definedName>
    <definedName name="GARANTIA">#REF!</definedName>
    <definedName name="igv">#REF!</definedName>
    <definedName name="Impr">[5]Factores!$E$11</definedName>
    <definedName name="INSTALAC">#REF!</definedName>
    <definedName name="INTERNAM">#REF!</definedName>
    <definedName name="j">#REF!</definedName>
    <definedName name="Lista_Tipo_Compra">'[11]Tipo de Compra'!$B$7:$B$27</definedName>
    <definedName name="ll" localSheetId="6">#REF!</definedName>
    <definedName name="ll">#REF!</definedName>
    <definedName name="luis" localSheetId="6">#REF!</definedName>
    <definedName name="luis">#REF!</definedName>
    <definedName name="marca">'[11]Tipo de Compra'!$J$6:$J$11</definedName>
    <definedName name="MARG_TP">#REF!</definedName>
    <definedName name="MARG_TS">#REF!</definedName>
    <definedName name="margen">#REF!</definedName>
    <definedName name="meses">'[3]Modelo Corrida'!$E$28:$BL$28</definedName>
    <definedName name="mts" localSheetId="6">#REF!</definedName>
    <definedName name="mts">#REF!</definedName>
    <definedName name="OLE_LINK1" localSheetId="1">'Inversión-Gastos preopera'!#REF!</definedName>
    <definedName name="PCTJE_INST">#REF!</definedName>
    <definedName name="_r">#REF!</definedName>
    <definedName name="RelSeq" localSheetId="6">[2]NCR1T98!#REF!</definedName>
    <definedName name="RelSeq">[2]NCR1T98!#REF!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MA">'[11]Tipo de Compra'!$L$7:$L$12</definedName>
    <definedName name="tA">[1]factores!$B$17</definedName>
    <definedName name="tB">[1]factores!$B$18</definedName>
    <definedName name="tC">[1]factores!$B$19</definedName>
    <definedName name="td">#REF!</definedName>
    <definedName name="tdata" localSheetId="6">#REF!</definedName>
    <definedName name="tdata">#REF!</definedName>
    <definedName name="TE" localSheetId="6">[1]factores!#REF!</definedName>
    <definedName name="TE">[1]factores!#REF!</definedName>
    <definedName name="tEE">[1]factores!$B$21</definedName>
    <definedName name="TG" localSheetId="6">[1]factores!#REF!</definedName>
    <definedName name="TG">[1]factores!#REF!</definedName>
    <definedName name="TGI" localSheetId="6">[1]factores!#REF!</definedName>
    <definedName name="TGI">[1]factores!#REF!</definedName>
    <definedName name="TI" localSheetId="6">[1]factores!#REF!</definedName>
    <definedName name="TI">[1]factores!#REF!</definedName>
    <definedName name="TIP" localSheetId="6">[1]factores!#REF!</definedName>
    <definedName name="TIP">[1]factores!#REF!</definedName>
    <definedName name="TLM">[1]factores!$B$15</definedName>
    <definedName name="WS.U5SunBlade">#REF!</definedName>
    <definedName name="Z">#REF!</definedName>
    <definedName name="zz">#REF!</definedName>
  </definedNames>
  <calcPr calcId="162913"/>
</workbook>
</file>

<file path=xl/calcChain.xml><?xml version="1.0" encoding="utf-8"?>
<calcChain xmlns="http://schemas.openxmlformats.org/spreadsheetml/2006/main">
  <c r="C15" i="52" l="1"/>
  <c r="D15" i="52" s="1"/>
  <c r="C14" i="52"/>
  <c r="D14" i="52" s="1"/>
  <c r="C9" i="52"/>
  <c r="C10" i="52"/>
  <c r="C8" i="52"/>
  <c r="D8" i="52" s="1"/>
  <c r="C3" i="52"/>
  <c r="C5" i="52" s="1"/>
  <c r="D9" i="52" l="1"/>
  <c r="C16" i="52"/>
  <c r="D16" i="52" s="1"/>
  <c r="D10" i="52"/>
  <c r="D5" i="52"/>
  <c r="D4" i="52"/>
  <c r="E29" i="19"/>
  <c r="E27" i="19"/>
  <c r="F5" i="48"/>
  <c r="J5" i="48"/>
  <c r="N5" i="48"/>
  <c r="R5" i="48"/>
  <c r="V5" i="48"/>
  <c r="Z5" i="48"/>
  <c r="AD5" i="48"/>
  <c r="AH5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Z7" i="48"/>
  <c r="AA7" i="48"/>
  <c r="AB7" i="48"/>
  <c r="AC7" i="48"/>
  <c r="AD7" i="48"/>
  <c r="AE7" i="48"/>
  <c r="AF7" i="48"/>
  <c r="AG7" i="48"/>
  <c r="AH7" i="48"/>
  <c r="AI7" i="48"/>
  <c r="AJ7" i="48"/>
  <c r="AK7" i="48"/>
  <c r="B7" i="48"/>
  <c r="B5" i="48"/>
  <c r="E18" i="19"/>
  <c r="D25" i="35"/>
  <c r="D10" i="35"/>
  <c r="D11" i="35"/>
  <c r="D12" i="35"/>
  <c r="D8" i="47"/>
  <c r="E8" i="47"/>
  <c r="F8" i="47"/>
  <c r="G8" i="47"/>
  <c r="G12" i="47" s="1"/>
  <c r="H8" i="47"/>
  <c r="I8" i="47"/>
  <c r="J8" i="47"/>
  <c r="K8" i="47"/>
  <c r="K12" i="47" s="1"/>
  <c r="L8" i="47"/>
  <c r="M8" i="47"/>
  <c r="N8" i="47"/>
  <c r="O8" i="47"/>
  <c r="O12" i="47" s="1"/>
  <c r="P8" i="47"/>
  <c r="Q8" i="47"/>
  <c r="R8" i="47"/>
  <c r="S8" i="47"/>
  <c r="S12" i="47" s="1"/>
  <c r="W12" i="19" s="1"/>
  <c r="T8" i="47"/>
  <c r="U8" i="47"/>
  <c r="V8" i="47"/>
  <c r="W8" i="47"/>
  <c r="W12" i="47" s="1"/>
  <c r="AA12" i="19" s="1"/>
  <c r="X8" i="47"/>
  <c r="Y8" i="47"/>
  <c r="Z8" i="47"/>
  <c r="AA8" i="47"/>
  <c r="AA12" i="47" s="1"/>
  <c r="AB8" i="47"/>
  <c r="AC8" i="47"/>
  <c r="AD8" i="47"/>
  <c r="AE8" i="47"/>
  <c r="AF8" i="47"/>
  <c r="AG8" i="47"/>
  <c r="AH8" i="47"/>
  <c r="AI8" i="47"/>
  <c r="AJ8" i="47"/>
  <c r="AK8" i="47"/>
  <c r="C8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AG7" i="47"/>
  <c r="AH7" i="47"/>
  <c r="AI7" i="47"/>
  <c r="AJ7" i="47"/>
  <c r="AK7" i="47"/>
  <c r="E12" i="47"/>
  <c r="I12" i="47"/>
  <c r="L12" i="47"/>
  <c r="P12" i="47"/>
  <c r="T12" i="47"/>
  <c r="U12" i="47"/>
  <c r="X12" i="47"/>
  <c r="AF12" i="47"/>
  <c r="AG12" i="47"/>
  <c r="AK12" i="47"/>
  <c r="D9" i="47"/>
  <c r="E9" i="47"/>
  <c r="F9" i="47"/>
  <c r="G9" i="47"/>
  <c r="H9" i="47"/>
  <c r="I9" i="47"/>
  <c r="J9" i="47"/>
  <c r="J12" i="47" s="1"/>
  <c r="K9" i="47"/>
  <c r="L9" i="47"/>
  <c r="M9" i="47"/>
  <c r="N9" i="47"/>
  <c r="N12" i="47" s="1"/>
  <c r="O9" i="47"/>
  <c r="P9" i="47"/>
  <c r="Q9" i="47"/>
  <c r="R9" i="47"/>
  <c r="R12" i="47" s="1"/>
  <c r="S9" i="47"/>
  <c r="T9" i="47"/>
  <c r="U9" i="47"/>
  <c r="V9" i="47"/>
  <c r="V12" i="47" s="1"/>
  <c r="W9" i="47"/>
  <c r="X9" i="47"/>
  <c r="Y9" i="47"/>
  <c r="Z9" i="47"/>
  <c r="AA9" i="47"/>
  <c r="AB9" i="47"/>
  <c r="AC9" i="47"/>
  <c r="AD9" i="47"/>
  <c r="AD12" i="47" s="1"/>
  <c r="AE9" i="47"/>
  <c r="AF9" i="47"/>
  <c r="AG9" i="47"/>
  <c r="AH9" i="47"/>
  <c r="AI9" i="47"/>
  <c r="AJ9" i="47"/>
  <c r="AK9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Z10" i="47"/>
  <c r="AA10" i="47"/>
  <c r="AB10" i="47"/>
  <c r="AC10" i="47"/>
  <c r="AD10" i="47"/>
  <c r="AE10" i="47"/>
  <c r="AF10" i="47"/>
  <c r="AG10" i="47"/>
  <c r="AH10" i="47"/>
  <c r="AI10" i="47"/>
  <c r="AJ10" i="47"/>
  <c r="AK10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Z11" i="47"/>
  <c r="AA11" i="47"/>
  <c r="AB11" i="47"/>
  <c r="AC11" i="47"/>
  <c r="AD11" i="47"/>
  <c r="AE11" i="47"/>
  <c r="AF11" i="47"/>
  <c r="AG11" i="47"/>
  <c r="AH11" i="47"/>
  <c r="AI11" i="47"/>
  <c r="AJ11" i="47"/>
  <c r="AK11" i="47"/>
  <c r="C11" i="47"/>
  <c r="C10" i="47"/>
  <c r="C9" i="47"/>
  <c r="C7" i="47"/>
  <c r="C6" i="47"/>
  <c r="C5" i="47"/>
  <c r="M6" i="42"/>
  <c r="Y6" i="42"/>
  <c r="AK6" i="42"/>
  <c r="AL5" i="42"/>
  <c r="D4" i="42"/>
  <c r="E4" i="42"/>
  <c r="F4" i="42"/>
  <c r="G4" i="42"/>
  <c r="H4" i="42"/>
  <c r="I4" i="42"/>
  <c r="J4" i="42"/>
  <c r="K4" i="42"/>
  <c r="K5" i="42" s="1"/>
  <c r="P13" i="50" s="1"/>
  <c r="L4" i="42"/>
  <c r="M4" i="42"/>
  <c r="N4" i="42"/>
  <c r="O4" i="42"/>
  <c r="O5" i="42" s="1"/>
  <c r="S8" i="19" s="1"/>
  <c r="P4" i="42"/>
  <c r="Q4" i="42"/>
  <c r="R4" i="42"/>
  <c r="S4" i="42"/>
  <c r="S5" i="42" s="1"/>
  <c r="W8" i="19" s="1"/>
  <c r="T4" i="42"/>
  <c r="U4" i="42"/>
  <c r="V4" i="42"/>
  <c r="W4" i="42"/>
  <c r="X4" i="42"/>
  <c r="Y4" i="42"/>
  <c r="Z4" i="42"/>
  <c r="AA4" i="42"/>
  <c r="AA5" i="42" s="1"/>
  <c r="AB4" i="42"/>
  <c r="AC4" i="42"/>
  <c r="AD4" i="42"/>
  <c r="AE4" i="42"/>
  <c r="AE5" i="42" s="1"/>
  <c r="AF4" i="42"/>
  <c r="AG4" i="42"/>
  <c r="AH4" i="42"/>
  <c r="AI4" i="42"/>
  <c r="AI5" i="42" s="1"/>
  <c r="AM8" i="19" s="1"/>
  <c r="AJ4" i="42"/>
  <c r="AK4" i="42"/>
  <c r="C4" i="42"/>
  <c r="B4" i="42"/>
  <c r="D17" i="42"/>
  <c r="AJ11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Z6" i="46"/>
  <c r="AA6" i="46"/>
  <c r="AB6" i="46"/>
  <c r="AC6" i="46"/>
  <c r="AD6" i="46"/>
  <c r="AE6" i="46"/>
  <c r="AF6" i="46"/>
  <c r="AG6" i="46"/>
  <c r="AH6" i="46"/>
  <c r="AI6" i="46"/>
  <c r="AJ6" i="46"/>
  <c r="AK6" i="46"/>
  <c r="B6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Z5" i="46"/>
  <c r="AA5" i="46"/>
  <c r="AB5" i="46"/>
  <c r="AC5" i="46"/>
  <c r="AD5" i="46"/>
  <c r="AE5" i="46"/>
  <c r="AF5" i="46"/>
  <c r="AG5" i="46"/>
  <c r="AH5" i="46"/>
  <c r="AI5" i="46"/>
  <c r="AJ5" i="46"/>
  <c r="AK5" i="46"/>
  <c r="B5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Z4" i="46"/>
  <c r="AA4" i="46"/>
  <c r="AB4" i="46"/>
  <c r="AC4" i="46"/>
  <c r="AD4" i="46"/>
  <c r="AE4" i="46"/>
  <c r="AF4" i="46"/>
  <c r="AG4" i="46"/>
  <c r="AG7" i="46" s="1"/>
  <c r="AL18" i="50" s="1"/>
  <c r="AH4" i="46"/>
  <c r="AI4" i="46"/>
  <c r="AJ4" i="46"/>
  <c r="AK4" i="46"/>
  <c r="B4" i="46"/>
  <c r="H19" i="46"/>
  <c r="U7" i="46"/>
  <c r="AF16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Z12" i="45"/>
  <c r="AA12" i="45"/>
  <c r="AB12" i="45"/>
  <c r="AC12" i="45"/>
  <c r="AD12" i="45"/>
  <c r="AE12" i="45"/>
  <c r="AF12" i="45"/>
  <c r="AG12" i="45"/>
  <c r="AH12" i="45"/>
  <c r="AI12" i="45"/>
  <c r="AJ12" i="45"/>
  <c r="AK12" i="45"/>
  <c r="C12" i="45"/>
  <c r="B12" i="45"/>
  <c r="C11" i="45"/>
  <c r="D11" i="45"/>
  <c r="E11" i="45"/>
  <c r="F11" i="45" s="1"/>
  <c r="G11" i="45" s="1"/>
  <c r="H11" i="45" s="1"/>
  <c r="I11" i="45" s="1"/>
  <c r="J11" i="45" s="1"/>
  <c r="K11" i="45" s="1"/>
  <c r="L11" i="45" s="1"/>
  <c r="M11" i="45" s="1"/>
  <c r="N11" i="45" s="1"/>
  <c r="O11" i="45" s="1"/>
  <c r="P11" i="45" s="1"/>
  <c r="Q11" i="45" s="1"/>
  <c r="R11" i="45" s="1"/>
  <c r="S11" i="45" s="1"/>
  <c r="T11" i="45" s="1"/>
  <c r="U11" i="45" s="1"/>
  <c r="V11" i="45" s="1"/>
  <c r="W11" i="45" s="1"/>
  <c r="X11" i="45" s="1"/>
  <c r="Y11" i="45" s="1"/>
  <c r="Z11" i="45" s="1"/>
  <c r="AA11" i="45" s="1"/>
  <c r="AB11" i="45" s="1"/>
  <c r="AC11" i="45" s="1"/>
  <c r="AD11" i="45" s="1"/>
  <c r="AE11" i="45" s="1"/>
  <c r="AF11" i="45" s="1"/>
  <c r="AG11" i="45" s="1"/>
  <c r="AH11" i="45" s="1"/>
  <c r="AI11" i="45" s="1"/>
  <c r="AJ11" i="45" s="1"/>
  <c r="AK11" i="45" s="1"/>
  <c r="O4" i="49"/>
  <c r="P4" i="49"/>
  <c r="Q4" i="49"/>
  <c r="R4" i="49"/>
  <c r="S4" i="49"/>
  <c r="T4" i="49"/>
  <c r="U4" i="49"/>
  <c r="V4" i="49"/>
  <c r="W4" i="49"/>
  <c r="X4" i="49"/>
  <c r="Y4" i="49"/>
  <c r="Z4" i="49"/>
  <c r="AA4" i="49"/>
  <c r="AB4" i="49"/>
  <c r="AC4" i="49"/>
  <c r="AD4" i="49"/>
  <c r="AE4" i="49"/>
  <c r="AF4" i="49"/>
  <c r="AG4" i="49"/>
  <c r="AH4" i="49"/>
  <c r="AI4" i="49"/>
  <c r="AJ4" i="49"/>
  <c r="AK4" i="49"/>
  <c r="N4" i="49"/>
  <c r="C4" i="49"/>
  <c r="D4" i="49"/>
  <c r="E4" i="49"/>
  <c r="F4" i="49"/>
  <c r="G4" i="49"/>
  <c r="H4" i="49"/>
  <c r="I4" i="49"/>
  <c r="J4" i="49"/>
  <c r="K4" i="49"/>
  <c r="L4" i="49"/>
  <c r="M4" i="49"/>
  <c r="B4" i="49"/>
  <c r="N12" i="42"/>
  <c r="O12" i="42" s="1"/>
  <c r="B9" i="49"/>
  <c r="B10" i="49" s="1"/>
  <c r="H17" i="49"/>
  <c r="H18" i="49"/>
  <c r="H19" i="49"/>
  <c r="H20" i="49"/>
  <c r="H21" i="49"/>
  <c r="D19" i="48"/>
  <c r="H19" i="48"/>
  <c r="D20" i="48"/>
  <c r="H20" i="48"/>
  <c r="D21" i="48"/>
  <c r="H21" i="48"/>
  <c r="D22" i="48"/>
  <c r="H22" i="48"/>
  <c r="H25" i="48" s="1"/>
  <c r="D23" i="48"/>
  <c r="H23" i="48"/>
  <c r="H24" i="48"/>
  <c r="C9" i="49"/>
  <c r="C10" i="49" s="1"/>
  <c r="D9" i="49"/>
  <c r="D10" i="49" s="1"/>
  <c r="E9" i="49"/>
  <c r="E10" i="49" s="1"/>
  <c r="F9" i="49"/>
  <c r="F10" i="49" s="1"/>
  <c r="G9" i="49"/>
  <c r="G10" i="49" s="1"/>
  <c r="H9" i="49"/>
  <c r="H10" i="49" s="1"/>
  <c r="I9" i="49"/>
  <c r="I10" i="49" s="1"/>
  <c r="J9" i="49"/>
  <c r="J10" i="49" s="1"/>
  <c r="K9" i="49"/>
  <c r="K10" i="49" s="1"/>
  <c r="L9" i="49"/>
  <c r="L10" i="49" s="1"/>
  <c r="M9" i="49"/>
  <c r="M10" i="49" s="1"/>
  <c r="N9" i="49"/>
  <c r="D26" i="35"/>
  <c r="C5" i="45"/>
  <c r="D5" i="45" s="1"/>
  <c r="E5" i="45" s="1"/>
  <c r="F5" i="45" s="1"/>
  <c r="G5" i="45" s="1"/>
  <c r="H5" i="45" s="1"/>
  <c r="I5" i="45" s="1"/>
  <c r="J5" i="45" s="1"/>
  <c r="K5" i="45" s="1"/>
  <c r="L5" i="45" s="1"/>
  <c r="M5" i="45" s="1"/>
  <c r="N5" i="45" s="1"/>
  <c r="O5" i="45" s="1"/>
  <c r="P5" i="45" s="1"/>
  <c r="Q5" i="45" s="1"/>
  <c r="R5" i="45" s="1"/>
  <c r="S5" i="45" s="1"/>
  <c r="T5" i="45" s="1"/>
  <c r="U5" i="45" s="1"/>
  <c r="V5" i="45" s="1"/>
  <c r="W5" i="45" s="1"/>
  <c r="X5" i="45" s="1"/>
  <c r="Y5" i="45" s="1"/>
  <c r="Z5" i="45" s="1"/>
  <c r="AA5" i="45" s="1"/>
  <c r="AB5" i="45" s="1"/>
  <c r="AC5" i="45" s="1"/>
  <c r="AD5" i="45" s="1"/>
  <c r="AE5" i="45" s="1"/>
  <c r="AF5" i="45" s="1"/>
  <c r="AG5" i="45" s="1"/>
  <c r="AH5" i="45" s="1"/>
  <c r="AI5" i="45" s="1"/>
  <c r="AJ5" i="45" s="1"/>
  <c r="AK5" i="45" s="1"/>
  <c r="C6" i="45"/>
  <c r="D6" i="45" s="1"/>
  <c r="E6" i="45" s="1"/>
  <c r="F6" i="45" s="1"/>
  <c r="G6" i="45" s="1"/>
  <c r="H6" i="45" s="1"/>
  <c r="I6" i="45" s="1"/>
  <c r="J6" i="45" s="1"/>
  <c r="K6" i="45" s="1"/>
  <c r="L6" i="45" s="1"/>
  <c r="M6" i="45" s="1"/>
  <c r="N6" i="45" s="1"/>
  <c r="O6" i="45" s="1"/>
  <c r="P6" i="45" s="1"/>
  <c r="Q6" i="45" s="1"/>
  <c r="R6" i="45" s="1"/>
  <c r="S6" i="45" s="1"/>
  <c r="T6" i="45" s="1"/>
  <c r="U6" i="45" s="1"/>
  <c r="V6" i="45" s="1"/>
  <c r="W6" i="45" s="1"/>
  <c r="X6" i="45" s="1"/>
  <c r="Y6" i="45" s="1"/>
  <c r="Z6" i="45" s="1"/>
  <c r="AA6" i="45" s="1"/>
  <c r="AB6" i="45" s="1"/>
  <c r="AC6" i="45" s="1"/>
  <c r="AD6" i="45" s="1"/>
  <c r="AE6" i="45" s="1"/>
  <c r="AF6" i="45" s="1"/>
  <c r="AG6" i="45" s="1"/>
  <c r="AH6" i="45" s="1"/>
  <c r="AI6" i="45" s="1"/>
  <c r="AJ6" i="45" s="1"/>
  <c r="AK6" i="45" s="1"/>
  <c r="C7" i="45"/>
  <c r="D7" i="45"/>
  <c r="E7" i="45" s="1"/>
  <c r="F7" i="45" s="1"/>
  <c r="G7" i="45" s="1"/>
  <c r="H7" i="45" s="1"/>
  <c r="I7" i="45" s="1"/>
  <c r="J7" i="45" s="1"/>
  <c r="K7" i="45" s="1"/>
  <c r="L7" i="45" s="1"/>
  <c r="M7" i="45" s="1"/>
  <c r="N7" i="45" s="1"/>
  <c r="O7" i="45" s="1"/>
  <c r="P7" i="45" s="1"/>
  <c r="Q7" i="45" s="1"/>
  <c r="R7" i="45" s="1"/>
  <c r="S7" i="45" s="1"/>
  <c r="T7" i="45" s="1"/>
  <c r="U7" i="45" s="1"/>
  <c r="V7" i="45" s="1"/>
  <c r="W7" i="45" s="1"/>
  <c r="X7" i="45" s="1"/>
  <c r="Y7" i="45" s="1"/>
  <c r="Z7" i="45" s="1"/>
  <c r="AA7" i="45" s="1"/>
  <c r="AB7" i="45" s="1"/>
  <c r="AC7" i="45" s="1"/>
  <c r="AD7" i="45" s="1"/>
  <c r="AE7" i="45" s="1"/>
  <c r="AF7" i="45" s="1"/>
  <c r="AG7" i="45" s="1"/>
  <c r="AH7" i="45" s="1"/>
  <c r="AI7" i="45" s="1"/>
  <c r="AJ7" i="45" s="1"/>
  <c r="AK7" i="45" s="1"/>
  <c r="C8" i="45"/>
  <c r="D8" i="45" s="1"/>
  <c r="E8" i="45" s="1"/>
  <c r="F8" i="45" s="1"/>
  <c r="G8" i="45" s="1"/>
  <c r="H8" i="45" s="1"/>
  <c r="I8" i="45" s="1"/>
  <c r="J8" i="45" s="1"/>
  <c r="K8" i="45" s="1"/>
  <c r="L8" i="45" s="1"/>
  <c r="M8" i="45" s="1"/>
  <c r="N8" i="45" s="1"/>
  <c r="O8" i="45" s="1"/>
  <c r="P8" i="45" s="1"/>
  <c r="Q8" i="45" s="1"/>
  <c r="R8" i="45" s="1"/>
  <c r="S8" i="45" s="1"/>
  <c r="T8" i="45" s="1"/>
  <c r="U8" i="45" s="1"/>
  <c r="V8" i="45" s="1"/>
  <c r="W8" i="45" s="1"/>
  <c r="X8" i="45" s="1"/>
  <c r="Y8" i="45" s="1"/>
  <c r="Z8" i="45" s="1"/>
  <c r="AA8" i="45" s="1"/>
  <c r="AB8" i="45" s="1"/>
  <c r="AC8" i="45" s="1"/>
  <c r="AD8" i="45" s="1"/>
  <c r="AE8" i="45" s="1"/>
  <c r="AF8" i="45" s="1"/>
  <c r="AG8" i="45" s="1"/>
  <c r="AH8" i="45" s="1"/>
  <c r="AI8" i="45" s="1"/>
  <c r="AJ8" i="45" s="1"/>
  <c r="AK8" i="45" s="1"/>
  <c r="C9" i="45"/>
  <c r="D9" i="45" s="1"/>
  <c r="E9" i="45" s="1"/>
  <c r="F9" i="45" s="1"/>
  <c r="G9" i="45" s="1"/>
  <c r="H9" i="45" s="1"/>
  <c r="I9" i="45" s="1"/>
  <c r="J9" i="45" s="1"/>
  <c r="K9" i="45" s="1"/>
  <c r="L9" i="45" s="1"/>
  <c r="M9" i="45" s="1"/>
  <c r="N9" i="45" s="1"/>
  <c r="O9" i="45" s="1"/>
  <c r="P9" i="45" s="1"/>
  <c r="Q9" i="45" s="1"/>
  <c r="R9" i="45" s="1"/>
  <c r="S9" i="45" s="1"/>
  <c r="T9" i="45" s="1"/>
  <c r="U9" i="45" s="1"/>
  <c r="V9" i="45" s="1"/>
  <c r="W9" i="45" s="1"/>
  <c r="X9" i="45" s="1"/>
  <c r="Y9" i="45" s="1"/>
  <c r="Z9" i="45" s="1"/>
  <c r="AA9" i="45" s="1"/>
  <c r="AB9" i="45" s="1"/>
  <c r="AC9" i="45" s="1"/>
  <c r="AD9" i="45" s="1"/>
  <c r="AE9" i="45" s="1"/>
  <c r="AF9" i="45" s="1"/>
  <c r="AG9" i="45" s="1"/>
  <c r="AH9" i="45" s="1"/>
  <c r="AI9" i="45" s="1"/>
  <c r="AJ9" i="45" s="1"/>
  <c r="AK9" i="45" s="1"/>
  <c r="C10" i="45"/>
  <c r="D10" i="45" s="1"/>
  <c r="E10" i="45" s="1"/>
  <c r="F10" i="45" s="1"/>
  <c r="G10" i="45" s="1"/>
  <c r="H10" i="45" s="1"/>
  <c r="I10" i="45" s="1"/>
  <c r="J10" i="45" s="1"/>
  <c r="K10" i="45" s="1"/>
  <c r="L10" i="45" s="1"/>
  <c r="M10" i="45" s="1"/>
  <c r="N10" i="45" s="1"/>
  <c r="O10" i="45" s="1"/>
  <c r="P10" i="45" s="1"/>
  <c r="Q10" i="45" s="1"/>
  <c r="R10" i="45" s="1"/>
  <c r="S10" i="45" s="1"/>
  <c r="T10" i="45" s="1"/>
  <c r="U10" i="45" s="1"/>
  <c r="V10" i="45" s="1"/>
  <c r="W10" i="45" s="1"/>
  <c r="X10" i="45" s="1"/>
  <c r="Y10" i="45" s="1"/>
  <c r="Z10" i="45" s="1"/>
  <c r="AA10" i="45" s="1"/>
  <c r="AB10" i="45" s="1"/>
  <c r="AC10" i="45" s="1"/>
  <c r="AD10" i="45" s="1"/>
  <c r="AE10" i="45" s="1"/>
  <c r="AF10" i="45" s="1"/>
  <c r="AG10" i="45" s="1"/>
  <c r="AH10" i="45" s="1"/>
  <c r="AI10" i="45" s="1"/>
  <c r="AJ10" i="45" s="1"/>
  <c r="AK10" i="45" s="1"/>
  <c r="C4" i="45"/>
  <c r="B36" i="48"/>
  <c r="E25" i="48"/>
  <c r="E15" i="48"/>
  <c r="H14" i="48"/>
  <c r="H13" i="48"/>
  <c r="H15" i="48"/>
  <c r="D14" i="48"/>
  <c r="C7" i="46"/>
  <c r="H18" i="50" s="1"/>
  <c r="D7" i="46"/>
  <c r="I18" i="50" s="1"/>
  <c r="G7" i="46"/>
  <c r="L18" i="50" s="1"/>
  <c r="H7" i="46"/>
  <c r="L13" i="19" s="1"/>
  <c r="K7" i="46"/>
  <c r="P18" i="50" s="1"/>
  <c r="L7" i="46"/>
  <c r="P13" i="19" s="1"/>
  <c r="M7" i="46"/>
  <c r="Q13" i="19" s="1"/>
  <c r="O7" i="46"/>
  <c r="T18" i="50" s="1"/>
  <c r="P7" i="46"/>
  <c r="U18" i="50" s="1"/>
  <c r="S7" i="46"/>
  <c r="W13" i="19" s="1"/>
  <c r="T7" i="46"/>
  <c r="X13" i="19" s="1"/>
  <c r="W7" i="46"/>
  <c r="AA13" i="19" s="1"/>
  <c r="X7" i="46"/>
  <c r="AC18" i="50" s="1"/>
  <c r="AA7" i="46"/>
  <c r="AF18" i="50" s="1"/>
  <c r="AB7" i="46"/>
  <c r="AF13" i="19" s="1"/>
  <c r="AE7" i="46"/>
  <c r="AJ18" i="50" s="1"/>
  <c r="AF7" i="46"/>
  <c r="AK18" i="50" s="1"/>
  <c r="AI7" i="46"/>
  <c r="AN18" i="50" s="1"/>
  <c r="AJ7" i="46"/>
  <c r="AO18" i="50" s="1"/>
  <c r="B7" i="46"/>
  <c r="F13" i="19" s="1"/>
  <c r="E3" i="46"/>
  <c r="D12" i="47"/>
  <c r="I17" i="50" s="1"/>
  <c r="H12" i="19"/>
  <c r="F12" i="47"/>
  <c r="K17" i="50" s="1"/>
  <c r="J12" i="19"/>
  <c r="H12" i="47"/>
  <c r="M17" i="50" s="1"/>
  <c r="L12" i="19"/>
  <c r="M12" i="47"/>
  <c r="Q12" i="19" s="1"/>
  <c r="Q12" i="47"/>
  <c r="U12" i="19" s="1"/>
  <c r="Y12" i="47"/>
  <c r="AD17" i="50" s="1"/>
  <c r="Z12" i="47"/>
  <c r="AE17" i="50" s="1"/>
  <c r="AB12" i="47"/>
  <c r="AC12" i="47"/>
  <c r="AG12" i="19" s="1"/>
  <c r="AE12" i="47"/>
  <c r="AI12" i="19" s="1"/>
  <c r="AH12" i="47"/>
  <c r="AL12" i="19" s="1"/>
  <c r="AJ12" i="47"/>
  <c r="AN12" i="19" s="1"/>
  <c r="C4" i="47"/>
  <c r="C3" i="46" s="1"/>
  <c r="D4" i="47"/>
  <c r="D3" i="46" s="1"/>
  <c r="E4" i="47"/>
  <c r="F4" i="47"/>
  <c r="F3" i="46" s="1"/>
  <c r="G4" i="47"/>
  <c r="G3" i="46" s="1"/>
  <c r="H4" i="47"/>
  <c r="H3" i="46" s="1"/>
  <c r="I4" i="47"/>
  <c r="I3" i="46" s="1"/>
  <c r="J4" i="47"/>
  <c r="J3" i="46" s="1"/>
  <c r="K4" i="47"/>
  <c r="K3" i="46" s="1"/>
  <c r="L4" i="47"/>
  <c r="L3" i="46" s="1"/>
  <c r="M4" i="47"/>
  <c r="M3" i="46" s="1"/>
  <c r="N4" i="47"/>
  <c r="N3" i="46" s="1"/>
  <c r="O4" i="47"/>
  <c r="O3" i="46" s="1"/>
  <c r="P4" i="47"/>
  <c r="P3" i="46" s="1"/>
  <c r="Q4" i="47"/>
  <c r="Q3" i="46" s="1"/>
  <c r="R4" i="47"/>
  <c r="R3" i="46" s="1"/>
  <c r="S4" i="47"/>
  <c r="S3" i="46" s="1"/>
  <c r="T4" i="47"/>
  <c r="T3" i="46" s="1"/>
  <c r="U4" i="47"/>
  <c r="U3" i="46" s="1"/>
  <c r="V4" i="47"/>
  <c r="V3" i="46" s="1"/>
  <c r="W4" i="47"/>
  <c r="W3" i="46" s="1"/>
  <c r="X4" i="47"/>
  <c r="X3" i="46" s="1"/>
  <c r="Y4" i="47"/>
  <c r="Y3" i="46" s="1"/>
  <c r="Z4" i="47"/>
  <c r="Z3" i="46" s="1"/>
  <c r="AA4" i="47"/>
  <c r="AA3" i="46" s="1"/>
  <c r="AB4" i="47"/>
  <c r="AB3" i="46" s="1"/>
  <c r="AC4" i="47"/>
  <c r="AC3" i="46" s="1"/>
  <c r="AD4" i="47"/>
  <c r="AD3" i="46" s="1"/>
  <c r="AE4" i="47"/>
  <c r="AE3" i="46" s="1"/>
  <c r="AF4" i="47"/>
  <c r="AF3" i="46" s="1"/>
  <c r="AG4" i="47"/>
  <c r="AG3" i="46" s="1"/>
  <c r="AH4" i="47"/>
  <c r="AH3" i="46" s="1"/>
  <c r="AI4" i="47"/>
  <c r="AI3" i="46" s="1"/>
  <c r="AJ4" i="47"/>
  <c r="AJ3" i="46" s="1"/>
  <c r="AK4" i="47"/>
  <c r="AK3" i="46" s="1"/>
  <c r="B4" i="47"/>
  <c r="B3" i="46" s="1"/>
  <c r="D18" i="35"/>
  <c r="D19" i="35"/>
  <c r="D20" i="35"/>
  <c r="D21" i="35"/>
  <c r="D17" i="35"/>
  <c r="D6" i="35"/>
  <c r="D7" i="35"/>
  <c r="D8" i="35"/>
  <c r="C13" i="42"/>
  <c r="G11" i="50"/>
  <c r="K15" i="19"/>
  <c r="B12" i="47"/>
  <c r="G17" i="50" s="1"/>
  <c r="C11" i="42"/>
  <c r="C4" i="48"/>
  <c r="C3" i="45" s="1"/>
  <c r="C3" i="49" s="1"/>
  <c r="C8" i="49" s="1"/>
  <c r="D11" i="42"/>
  <c r="D4" i="48" s="1"/>
  <c r="D3" i="45" s="1"/>
  <c r="D3" i="49" s="1"/>
  <c r="D8" i="49" s="1"/>
  <c r="E11" i="42"/>
  <c r="E4" i="48" s="1"/>
  <c r="E3" i="45" s="1"/>
  <c r="E3" i="49" s="1"/>
  <c r="E8" i="49" s="1"/>
  <c r="F11" i="42"/>
  <c r="F4" i="48" s="1"/>
  <c r="F3" i="45" s="1"/>
  <c r="F3" i="49" s="1"/>
  <c r="F8" i="49" s="1"/>
  <c r="G11" i="42"/>
  <c r="G4" i="48" s="1"/>
  <c r="G3" i="45" s="1"/>
  <c r="G3" i="49" s="1"/>
  <c r="G8" i="49" s="1"/>
  <c r="H11" i="42"/>
  <c r="H4" i="48" s="1"/>
  <c r="H3" i="45" s="1"/>
  <c r="H3" i="49" s="1"/>
  <c r="H8" i="49" s="1"/>
  <c r="I11" i="42"/>
  <c r="I4" i="48" s="1"/>
  <c r="I3" i="45" s="1"/>
  <c r="I3" i="49" s="1"/>
  <c r="I8" i="49" s="1"/>
  <c r="J11" i="42"/>
  <c r="J4" i="48" s="1"/>
  <c r="J3" i="45" s="1"/>
  <c r="J3" i="49" s="1"/>
  <c r="J8" i="49" s="1"/>
  <c r="K11" i="42"/>
  <c r="K4" i="48" s="1"/>
  <c r="K3" i="45" s="1"/>
  <c r="K3" i="49" s="1"/>
  <c r="K8" i="49" s="1"/>
  <c r="L11" i="42"/>
  <c r="L4" i="48" s="1"/>
  <c r="L3" i="45" s="1"/>
  <c r="L3" i="49" s="1"/>
  <c r="L8" i="49" s="1"/>
  <c r="M11" i="42"/>
  <c r="M4" i="48" s="1"/>
  <c r="M3" i="45" s="1"/>
  <c r="M3" i="49" s="1"/>
  <c r="M8" i="49" s="1"/>
  <c r="N11" i="42"/>
  <c r="N4" i="48" s="1"/>
  <c r="N3" i="45" s="1"/>
  <c r="N3" i="49" s="1"/>
  <c r="N8" i="49" s="1"/>
  <c r="O11" i="42"/>
  <c r="O4" i="48" s="1"/>
  <c r="O3" i="45" s="1"/>
  <c r="O3" i="49" s="1"/>
  <c r="O8" i="49" s="1"/>
  <c r="P11" i="42"/>
  <c r="P4" i="48" s="1"/>
  <c r="P3" i="45" s="1"/>
  <c r="P3" i="49" s="1"/>
  <c r="P8" i="49" s="1"/>
  <c r="Q11" i="42"/>
  <c r="Q4" i="48" s="1"/>
  <c r="Q3" i="45" s="1"/>
  <c r="Q3" i="49" s="1"/>
  <c r="Q8" i="49" s="1"/>
  <c r="R11" i="42"/>
  <c r="R4" i="48" s="1"/>
  <c r="R3" i="45" s="1"/>
  <c r="R3" i="49" s="1"/>
  <c r="R8" i="49" s="1"/>
  <c r="S11" i="42"/>
  <c r="S4" i="48" s="1"/>
  <c r="S3" i="45" s="1"/>
  <c r="S3" i="49" s="1"/>
  <c r="S8" i="49" s="1"/>
  <c r="T11" i="42"/>
  <c r="T4" i="48" s="1"/>
  <c r="T3" i="45" s="1"/>
  <c r="T3" i="49" s="1"/>
  <c r="T8" i="49" s="1"/>
  <c r="U11" i="42"/>
  <c r="U4" i="48" s="1"/>
  <c r="U3" i="45" s="1"/>
  <c r="U3" i="49" s="1"/>
  <c r="U8" i="49" s="1"/>
  <c r="V11" i="42"/>
  <c r="V4" i="48" s="1"/>
  <c r="V3" i="45" s="1"/>
  <c r="V3" i="49" s="1"/>
  <c r="V8" i="49" s="1"/>
  <c r="W11" i="42"/>
  <c r="W4" i="48" s="1"/>
  <c r="W3" i="45" s="1"/>
  <c r="W3" i="49" s="1"/>
  <c r="W8" i="49" s="1"/>
  <c r="X11" i="42"/>
  <c r="X4" i="48" s="1"/>
  <c r="X3" i="45" s="1"/>
  <c r="X3" i="49" s="1"/>
  <c r="X8" i="49" s="1"/>
  <c r="Y11" i="42"/>
  <c r="Y4" i="48" s="1"/>
  <c r="Y3" i="45" s="1"/>
  <c r="Y3" i="49" s="1"/>
  <c r="Y8" i="49" s="1"/>
  <c r="Z11" i="42"/>
  <c r="Z4" i="48" s="1"/>
  <c r="Z3" i="45" s="1"/>
  <c r="Z3" i="49" s="1"/>
  <c r="Z8" i="49" s="1"/>
  <c r="AA11" i="42"/>
  <c r="AA4" i="48" s="1"/>
  <c r="AA3" i="45" s="1"/>
  <c r="AA3" i="49" s="1"/>
  <c r="AA8" i="49" s="1"/>
  <c r="AB11" i="42"/>
  <c r="AB4" i="48" s="1"/>
  <c r="AB3" i="45" s="1"/>
  <c r="AB3" i="49" s="1"/>
  <c r="AB8" i="49" s="1"/>
  <c r="AC11" i="42"/>
  <c r="AC4" i="48" s="1"/>
  <c r="AC3" i="45" s="1"/>
  <c r="AC3" i="49" s="1"/>
  <c r="AC8" i="49" s="1"/>
  <c r="AD11" i="42"/>
  <c r="AD4" i="48" s="1"/>
  <c r="AD3" i="45" s="1"/>
  <c r="AD3" i="49" s="1"/>
  <c r="AD8" i="49" s="1"/>
  <c r="AE11" i="42"/>
  <c r="AE4" i="48" s="1"/>
  <c r="AE3" i="45" s="1"/>
  <c r="AE3" i="49" s="1"/>
  <c r="AE8" i="49" s="1"/>
  <c r="AF11" i="42"/>
  <c r="AF4" i="48" s="1"/>
  <c r="AF3" i="45" s="1"/>
  <c r="AF3" i="49" s="1"/>
  <c r="AF8" i="49" s="1"/>
  <c r="AG11" i="42"/>
  <c r="AG4" i="48" s="1"/>
  <c r="AG3" i="45" s="1"/>
  <c r="AG3" i="49" s="1"/>
  <c r="AG8" i="49" s="1"/>
  <c r="AH11" i="42"/>
  <c r="AH4" i="48" s="1"/>
  <c r="AH3" i="45" s="1"/>
  <c r="AH3" i="49" s="1"/>
  <c r="AH8" i="49" s="1"/>
  <c r="AI11" i="42"/>
  <c r="AI4" i="48" s="1"/>
  <c r="AI3" i="45" s="1"/>
  <c r="AI3" i="49" s="1"/>
  <c r="AI8" i="49" s="1"/>
  <c r="AJ11" i="42"/>
  <c r="AJ4" i="48" s="1"/>
  <c r="AJ3" i="45" s="1"/>
  <c r="AJ3" i="49" s="1"/>
  <c r="AJ8" i="49" s="1"/>
  <c r="AK11" i="42"/>
  <c r="AK4" i="48" s="1"/>
  <c r="AK3" i="45" s="1"/>
  <c r="AK3" i="49" s="1"/>
  <c r="AK8" i="49" s="1"/>
  <c r="B11" i="42"/>
  <c r="B4" i="48" s="1"/>
  <c r="B3" i="45" s="1"/>
  <c r="B3" i="49" s="1"/>
  <c r="B8" i="49" s="1"/>
  <c r="AQ12" i="50"/>
  <c r="B12" i="50"/>
  <c r="AQ14" i="50"/>
  <c r="B14" i="50"/>
  <c r="AQ16" i="50"/>
  <c r="B16" i="50"/>
  <c r="AQ22" i="50"/>
  <c r="B22" i="50"/>
  <c r="AQ25" i="50"/>
  <c r="B25" i="50"/>
  <c r="AQ27" i="50"/>
  <c r="B27" i="50"/>
  <c r="AQ29" i="50"/>
  <c r="B29" i="50"/>
  <c r="AQ31" i="50"/>
  <c r="B31" i="50"/>
  <c r="AQ33" i="50"/>
  <c r="B33" i="50"/>
  <c r="AQ35" i="50"/>
  <c r="B35" i="50"/>
  <c r="T58" i="50"/>
  <c r="U58" i="50"/>
  <c r="V58" i="50"/>
  <c r="W58" i="50"/>
  <c r="X58" i="50"/>
  <c r="Y58" i="50"/>
  <c r="Z58" i="50"/>
  <c r="AA58" i="50"/>
  <c r="AB58" i="50"/>
  <c r="AC58" i="50"/>
  <c r="AD58" i="50"/>
  <c r="AE58" i="50"/>
  <c r="AF58" i="50"/>
  <c r="AG58" i="50"/>
  <c r="AH58" i="50"/>
  <c r="AI58" i="50"/>
  <c r="AJ58" i="50"/>
  <c r="AK58" i="50"/>
  <c r="AL58" i="50"/>
  <c r="AM58" i="50"/>
  <c r="AN58" i="50"/>
  <c r="AO58" i="50"/>
  <c r="AP58" i="50"/>
  <c r="H49" i="50"/>
  <c r="F30" i="50"/>
  <c r="F28" i="50"/>
  <c r="F23" i="50"/>
  <c r="F15" i="50"/>
  <c r="F32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Z5" i="50"/>
  <c r="AA5" i="50"/>
  <c r="AB5" i="50"/>
  <c r="AC5" i="50"/>
  <c r="AD5" i="50"/>
  <c r="AE5" i="50"/>
  <c r="AF5" i="50"/>
  <c r="AG5" i="50"/>
  <c r="AH5" i="50"/>
  <c r="AI5" i="50"/>
  <c r="AJ5" i="50"/>
  <c r="AK5" i="50"/>
  <c r="AL5" i="50"/>
  <c r="AM5" i="50"/>
  <c r="AN5" i="50"/>
  <c r="AO5" i="50"/>
  <c r="AP5" i="50"/>
  <c r="B13" i="42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AM5" i="19"/>
  <c r="AN5" i="19"/>
  <c r="AO5" i="19"/>
  <c r="E10" i="19"/>
  <c r="E21" i="19" s="1"/>
  <c r="E25" i="19"/>
  <c r="E23" i="19" s="1"/>
  <c r="G63" i="19"/>
  <c r="S72" i="19"/>
  <c r="T72" i="19"/>
  <c r="U72" i="19"/>
  <c r="V72" i="19"/>
  <c r="W72" i="19"/>
  <c r="X72" i="19"/>
  <c r="Y72" i="19"/>
  <c r="Z72" i="19"/>
  <c r="AA72" i="19"/>
  <c r="AB72" i="19"/>
  <c r="AC72" i="19"/>
  <c r="AD72" i="19"/>
  <c r="AE72" i="19"/>
  <c r="AF72" i="19"/>
  <c r="AG72" i="19"/>
  <c r="AH72" i="19"/>
  <c r="AI72" i="19"/>
  <c r="AJ72" i="19"/>
  <c r="AK72" i="19"/>
  <c r="AL72" i="19"/>
  <c r="AM72" i="19"/>
  <c r="AN72" i="19"/>
  <c r="AO72" i="19"/>
  <c r="D5" i="35"/>
  <c r="G21" i="50"/>
  <c r="G30" i="50"/>
  <c r="G28" i="50"/>
  <c r="AG17" i="50"/>
  <c r="AF12" i="19"/>
  <c r="F26" i="50"/>
  <c r="AO17" i="50"/>
  <c r="F34" i="50"/>
  <c r="F36" i="50"/>
  <c r="F42" i="50"/>
  <c r="D13" i="42"/>
  <c r="E13" i="42"/>
  <c r="F13" i="42"/>
  <c r="G13" i="42"/>
  <c r="H13" i="42"/>
  <c r="I13" i="42"/>
  <c r="J13" i="42"/>
  <c r="K13" i="42"/>
  <c r="L13" i="42"/>
  <c r="M13" i="42"/>
  <c r="N13" i="42"/>
  <c r="AB5" i="42"/>
  <c r="AF8" i="19" s="1"/>
  <c r="AF16" i="19" s="1"/>
  <c r="B5" i="42"/>
  <c r="F8" i="19" s="1"/>
  <c r="F16" i="19" s="1"/>
  <c r="AH5" i="42"/>
  <c r="AM13" i="50" s="1"/>
  <c r="AF5" i="42"/>
  <c r="AK13" i="50"/>
  <c r="AK11" i="50" s="1"/>
  <c r="AK30" i="50" s="1"/>
  <c r="AK28" i="50" s="1"/>
  <c r="AC5" i="42"/>
  <c r="AG8" i="19" s="1"/>
  <c r="AJ5" i="42"/>
  <c r="AN8" i="19" s="1"/>
  <c r="AG5" i="42"/>
  <c r="AK5" i="42"/>
  <c r="AP13" i="50" s="1"/>
  <c r="D15" i="48"/>
  <c r="J15" i="48" s="1"/>
  <c r="X5" i="42"/>
  <c r="AC13" i="50"/>
  <c r="AC21" i="50" s="1"/>
  <c r="AD5" i="42"/>
  <c r="AH8" i="19" s="1"/>
  <c r="E5" i="42"/>
  <c r="J13" i="50" s="1"/>
  <c r="L5" i="42"/>
  <c r="P8" i="19" s="1"/>
  <c r="H5" i="42"/>
  <c r="N5" i="42"/>
  <c r="R8" i="19" s="1"/>
  <c r="I5" i="42"/>
  <c r="N13" i="50" s="1"/>
  <c r="U5" i="42"/>
  <c r="Y8" i="19" s="1"/>
  <c r="R5" i="42"/>
  <c r="V5" i="42"/>
  <c r="AA13" i="50" s="1"/>
  <c r="AB8" i="19"/>
  <c r="AB16" i="19" s="1"/>
  <c r="AJ8" i="19"/>
  <c r="AJ16" i="19" s="1"/>
  <c r="Y5" i="42"/>
  <c r="AC8" i="19" s="1"/>
  <c r="T5" i="42"/>
  <c r="Y13" i="50" s="1"/>
  <c r="Q5" i="42"/>
  <c r="U8" i="19" s="1"/>
  <c r="Z5" i="42"/>
  <c r="F5" i="42"/>
  <c r="K13" i="50" s="1"/>
  <c r="J5" i="42"/>
  <c r="N8" i="19"/>
  <c r="N6" i="19" s="1"/>
  <c r="N25" i="19" s="1"/>
  <c r="N23" i="19" s="1"/>
  <c r="W5" i="42"/>
  <c r="AA8" i="19" s="1"/>
  <c r="C5" i="42"/>
  <c r="H13" i="50" s="1"/>
  <c r="AL8" i="19"/>
  <c r="AL6" i="19" s="1"/>
  <c r="AL25" i="19" s="1"/>
  <c r="AL23" i="19" s="1"/>
  <c r="Z8" i="19"/>
  <c r="Z16" i="19" s="1"/>
  <c r="Z13" i="50"/>
  <c r="Z21" i="50" s="1"/>
  <c r="AL13" i="50"/>
  <c r="AL11" i="50" s="1"/>
  <c r="AL30" i="50" s="1"/>
  <c r="AL28" i="50" s="1"/>
  <c r="AK8" i="19"/>
  <c r="AK16" i="19" s="1"/>
  <c r="G5" i="42"/>
  <c r="K8" i="19" s="1"/>
  <c r="AK21" i="50"/>
  <c r="M8" i="19"/>
  <c r="M16" i="19" s="1"/>
  <c r="I8" i="19"/>
  <c r="I6" i="19" s="1"/>
  <c r="I25" i="19" s="1"/>
  <c r="I23" i="19" s="1"/>
  <c r="P5" i="42"/>
  <c r="V8" i="19"/>
  <c r="W13" i="50"/>
  <c r="W21" i="50" s="1"/>
  <c r="M5" i="42"/>
  <c r="Q8" i="19" s="1"/>
  <c r="D5" i="42"/>
  <c r="L8" i="19"/>
  <c r="M13" i="50"/>
  <c r="M11" i="50" s="1"/>
  <c r="M30" i="50" s="1"/>
  <c r="M28" i="50" s="1"/>
  <c r="O13" i="50"/>
  <c r="O11" i="50" s="1"/>
  <c r="O30" i="50" s="1"/>
  <c r="O28" i="50" s="1"/>
  <c r="AD8" i="19"/>
  <c r="AD16" i="19" s="1"/>
  <c r="AE13" i="50"/>
  <c r="AE11" i="50" s="1"/>
  <c r="AE30" i="50" s="1"/>
  <c r="AE28" i="50" s="1"/>
  <c r="Z11" i="50"/>
  <c r="Z30" i="50" s="1"/>
  <c r="Z28" i="50" s="1"/>
  <c r="V16" i="19"/>
  <c r="V6" i="19"/>
  <c r="V25" i="19" s="1"/>
  <c r="V23" i="19" s="1"/>
  <c r="M6" i="19"/>
  <c r="U13" i="50"/>
  <c r="U11" i="50" s="1"/>
  <c r="U30" i="50" s="1"/>
  <c r="U28" i="50" s="1"/>
  <c r="T8" i="19"/>
  <c r="T6" i="19" s="1"/>
  <c r="T25" i="19" s="1"/>
  <c r="T23" i="19" s="1"/>
  <c r="L16" i="19"/>
  <c r="L6" i="19"/>
  <c r="L25" i="19" s="1"/>
  <c r="L23" i="19" s="1"/>
  <c r="I13" i="50"/>
  <c r="I21" i="50" s="1"/>
  <c r="H8" i="19"/>
  <c r="H16" i="19" s="1"/>
  <c r="AE21" i="50"/>
  <c r="M25" i="19"/>
  <c r="M23" i="19" s="1"/>
  <c r="H6" i="19"/>
  <c r="H25" i="19" s="1"/>
  <c r="H23" i="19" s="1"/>
  <c r="AK5" i="48" l="1"/>
  <c r="AG5" i="48"/>
  <c r="AC5" i="48"/>
  <c r="Y5" i="48"/>
  <c r="U5" i="48"/>
  <c r="Q5" i="48"/>
  <c r="M5" i="48"/>
  <c r="I5" i="48"/>
  <c r="E5" i="48"/>
  <c r="AJ5" i="48"/>
  <c r="AF5" i="48"/>
  <c r="AB5" i="48"/>
  <c r="X5" i="48"/>
  <c r="T5" i="48"/>
  <c r="P5" i="48"/>
  <c r="L5" i="48"/>
  <c r="H5" i="48"/>
  <c r="D5" i="48"/>
  <c r="AI5" i="48"/>
  <c r="AE5" i="48"/>
  <c r="AA5" i="48"/>
  <c r="W5" i="48"/>
  <c r="S5" i="48"/>
  <c r="O5" i="48"/>
  <c r="K5" i="48"/>
  <c r="G5" i="48"/>
  <c r="C5" i="48"/>
  <c r="E31" i="19"/>
  <c r="E37" i="19" s="1"/>
  <c r="D25" i="48"/>
  <c r="D22" i="35"/>
  <c r="D13" i="35"/>
  <c r="D38" i="19" s="1"/>
  <c r="E38" i="19" s="1"/>
  <c r="D44" i="50"/>
  <c r="F44" i="50" s="1"/>
  <c r="G24" i="50" s="1"/>
  <c r="S12" i="19"/>
  <c r="T17" i="50"/>
  <c r="O12" i="19"/>
  <c r="P17" i="50"/>
  <c r="AD12" i="19"/>
  <c r="AI12" i="47"/>
  <c r="AN17" i="50" s="1"/>
  <c r="AM12" i="19"/>
  <c r="AO12" i="19"/>
  <c r="AP17" i="50"/>
  <c r="M12" i="19"/>
  <c r="N17" i="50"/>
  <c r="AH12" i="19"/>
  <c r="AI17" i="50"/>
  <c r="R12" i="19"/>
  <c r="S17" i="50"/>
  <c r="AK17" i="50"/>
  <c r="AJ12" i="19"/>
  <c r="AB12" i="19"/>
  <c r="AC17" i="50"/>
  <c r="U17" i="50"/>
  <c r="T12" i="19"/>
  <c r="AF17" i="50"/>
  <c r="AE12" i="19"/>
  <c r="K12" i="19"/>
  <c r="L17" i="50"/>
  <c r="AL17" i="50"/>
  <c r="AK12" i="19"/>
  <c r="Y12" i="19"/>
  <c r="Z17" i="50"/>
  <c r="I12" i="19"/>
  <c r="J17" i="50"/>
  <c r="AA17" i="50"/>
  <c r="Z12" i="19"/>
  <c r="W17" i="50"/>
  <c r="V12" i="19"/>
  <c r="O17" i="50"/>
  <c r="N12" i="19"/>
  <c r="Y17" i="50"/>
  <c r="X12" i="19"/>
  <c r="P12" i="19"/>
  <c r="Q17" i="50"/>
  <c r="V17" i="50"/>
  <c r="AH17" i="50"/>
  <c r="AJ17" i="50"/>
  <c r="AM17" i="50"/>
  <c r="AB17" i="50"/>
  <c r="AC12" i="19"/>
  <c r="R17" i="50"/>
  <c r="X17" i="50"/>
  <c r="C12" i="47"/>
  <c r="H17" i="50" s="1"/>
  <c r="F12" i="19"/>
  <c r="U21" i="50"/>
  <c r="Z6" i="19"/>
  <c r="Z25" i="19" s="1"/>
  <c r="Z23" i="19" s="1"/>
  <c r="O21" i="50"/>
  <c r="AJ6" i="19"/>
  <c r="AJ25" i="19" s="1"/>
  <c r="AJ23" i="19" s="1"/>
  <c r="AC11" i="50"/>
  <c r="AC30" i="50" s="1"/>
  <c r="AC28" i="50" s="1"/>
  <c r="AF13" i="50"/>
  <c r="AF21" i="50" s="1"/>
  <c r="AE8" i="19"/>
  <c r="AI8" i="19"/>
  <c r="AI6" i="19" s="1"/>
  <c r="AI25" i="19" s="1"/>
  <c r="AI23" i="19" s="1"/>
  <c r="AJ13" i="50"/>
  <c r="AK6" i="19"/>
  <c r="AK25" i="19" s="1"/>
  <c r="AK23" i="19" s="1"/>
  <c r="J8" i="19"/>
  <c r="AD13" i="50"/>
  <c r="AD6" i="19"/>
  <c r="AD25" i="19" s="1"/>
  <c r="AD23" i="19" s="1"/>
  <c r="L13" i="50"/>
  <c r="L11" i="50" s="1"/>
  <c r="L30" i="50" s="1"/>
  <c r="L28" i="50" s="1"/>
  <c r="R13" i="50"/>
  <c r="AH13" i="50"/>
  <c r="S13" i="50"/>
  <c r="S11" i="50" s="1"/>
  <c r="S30" i="50" s="1"/>
  <c r="S28" i="50" s="1"/>
  <c r="AB13" i="50"/>
  <c r="AB21" i="50" s="1"/>
  <c r="G8" i="19"/>
  <c r="G16" i="19" s="1"/>
  <c r="W6" i="19"/>
  <c r="W25" i="19" s="1"/>
  <c r="W23" i="19" s="1"/>
  <c r="W16" i="19"/>
  <c r="H11" i="50"/>
  <c r="H30" i="50" s="1"/>
  <c r="H28" i="50" s="1"/>
  <c r="H21" i="50"/>
  <c r="AH6" i="19"/>
  <c r="AH25" i="19" s="1"/>
  <c r="AH23" i="19" s="1"/>
  <c r="AH16" i="19"/>
  <c r="N21" i="50"/>
  <c r="N11" i="50"/>
  <c r="N30" i="50" s="1"/>
  <c r="N28" i="50" s="1"/>
  <c r="P16" i="19"/>
  <c r="P6" i="19"/>
  <c r="P25" i="19" s="1"/>
  <c r="P23" i="19" s="1"/>
  <c r="AM11" i="50"/>
  <c r="AM30" i="50" s="1"/>
  <c r="AM28" i="50" s="1"/>
  <c r="AM21" i="50"/>
  <c r="AA16" i="19"/>
  <c r="AA6" i="19"/>
  <c r="AA25" i="19" s="1"/>
  <c r="AA23" i="19" s="1"/>
  <c r="K11" i="50"/>
  <c r="K30" i="50" s="1"/>
  <c r="K28" i="50" s="1"/>
  <c r="K21" i="50"/>
  <c r="AG16" i="19"/>
  <c r="AG6" i="19"/>
  <c r="AG25" i="19" s="1"/>
  <c r="AG23" i="19" s="1"/>
  <c r="X13" i="50"/>
  <c r="X11" i="50" s="1"/>
  <c r="X30" i="50" s="1"/>
  <c r="X28" i="50" s="1"/>
  <c r="AL21" i="50"/>
  <c r="Q13" i="50"/>
  <c r="Q21" i="50" s="1"/>
  <c r="AO8" i="19"/>
  <c r="AI13" i="50"/>
  <c r="AN13" i="50"/>
  <c r="AN11" i="50" s="1"/>
  <c r="AN30" i="50" s="1"/>
  <c r="AN28" i="50" s="1"/>
  <c r="AG13" i="50"/>
  <c r="Q16" i="19"/>
  <c r="Q6" i="19"/>
  <c r="Q25" i="19" s="1"/>
  <c r="Q23" i="19" s="1"/>
  <c r="P21" i="50"/>
  <c r="P11" i="50"/>
  <c r="P30" i="50" s="1"/>
  <c r="P28" i="50" s="1"/>
  <c r="AC6" i="19"/>
  <c r="AC25" i="19" s="1"/>
  <c r="AC23" i="19" s="1"/>
  <c r="AC16" i="19"/>
  <c r="AM16" i="19"/>
  <c r="AM6" i="19"/>
  <c r="AM25" i="19" s="1"/>
  <c r="AM23" i="19" s="1"/>
  <c r="Y11" i="50"/>
  <c r="Y30" i="50" s="1"/>
  <c r="Y28" i="50" s="1"/>
  <c r="Y21" i="50"/>
  <c r="AA11" i="50"/>
  <c r="AA30" i="50" s="1"/>
  <c r="AA28" i="50" s="1"/>
  <c r="AA21" i="50"/>
  <c r="R6" i="19"/>
  <c r="R25" i="19" s="1"/>
  <c r="R23" i="19" s="1"/>
  <c r="R16" i="19"/>
  <c r="J11" i="50"/>
  <c r="J30" i="50" s="1"/>
  <c r="J28" i="50" s="1"/>
  <c r="J21" i="50"/>
  <c r="AP11" i="50"/>
  <c r="AP30" i="50" s="1"/>
  <c r="AP28" i="50" s="1"/>
  <c r="AP21" i="50"/>
  <c r="O8" i="19"/>
  <c r="I16" i="19"/>
  <c r="N16" i="19"/>
  <c r="AF11" i="50"/>
  <c r="AF30" i="50" s="1"/>
  <c r="AF28" i="50" s="1"/>
  <c r="X8" i="19"/>
  <c r="F6" i="19"/>
  <c r="F25" i="19" s="1"/>
  <c r="F23" i="19" s="1"/>
  <c r="AO13" i="50"/>
  <c r="AO21" i="50" s="1"/>
  <c r="T16" i="19"/>
  <c r="AN21" i="50"/>
  <c r="AB6" i="19"/>
  <c r="AB25" i="19" s="1"/>
  <c r="AB23" i="19" s="1"/>
  <c r="AL16" i="19"/>
  <c r="X21" i="50"/>
  <c r="Y16" i="19"/>
  <c r="Y6" i="19"/>
  <c r="Y25" i="19" s="1"/>
  <c r="Y23" i="19" s="1"/>
  <c r="S16" i="19"/>
  <c r="S6" i="19"/>
  <c r="S25" i="19" s="1"/>
  <c r="S23" i="19" s="1"/>
  <c r="AN6" i="19"/>
  <c r="AN25" i="19" s="1"/>
  <c r="AN23" i="19" s="1"/>
  <c r="AN16" i="19"/>
  <c r="K6" i="19"/>
  <c r="K25" i="19" s="1"/>
  <c r="K23" i="19" s="1"/>
  <c r="K16" i="19"/>
  <c r="U16" i="19"/>
  <c r="U6" i="19"/>
  <c r="U25" i="19" s="1"/>
  <c r="U23" i="19" s="1"/>
  <c r="P12" i="42"/>
  <c r="Q12" i="42" s="1"/>
  <c r="R12" i="42" s="1"/>
  <c r="S12" i="42" s="1"/>
  <c r="T12" i="42" s="1"/>
  <c r="U12" i="42" s="1"/>
  <c r="V12" i="42" s="1"/>
  <c r="W12" i="42" s="1"/>
  <c r="X12" i="42" s="1"/>
  <c r="Y12" i="42" s="1"/>
  <c r="Z12" i="42" s="1"/>
  <c r="AA12" i="42" s="1"/>
  <c r="AB12" i="42" s="1"/>
  <c r="AC12" i="42" s="1"/>
  <c r="AD12" i="42" s="1"/>
  <c r="AE12" i="42" s="1"/>
  <c r="AF12" i="42" s="1"/>
  <c r="AG12" i="42" s="1"/>
  <c r="AH12" i="42" s="1"/>
  <c r="AI12" i="42" s="1"/>
  <c r="AJ12" i="42" s="1"/>
  <c r="AK12" i="42" s="1"/>
  <c r="O13" i="42"/>
  <c r="AB11" i="50"/>
  <c r="AB30" i="50" s="1"/>
  <c r="AB28" i="50" s="1"/>
  <c r="T13" i="50"/>
  <c r="L21" i="50"/>
  <c r="I11" i="50"/>
  <c r="G6" i="19"/>
  <c r="M21" i="50"/>
  <c r="W11" i="50"/>
  <c r="W30" i="50" s="1"/>
  <c r="W28" i="50" s="1"/>
  <c r="AF6" i="19"/>
  <c r="AF25" i="19" s="1"/>
  <c r="AF23" i="19" s="1"/>
  <c r="V13" i="50"/>
  <c r="V7" i="46"/>
  <c r="Z13" i="19" s="1"/>
  <c r="G18" i="50"/>
  <c r="AK7" i="46"/>
  <c r="AO13" i="19" s="1"/>
  <c r="AC7" i="46"/>
  <c r="AG13" i="19" s="1"/>
  <c r="Y7" i="46"/>
  <c r="Q7" i="46"/>
  <c r="U13" i="19" s="1"/>
  <c r="I7" i="46"/>
  <c r="M13" i="19" s="1"/>
  <c r="E7" i="46"/>
  <c r="I13" i="19" s="1"/>
  <c r="AM13" i="19"/>
  <c r="N7" i="46"/>
  <c r="R13" i="19" s="1"/>
  <c r="AH7" i="46"/>
  <c r="AM18" i="50" s="1"/>
  <c r="AD7" i="46"/>
  <c r="AH13" i="19" s="1"/>
  <c r="Z7" i="46"/>
  <c r="AD13" i="19" s="1"/>
  <c r="R7" i="46"/>
  <c r="V13" i="19" s="1"/>
  <c r="J7" i="46"/>
  <c r="O18" i="50" s="1"/>
  <c r="F7" i="46"/>
  <c r="K18" i="50" s="1"/>
  <c r="Q18" i="50"/>
  <c r="AD18" i="50"/>
  <c r="AC13" i="19"/>
  <c r="K13" i="19"/>
  <c r="AJ13" i="19"/>
  <c r="H13" i="19"/>
  <c r="AI13" i="19"/>
  <c r="Y13" i="19"/>
  <c r="Z18" i="50"/>
  <c r="AK13" i="19"/>
  <c r="AB18" i="50"/>
  <c r="AN13" i="19"/>
  <c r="AE13" i="19"/>
  <c r="Y18" i="50"/>
  <c r="N13" i="19"/>
  <c r="S13" i="19"/>
  <c r="T13" i="19"/>
  <c r="AA18" i="50"/>
  <c r="AP18" i="50"/>
  <c r="R18" i="50"/>
  <c r="G13" i="19"/>
  <c r="X18" i="50"/>
  <c r="AB13" i="19"/>
  <c r="N18" i="50"/>
  <c r="M18" i="50"/>
  <c r="AG18" i="50"/>
  <c r="O13" i="19"/>
  <c r="H22" i="49"/>
  <c r="O9" i="49"/>
  <c r="AN15" i="19"/>
  <c r="AA15" i="19"/>
  <c r="N15" i="19"/>
  <c r="F15" i="19"/>
  <c r="AC15" i="19"/>
  <c r="J15" i="19"/>
  <c r="AF15" i="19"/>
  <c r="L15" i="19"/>
  <c r="AH15" i="19"/>
  <c r="U15" i="19"/>
  <c r="H15" i="19"/>
  <c r="AJ15" i="19"/>
  <c r="W15" i="19"/>
  <c r="S15" i="19"/>
  <c r="P15" i="19"/>
  <c r="AL15" i="19"/>
  <c r="Y15" i="19"/>
  <c r="R15" i="19"/>
  <c r="G20" i="50"/>
  <c r="D4" i="45"/>
  <c r="H20" i="50"/>
  <c r="AB15" i="19"/>
  <c r="AM15" i="19"/>
  <c r="O15" i="19"/>
  <c r="Z15" i="19"/>
  <c r="AK15" i="19"/>
  <c r="M15" i="19"/>
  <c r="AD15" i="19"/>
  <c r="AO15" i="19"/>
  <c r="Q15" i="19"/>
  <c r="V15" i="19"/>
  <c r="AG15" i="19"/>
  <c r="I15" i="19"/>
  <c r="T15" i="19"/>
  <c r="AE15" i="19"/>
  <c r="G15" i="19"/>
  <c r="X15" i="19"/>
  <c r="AI15" i="19"/>
  <c r="J25" i="48" l="1"/>
  <c r="C6" i="48"/>
  <c r="G6" i="48"/>
  <c r="G8" i="48" s="1"/>
  <c r="K6" i="48"/>
  <c r="K8" i="48" s="1"/>
  <c r="O6" i="48"/>
  <c r="O8" i="48" s="1"/>
  <c r="S6" i="48"/>
  <c r="S8" i="48" s="1"/>
  <c r="W6" i="48"/>
  <c r="W8" i="48" s="1"/>
  <c r="AA6" i="48"/>
  <c r="AA8" i="48" s="1"/>
  <c r="AE6" i="48"/>
  <c r="AE8" i="48" s="1"/>
  <c r="AI6" i="48"/>
  <c r="D6" i="48"/>
  <c r="D8" i="48" s="1"/>
  <c r="H6" i="48"/>
  <c r="H8" i="48" s="1"/>
  <c r="L6" i="48"/>
  <c r="L8" i="48" s="1"/>
  <c r="P6" i="48"/>
  <c r="T6" i="48"/>
  <c r="T8" i="48" s="1"/>
  <c r="X6" i="48"/>
  <c r="X8" i="48" s="1"/>
  <c r="AC19" i="50" s="1"/>
  <c r="AB6" i="48"/>
  <c r="AB8" i="48" s="1"/>
  <c r="AF6" i="48"/>
  <c r="AJ6" i="48"/>
  <c r="AJ8" i="48" s="1"/>
  <c r="E6" i="48"/>
  <c r="E8" i="48" s="1"/>
  <c r="I6" i="48"/>
  <c r="I8" i="48" s="1"/>
  <c r="M6" i="48"/>
  <c r="M8" i="48" s="1"/>
  <c r="R19" i="50" s="1"/>
  <c r="Q6" i="48"/>
  <c r="Q8" i="48" s="1"/>
  <c r="U6" i="48"/>
  <c r="U8" i="48" s="1"/>
  <c r="Y6" i="48"/>
  <c r="Y8" i="48" s="1"/>
  <c r="AC6" i="48"/>
  <c r="AC8" i="48" s="1"/>
  <c r="AG6" i="48"/>
  <c r="AG8" i="48" s="1"/>
  <c r="AK6" i="48"/>
  <c r="AK8" i="48" s="1"/>
  <c r="F6" i="48"/>
  <c r="F8" i="48" s="1"/>
  <c r="J6" i="48"/>
  <c r="J8" i="48" s="1"/>
  <c r="N6" i="48"/>
  <c r="N8" i="48" s="1"/>
  <c r="R6" i="48"/>
  <c r="R8" i="48" s="1"/>
  <c r="V6" i="48"/>
  <c r="V8" i="48" s="1"/>
  <c r="Z6" i="48"/>
  <c r="Z8" i="48" s="1"/>
  <c r="AD6" i="48"/>
  <c r="AD8" i="48" s="1"/>
  <c r="AH6" i="48"/>
  <c r="AH8" i="48" s="1"/>
  <c r="B6" i="48"/>
  <c r="B8" i="48" s="1"/>
  <c r="P8" i="48"/>
  <c r="U19" i="50" s="1"/>
  <c r="AF8" i="48"/>
  <c r="C8" i="48"/>
  <c r="G14" i="19" s="1"/>
  <c r="AI8" i="48"/>
  <c r="T14" i="19"/>
  <c r="O19" i="19"/>
  <c r="S19" i="19"/>
  <c r="AG19" i="19"/>
  <c r="AM19" i="19"/>
  <c r="E40" i="19"/>
  <c r="F73" i="19" s="1"/>
  <c r="AB19" i="19"/>
  <c r="V19" i="19"/>
  <c r="AH19" i="19"/>
  <c r="I19" i="19"/>
  <c r="R19" i="19"/>
  <c r="N19" i="19"/>
  <c r="AL19" i="19"/>
  <c r="Z19" i="19"/>
  <c r="X19" i="19"/>
  <c r="AF19" i="19"/>
  <c r="H19" i="19"/>
  <c r="AD19" i="19"/>
  <c r="T19" i="19"/>
  <c r="AA19" i="19"/>
  <c r="AO19" i="19"/>
  <c r="W19" i="19"/>
  <c r="AI19" i="19"/>
  <c r="K19" i="19"/>
  <c r="AN19" i="19"/>
  <c r="Q19" i="19"/>
  <c r="P19" i="19"/>
  <c r="J19" i="19"/>
  <c r="Y19" i="19"/>
  <c r="G19" i="19"/>
  <c r="AK19" i="19"/>
  <c r="U19" i="19"/>
  <c r="L19" i="19"/>
  <c r="AC19" i="19"/>
  <c r="AE19" i="19"/>
  <c r="F19" i="19"/>
  <c r="M19" i="19"/>
  <c r="AJ19" i="19"/>
  <c r="F46" i="50"/>
  <c r="G59" i="50" s="1"/>
  <c r="H24" i="50"/>
  <c r="I24" i="50" s="1"/>
  <c r="J24" i="50" s="1"/>
  <c r="K24" i="50" s="1"/>
  <c r="L24" i="50" s="1"/>
  <c r="M24" i="50" s="1"/>
  <c r="N24" i="50" s="1"/>
  <c r="O24" i="50" s="1"/>
  <c r="P24" i="50" s="1"/>
  <c r="Q24" i="50" s="1"/>
  <c r="R24" i="50" s="1"/>
  <c r="S24" i="50" s="1"/>
  <c r="T24" i="50" s="1"/>
  <c r="U24" i="50" s="1"/>
  <c r="V24" i="50" s="1"/>
  <c r="W24" i="50" s="1"/>
  <c r="X24" i="50" s="1"/>
  <c r="Y24" i="50" s="1"/>
  <c r="Z24" i="50" s="1"/>
  <c r="AA24" i="50" s="1"/>
  <c r="AB24" i="50" s="1"/>
  <c r="AC24" i="50" s="1"/>
  <c r="AD24" i="50" s="1"/>
  <c r="AE24" i="50" s="1"/>
  <c r="AF24" i="50" s="1"/>
  <c r="AG24" i="50" s="1"/>
  <c r="AH24" i="50" s="1"/>
  <c r="AI24" i="50" s="1"/>
  <c r="AJ24" i="50" s="1"/>
  <c r="AK24" i="50" s="1"/>
  <c r="AL24" i="50" s="1"/>
  <c r="AM24" i="50" s="1"/>
  <c r="AN24" i="50" s="1"/>
  <c r="AO24" i="50" s="1"/>
  <c r="AP24" i="50" s="1"/>
  <c r="AQ17" i="50"/>
  <c r="B17" i="50" s="1"/>
  <c r="G12" i="19"/>
  <c r="AI16" i="19"/>
  <c r="Q11" i="50"/>
  <c r="Q30" i="50" s="1"/>
  <c r="Q28" i="50" s="1"/>
  <c r="AJ11" i="50"/>
  <c r="AJ30" i="50" s="1"/>
  <c r="AJ28" i="50" s="1"/>
  <c r="AJ21" i="50"/>
  <c r="S21" i="50"/>
  <c r="AH11" i="50"/>
  <c r="AH30" i="50" s="1"/>
  <c r="AH28" i="50" s="1"/>
  <c r="AH21" i="50"/>
  <c r="AD21" i="50"/>
  <c r="AD11" i="50"/>
  <c r="AD30" i="50" s="1"/>
  <c r="AD28" i="50" s="1"/>
  <c r="AO11" i="50"/>
  <c r="AO30" i="50" s="1"/>
  <c r="AO28" i="50" s="1"/>
  <c r="R11" i="50"/>
  <c r="R30" i="50" s="1"/>
  <c r="R28" i="50" s="1"/>
  <c r="R21" i="50"/>
  <c r="J16" i="19"/>
  <c r="J6" i="19"/>
  <c r="J25" i="19" s="1"/>
  <c r="J23" i="19" s="1"/>
  <c r="AE6" i="19"/>
  <c r="AE25" i="19" s="1"/>
  <c r="AE23" i="19" s="1"/>
  <c r="AE16" i="19"/>
  <c r="AI21" i="50"/>
  <c r="AI11" i="50"/>
  <c r="AI30" i="50" s="1"/>
  <c r="AI28" i="50" s="1"/>
  <c r="AO6" i="19"/>
  <c r="AO25" i="19" s="1"/>
  <c r="AO23" i="19" s="1"/>
  <c r="AO16" i="19"/>
  <c r="AG11" i="50"/>
  <c r="AG30" i="50" s="1"/>
  <c r="AG28" i="50" s="1"/>
  <c r="AG21" i="50"/>
  <c r="P13" i="42"/>
  <c r="O6" i="19"/>
  <c r="O25" i="19" s="1"/>
  <c r="O23" i="19" s="1"/>
  <c r="O16" i="19"/>
  <c r="P9" i="49"/>
  <c r="AQ13" i="50"/>
  <c r="B13" i="50" s="1"/>
  <c r="X16" i="19"/>
  <c r="X6" i="19"/>
  <c r="X25" i="19" s="1"/>
  <c r="X23" i="19" s="1"/>
  <c r="I30" i="50"/>
  <c r="V21" i="50"/>
  <c r="V11" i="50"/>
  <c r="V30" i="50" s="1"/>
  <c r="V28" i="50" s="1"/>
  <c r="G25" i="19"/>
  <c r="G23" i="19" s="1"/>
  <c r="T21" i="50"/>
  <c r="T11" i="50"/>
  <c r="T30" i="50" s="1"/>
  <c r="T28" i="50" s="1"/>
  <c r="AL13" i="19"/>
  <c r="J18" i="50"/>
  <c r="J13" i="19"/>
  <c r="AH18" i="50"/>
  <c r="V18" i="50"/>
  <c r="S18" i="50"/>
  <c r="AI18" i="50"/>
  <c r="AE18" i="50"/>
  <c r="W18" i="50"/>
  <c r="Q13" i="42"/>
  <c r="Q9" i="49"/>
  <c r="H5" i="49"/>
  <c r="L17" i="19" s="1"/>
  <c r="M5" i="49"/>
  <c r="Q17" i="19" s="1"/>
  <c r="G5" i="49"/>
  <c r="K17" i="19" s="1"/>
  <c r="J5" i="49"/>
  <c r="N17" i="19" s="1"/>
  <c r="L5" i="49"/>
  <c r="P17" i="19" s="1"/>
  <c r="D5" i="49"/>
  <c r="H17" i="19" s="1"/>
  <c r="B5" i="49"/>
  <c r="F17" i="19" s="1"/>
  <c r="E5" i="49"/>
  <c r="I17" i="19" s="1"/>
  <c r="C5" i="49"/>
  <c r="G17" i="19" s="1"/>
  <c r="I5" i="49"/>
  <c r="M17" i="19" s="1"/>
  <c r="K5" i="49"/>
  <c r="O17" i="19" s="1"/>
  <c r="F5" i="49"/>
  <c r="J17" i="19" s="1"/>
  <c r="E4" i="45"/>
  <c r="I20" i="50"/>
  <c r="H19" i="50" l="1"/>
  <c r="H23" i="50" s="1"/>
  <c r="H15" i="50" s="1"/>
  <c r="V19" i="50"/>
  <c r="U14" i="19"/>
  <c r="AK14" i="19"/>
  <c r="AL19" i="50"/>
  <c r="AG14" i="19"/>
  <c r="AH19" i="50"/>
  <c r="G18" i="19"/>
  <c r="G10" i="19" s="1"/>
  <c r="G27" i="19" s="1"/>
  <c r="G29" i="19" s="1"/>
  <c r="AB19" i="50"/>
  <c r="AA14" i="19"/>
  <c r="N19" i="50"/>
  <c r="M14" i="19"/>
  <c r="M18" i="19" s="1"/>
  <c r="AF14" i="19"/>
  <c r="AG19" i="50"/>
  <c r="P14" i="19"/>
  <c r="Q19" i="50"/>
  <c r="AI14" i="19"/>
  <c r="AJ19" i="50"/>
  <c r="K14" i="19"/>
  <c r="K18" i="19" s="1"/>
  <c r="K10" i="19" s="1"/>
  <c r="L19" i="50"/>
  <c r="AD19" i="50"/>
  <c r="AC14" i="19"/>
  <c r="AP19" i="50"/>
  <c r="AO14" i="19"/>
  <c r="I14" i="19"/>
  <c r="J19" i="50"/>
  <c r="AE14" i="19"/>
  <c r="AF19" i="50"/>
  <c r="H14" i="19"/>
  <c r="H18" i="19" s="1"/>
  <c r="I19" i="50"/>
  <c r="I23" i="50" s="1"/>
  <c r="I15" i="50" s="1"/>
  <c r="J14" i="19"/>
  <c r="J18" i="19" s="1"/>
  <c r="J10" i="19" s="1"/>
  <c r="J27" i="19" s="1"/>
  <c r="J29" i="19" s="1"/>
  <c r="K19" i="50"/>
  <c r="S14" i="19"/>
  <c r="T19" i="50"/>
  <c r="AM19" i="50"/>
  <c r="AL14" i="19"/>
  <c r="O14" i="19"/>
  <c r="O18" i="19" s="1"/>
  <c r="O10" i="19" s="1"/>
  <c r="P19" i="50"/>
  <c r="AH14" i="19"/>
  <c r="AI19" i="50"/>
  <c r="S19" i="50"/>
  <c r="R14" i="19"/>
  <c r="AN14" i="19"/>
  <c r="AO19" i="50"/>
  <c r="Y19" i="50"/>
  <c r="X14" i="19"/>
  <c r="F14" i="19"/>
  <c r="F18" i="19" s="1"/>
  <c r="F10" i="19" s="1"/>
  <c r="F27" i="19" s="1"/>
  <c r="F28" i="19" s="1"/>
  <c r="G19" i="50"/>
  <c r="Z14" i="19"/>
  <c r="AA19" i="50"/>
  <c r="Y14" i="19"/>
  <c r="Z19" i="50"/>
  <c r="AM14" i="19"/>
  <c r="AN19" i="50"/>
  <c r="AJ14" i="19"/>
  <c r="AK19" i="50"/>
  <c r="V14" i="19"/>
  <c r="W19" i="50"/>
  <c r="L14" i="19"/>
  <c r="L18" i="19" s="1"/>
  <c r="L10" i="19" s="1"/>
  <c r="L21" i="19" s="1"/>
  <c r="M19" i="50"/>
  <c r="I18" i="19"/>
  <c r="I10" i="19" s="1"/>
  <c r="I27" i="19" s="1"/>
  <c r="I29" i="19" s="1"/>
  <c r="Q14" i="19"/>
  <c r="AB14" i="19"/>
  <c r="AE19" i="50"/>
  <c r="AD14" i="19"/>
  <c r="O19" i="50"/>
  <c r="N14" i="19"/>
  <c r="N18" i="19" s="1"/>
  <c r="N10" i="19" s="1"/>
  <c r="W14" i="19"/>
  <c r="X19" i="50"/>
  <c r="AQ24" i="50"/>
  <c r="B24" i="50" s="1"/>
  <c r="AQ21" i="50"/>
  <c r="B21" i="50" s="1"/>
  <c r="G65" i="19"/>
  <c r="D79" i="19"/>
  <c r="H51" i="50"/>
  <c r="G72" i="50" s="1"/>
  <c r="D65" i="50"/>
  <c r="I28" i="50"/>
  <c r="AQ28" i="50" s="1"/>
  <c r="B28" i="50" s="1"/>
  <c r="AQ30" i="50"/>
  <c r="B30" i="50" s="1"/>
  <c r="AQ11" i="50"/>
  <c r="B11" i="50" s="1"/>
  <c r="G65" i="50"/>
  <c r="AQ18" i="50"/>
  <c r="B18" i="50" s="1"/>
  <c r="R13" i="42"/>
  <c r="R9" i="49"/>
  <c r="P18" i="19"/>
  <c r="P10" i="19" s="1"/>
  <c r="H26" i="50"/>
  <c r="H32" i="50"/>
  <c r="F4" i="45"/>
  <c r="J20" i="50"/>
  <c r="I21" i="19" l="1"/>
  <c r="G21" i="19"/>
  <c r="C7" i="52"/>
  <c r="D7" i="52" s="1"/>
  <c r="N21" i="19"/>
  <c r="N27" i="19"/>
  <c r="N29" i="19" s="1"/>
  <c r="K21" i="19"/>
  <c r="K27" i="19"/>
  <c r="K29" i="19" s="1"/>
  <c r="O27" i="19"/>
  <c r="O29" i="19" s="1"/>
  <c r="O21" i="19"/>
  <c r="AQ19" i="50"/>
  <c r="B19" i="50" s="1"/>
  <c r="M10" i="19"/>
  <c r="H10" i="19"/>
  <c r="G23" i="50"/>
  <c r="G15" i="50" s="1"/>
  <c r="Q18" i="19"/>
  <c r="Q10" i="19" s="1"/>
  <c r="F29" i="19"/>
  <c r="F31" i="19"/>
  <c r="F37" i="19" s="1"/>
  <c r="F40" i="19" s="1"/>
  <c r="G73" i="19" s="1"/>
  <c r="G74" i="19" s="1"/>
  <c r="G75" i="19" s="1"/>
  <c r="F21" i="19"/>
  <c r="L27" i="19"/>
  <c r="L29" i="19" s="1"/>
  <c r="J21" i="19"/>
  <c r="S9" i="49"/>
  <c r="S13" i="42"/>
  <c r="P27" i="19"/>
  <c r="P29" i="19" s="1"/>
  <c r="P21" i="19"/>
  <c r="I32" i="50"/>
  <c r="I26" i="50"/>
  <c r="J23" i="50"/>
  <c r="J15" i="50" s="1"/>
  <c r="K20" i="50"/>
  <c r="G4" i="45"/>
  <c r="C12" i="52" l="1"/>
  <c r="Q27" i="19"/>
  <c r="Q29" i="19" s="1"/>
  <c r="Q21" i="19"/>
  <c r="G26" i="50"/>
  <c r="G32" i="50"/>
  <c r="H27" i="19"/>
  <c r="H29" i="19" s="1"/>
  <c r="H21" i="19"/>
  <c r="M21" i="19"/>
  <c r="M27" i="19"/>
  <c r="M29" i="19" s="1"/>
  <c r="C18" i="52"/>
  <c r="D12" i="52"/>
  <c r="T9" i="49"/>
  <c r="T13" i="42"/>
  <c r="J32" i="50"/>
  <c r="J26" i="50"/>
  <c r="H4" i="45"/>
  <c r="L20" i="50"/>
  <c r="G31" i="19"/>
  <c r="G37" i="19" s="1"/>
  <c r="G40" i="19" s="1"/>
  <c r="K23" i="50"/>
  <c r="G34" i="50" l="1"/>
  <c r="G36" i="50" s="1"/>
  <c r="G42" i="50" s="1"/>
  <c r="G46" i="50" s="1"/>
  <c r="H59" i="50" s="1"/>
  <c r="H60" i="50" s="1"/>
  <c r="H61" i="50" s="1"/>
  <c r="C20" i="52"/>
  <c r="D20" i="52" s="1"/>
  <c r="D18" i="52"/>
  <c r="U13" i="42"/>
  <c r="U9" i="49"/>
  <c r="H73" i="19"/>
  <c r="H74" i="19" s="1"/>
  <c r="H75" i="19" s="1"/>
  <c r="L23" i="50"/>
  <c r="L15" i="50" s="1"/>
  <c r="I4" i="45"/>
  <c r="M20" i="50"/>
  <c r="K15" i="50"/>
  <c r="H31" i="19"/>
  <c r="H37" i="19" s="1"/>
  <c r="H40" i="19" s="1"/>
  <c r="I73" i="19" s="1"/>
  <c r="C22" i="52" l="1"/>
  <c r="D22" i="52" s="1"/>
  <c r="H34" i="50"/>
  <c r="V9" i="49"/>
  <c r="V13" i="42"/>
  <c r="L32" i="50"/>
  <c r="L26" i="50"/>
  <c r="M23" i="50"/>
  <c r="M15" i="50" s="1"/>
  <c r="J4" i="45"/>
  <c r="N20" i="50"/>
  <c r="I74" i="19"/>
  <c r="I75" i="19" s="1"/>
  <c r="I31" i="19"/>
  <c r="I37" i="19" s="1"/>
  <c r="I40" i="19" s="1"/>
  <c r="K26" i="50"/>
  <c r="K32" i="50"/>
  <c r="H36" i="50" l="1"/>
  <c r="H42" i="50" s="1"/>
  <c r="H46" i="50" s="1"/>
  <c r="I59" i="50" s="1"/>
  <c r="I60" i="50" s="1"/>
  <c r="I61" i="50" s="1"/>
  <c r="I34" i="50"/>
  <c r="I36" i="50" s="1"/>
  <c r="I42" i="50" s="1"/>
  <c r="I46" i="50" s="1"/>
  <c r="J59" i="50" s="1"/>
  <c r="J60" i="50" s="1"/>
  <c r="J61" i="50" s="1"/>
  <c r="W9" i="49"/>
  <c r="W13" i="42"/>
  <c r="J31" i="19"/>
  <c r="J37" i="19" s="1"/>
  <c r="J40" i="19" s="1"/>
  <c r="M26" i="50"/>
  <c r="M32" i="50"/>
  <c r="L31" i="19"/>
  <c r="L37" i="19" s="1"/>
  <c r="L40" i="19" s="1"/>
  <c r="M73" i="19" s="1"/>
  <c r="N23" i="50"/>
  <c r="N15" i="50" s="1"/>
  <c r="J73" i="19"/>
  <c r="J74" i="19" s="1"/>
  <c r="J75" i="19" s="1"/>
  <c r="O20" i="50"/>
  <c r="K4" i="45"/>
  <c r="J34" i="50" l="1"/>
  <c r="X9" i="49"/>
  <c r="X13" i="42"/>
  <c r="N32" i="50"/>
  <c r="N26" i="50"/>
  <c r="O23" i="50"/>
  <c r="O15" i="50" s="1"/>
  <c r="K31" i="19"/>
  <c r="K37" i="19" s="1"/>
  <c r="K40" i="19" s="1"/>
  <c r="M31" i="19"/>
  <c r="M37" i="19" s="1"/>
  <c r="M40" i="19" s="1"/>
  <c r="N73" i="19" s="1"/>
  <c r="L4" i="45"/>
  <c r="P20" i="50"/>
  <c r="K73" i="19"/>
  <c r="K74" i="19" s="1"/>
  <c r="K75" i="19" s="1"/>
  <c r="J36" i="50" l="1"/>
  <c r="J42" i="50" s="1"/>
  <c r="J46" i="50" s="1"/>
  <c r="K59" i="50" s="1"/>
  <c r="K60" i="50" s="1"/>
  <c r="K61" i="50" s="1"/>
  <c r="K34" i="50"/>
  <c r="Y13" i="42"/>
  <c r="Y9" i="49"/>
  <c r="N31" i="19"/>
  <c r="N37" i="19" s="1"/>
  <c r="N40" i="19" s="1"/>
  <c r="O73" i="19" s="1"/>
  <c r="O26" i="50"/>
  <c r="O32" i="50"/>
  <c r="P23" i="50"/>
  <c r="P15" i="50" s="1"/>
  <c r="Q20" i="50"/>
  <c r="M4" i="45"/>
  <c r="L73" i="19"/>
  <c r="L74" i="19" s="1"/>
  <c r="K36" i="50" l="1"/>
  <c r="K42" i="50" s="1"/>
  <c r="K46" i="50" s="1"/>
  <c r="L59" i="50" s="1"/>
  <c r="L60" i="50" s="1"/>
  <c r="L61" i="50" s="1"/>
  <c r="L34" i="50"/>
  <c r="Z9" i="49"/>
  <c r="Z13" i="42"/>
  <c r="O31" i="19"/>
  <c r="O37" i="19" s="1"/>
  <c r="O40" i="19" s="1"/>
  <c r="L75" i="19"/>
  <c r="M74" i="19"/>
  <c r="P26" i="50"/>
  <c r="P32" i="50"/>
  <c r="N4" i="45"/>
  <c r="R20" i="50"/>
  <c r="Q23" i="50"/>
  <c r="Q15" i="50" s="1"/>
  <c r="L36" i="50" l="1"/>
  <c r="L42" i="50" s="1"/>
  <c r="L46" i="50" s="1"/>
  <c r="M59" i="50" s="1"/>
  <c r="M60" i="50" s="1"/>
  <c r="M61" i="50" s="1"/>
  <c r="M34" i="50"/>
  <c r="AA13" i="42"/>
  <c r="AA9" i="49"/>
  <c r="P31" i="19"/>
  <c r="P37" i="19" s="1"/>
  <c r="P40" i="19" s="1"/>
  <c r="Q73" i="19" s="1"/>
  <c r="Q32" i="50"/>
  <c r="Q26" i="50"/>
  <c r="R23" i="50"/>
  <c r="R15" i="50" s="1"/>
  <c r="M75" i="19"/>
  <c r="N74" i="19"/>
  <c r="P73" i="19"/>
  <c r="S20" i="50"/>
  <c r="O4" i="45"/>
  <c r="M36" i="50" l="1"/>
  <c r="M42" i="50" s="1"/>
  <c r="M46" i="50" s="1"/>
  <c r="N59" i="50" s="1"/>
  <c r="N60" i="50" s="1"/>
  <c r="N61" i="50" s="1"/>
  <c r="N34" i="50"/>
  <c r="AB13" i="42"/>
  <c r="AB9" i="49"/>
  <c r="Q31" i="19"/>
  <c r="Q37" i="19" s="1"/>
  <c r="Q40" i="19" s="1"/>
  <c r="R73" i="19" s="1"/>
  <c r="R26" i="50"/>
  <c r="R32" i="50"/>
  <c r="N75" i="19"/>
  <c r="O74" i="19"/>
  <c r="O75" i="19" s="1"/>
  <c r="P4" i="45"/>
  <c r="T20" i="50"/>
  <c r="S23" i="50"/>
  <c r="S15" i="50" s="1"/>
  <c r="N36" i="50" l="1"/>
  <c r="N42" i="50" s="1"/>
  <c r="N46" i="50" s="1"/>
  <c r="O59" i="50" s="1"/>
  <c r="O60" i="50" s="1"/>
  <c r="O61" i="50" s="1"/>
  <c r="O34" i="50"/>
  <c r="AC13" i="42"/>
  <c r="AC9" i="49"/>
  <c r="T23" i="50"/>
  <c r="T15" i="50" s="1"/>
  <c r="Q4" i="45"/>
  <c r="U20" i="50"/>
  <c r="S26" i="50"/>
  <c r="S32" i="50"/>
  <c r="P74" i="19"/>
  <c r="O36" i="50" l="1"/>
  <c r="O42" i="50" s="1"/>
  <c r="O46" i="50" s="1"/>
  <c r="P59" i="50" s="1"/>
  <c r="P60" i="50" s="1"/>
  <c r="P61" i="50" s="1"/>
  <c r="P34" i="50"/>
  <c r="P36" i="50" s="1"/>
  <c r="P42" i="50" s="1"/>
  <c r="P46" i="50" s="1"/>
  <c r="Q59" i="50" s="1"/>
  <c r="Q60" i="50" s="1"/>
  <c r="AD9" i="49"/>
  <c r="AD13" i="42"/>
  <c r="U23" i="50"/>
  <c r="U15" i="50" s="1"/>
  <c r="P75" i="19"/>
  <c r="Q74" i="19"/>
  <c r="R4" i="45"/>
  <c r="V20" i="50"/>
  <c r="T26" i="50"/>
  <c r="T32" i="50"/>
  <c r="Q34" i="50" l="1"/>
  <c r="Q36" i="50" s="1"/>
  <c r="Q42" i="50" s="1"/>
  <c r="Q46" i="50" s="1"/>
  <c r="R59" i="50" s="1"/>
  <c r="R60" i="50" s="1"/>
  <c r="AE9" i="49"/>
  <c r="AE13" i="42"/>
  <c r="Q61" i="50"/>
  <c r="U26" i="50"/>
  <c r="U32" i="50"/>
  <c r="V23" i="50"/>
  <c r="V15" i="50" s="1"/>
  <c r="S4" i="45"/>
  <c r="W20" i="50"/>
  <c r="Q75" i="19"/>
  <c r="R74" i="19"/>
  <c r="R34" i="50" l="1"/>
  <c r="AF9" i="49"/>
  <c r="AF13" i="42"/>
  <c r="R61" i="50"/>
  <c r="V32" i="50"/>
  <c r="V26" i="50"/>
  <c r="W23" i="50"/>
  <c r="W15" i="50" s="1"/>
  <c r="R75" i="19"/>
  <c r="T4" i="45"/>
  <c r="X20" i="50"/>
  <c r="R36" i="50" l="1"/>
  <c r="R42" i="50" s="1"/>
  <c r="R46" i="50" s="1"/>
  <c r="S59" i="50" s="1"/>
  <c r="S60" i="50" s="1"/>
  <c r="S61" i="50" s="1"/>
  <c r="S34" i="50"/>
  <c r="S36" i="50" s="1"/>
  <c r="S42" i="50" s="1"/>
  <c r="S46" i="50" s="1"/>
  <c r="T59" i="50" s="1"/>
  <c r="T60" i="50" s="1"/>
  <c r="AG9" i="49"/>
  <c r="AG13" i="42"/>
  <c r="U4" i="45"/>
  <c r="Y20" i="50"/>
  <c r="W26" i="50"/>
  <c r="W32" i="50"/>
  <c r="X23" i="50"/>
  <c r="X15" i="50" s="1"/>
  <c r="T34" i="50" l="1"/>
  <c r="T36" i="50" s="1"/>
  <c r="T42" i="50" s="1"/>
  <c r="T46" i="50" s="1"/>
  <c r="U59" i="50" s="1"/>
  <c r="U60" i="50" s="1"/>
  <c r="AH9" i="49"/>
  <c r="AH13" i="42"/>
  <c r="T61" i="50"/>
  <c r="X32" i="50"/>
  <c r="X26" i="50"/>
  <c r="Y23" i="50"/>
  <c r="Y15" i="50" s="1"/>
  <c r="Z20" i="50"/>
  <c r="V4" i="45"/>
  <c r="U34" i="50" l="1"/>
  <c r="AI13" i="42"/>
  <c r="AI9" i="49"/>
  <c r="U61" i="50"/>
  <c r="Z23" i="50"/>
  <c r="Z15" i="50" s="1"/>
  <c r="Y32" i="50"/>
  <c r="Y26" i="50"/>
  <c r="AA20" i="50"/>
  <c r="W4" i="45"/>
  <c r="U36" i="50" l="1"/>
  <c r="U42" i="50" s="1"/>
  <c r="U46" i="50" s="1"/>
  <c r="V59" i="50" s="1"/>
  <c r="V60" i="50" s="1"/>
  <c r="V34" i="50"/>
  <c r="AJ9" i="49"/>
  <c r="AJ13" i="42"/>
  <c r="V61" i="50"/>
  <c r="AA23" i="50"/>
  <c r="AA15" i="50" s="1"/>
  <c r="Z26" i="50"/>
  <c r="Z32" i="50"/>
  <c r="X4" i="45"/>
  <c r="AB20" i="50"/>
  <c r="V36" i="50" l="1"/>
  <c r="V42" i="50" s="1"/>
  <c r="V46" i="50" s="1"/>
  <c r="W59" i="50" s="1"/>
  <c r="W60" i="50" s="1"/>
  <c r="W34" i="50"/>
  <c r="AK9" i="49"/>
  <c r="AK13" i="42"/>
  <c r="W61" i="50"/>
  <c r="AA32" i="50"/>
  <c r="AA26" i="50"/>
  <c r="AC20" i="50"/>
  <c r="Y4" i="45"/>
  <c r="AB23" i="50"/>
  <c r="AB15" i="50" s="1"/>
  <c r="W36" i="50" l="1"/>
  <c r="W42" i="50" s="1"/>
  <c r="W46" i="50" s="1"/>
  <c r="X59" i="50" s="1"/>
  <c r="X60" i="50" s="1"/>
  <c r="X61" i="50" s="1"/>
  <c r="X34" i="50"/>
  <c r="AB26" i="50"/>
  <c r="AB32" i="50"/>
  <c r="AD20" i="50"/>
  <c r="Z4" i="45"/>
  <c r="AC23" i="50"/>
  <c r="AC15" i="50" s="1"/>
  <c r="X36" i="50" l="1"/>
  <c r="X42" i="50" s="1"/>
  <c r="X46" i="50" s="1"/>
  <c r="Y59" i="50" s="1"/>
  <c r="Y60" i="50" s="1"/>
  <c r="Y61" i="50" s="1"/>
  <c r="Y34" i="50"/>
  <c r="Y36" i="50" s="1"/>
  <c r="Y42" i="50" s="1"/>
  <c r="Y46" i="50" s="1"/>
  <c r="Z59" i="50" s="1"/>
  <c r="Z60" i="50" s="1"/>
  <c r="AE20" i="50"/>
  <c r="AA4" i="45"/>
  <c r="AD23" i="50"/>
  <c r="AD15" i="50" s="1"/>
  <c r="AC32" i="50"/>
  <c r="AC26" i="50"/>
  <c r="Z34" i="50" l="1"/>
  <c r="Z61" i="50"/>
  <c r="AD26" i="50"/>
  <c r="AD32" i="50"/>
  <c r="AF20" i="50"/>
  <c r="AB4" i="45"/>
  <c r="AE23" i="50"/>
  <c r="AE15" i="50" s="1"/>
  <c r="Z36" i="50" l="1"/>
  <c r="Z42" i="50" s="1"/>
  <c r="Z46" i="50" s="1"/>
  <c r="AA59" i="50" s="1"/>
  <c r="AA60" i="50" s="1"/>
  <c r="AA61" i="50" s="1"/>
  <c r="AA34" i="50"/>
  <c r="AE26" i="50"/>
  <c r="AE32" i="50"/>
  <c r="AC4" i="45"/>
  <c r="AG20" i="50"/>
  <c r="AF23" i="50"/>
  <c r="AF15" i="50" s="1"/>
  <c r="AA36" i="50" l="1"/>
  <c r="AA42" i="50" s="1"/>
  <c r="AA46" i="50" s="1"/>
  <c r="AB59" i="50" s="1"/>
  <c r="AB60" i="50" s="1"/>
  <c r="AB61" i="50" s="1"/>
  <c r="AB34" i="50"/>
  <c r="AB36" i="50" s="1"/>
  <c r="AB42" i="50" s="1"/>
  <c r="AB46" i="50" s="1"/>
  <c r="AC59" i="50" s="1"/>
  <c r="AC60" i="50" s="1"/>
  <c r="AF26" i="50"/>
  <c r="AF32" i="50"/>
  <c r="AG23" i="50"/>
  <c r="AG15" i="50" s="1"/>
  <c r="AD4" i="45"/>
  <c r="AH20" i="50"/>
  <c r="AC34" i="50" l="1"/>
  <c r="AC36" i="50" s="1"/>
  <c r="AC42" i="50" s="1"/>
  <c r="AC46" i="50" s="1"/>
  <c r="AD59" i="50" s="1"/>
  <c r="AD60" i="50" s="1"/>
  <c r="AC61" i="50"/>
  <c r="AI20" i="50"/>
  <c r="AE4" i="45"/>
  <c r="AG32" i="50"/>
  <c r="AG26" i="50"/>
  <c r="AH23" i="50"/>
  <c r="AH15" i="50" s="1"/>
  <c r="AD34" i="50" l="1"/>
  <c r="AD36" i="50" s="1"/>
  <c r="AD42" i="50" s="1"/>
  <c r="AD46" i="50" s="1"/>
  <c r="AE59" i="50" s="1"/>
  <c r="AE60" i="50" s="1"/>
  <c r="AD61" i="50"/>
  <c r="AH32" i="50"/>
  <c r="AH26" i="50"/>
  <c r="AJ20" i="50"/>
  <c r="AF4" i="45"/>
  <c r="AI23" i="50"/>
  <c r="AI15" i="50" s="1"/>
  <c r="AE34" i="50" l="1"/>
  <c r="AE36" i="50" s="1"/>
  <c r="AE42" i="50" s="1"/>
  <c r="AE46" i="50" s="1"/>
  <c r="AF59" i="50" s="1"/>
  <c r="AF60" i="50" s="1"/>
  <c r="AF34" i="50"/>
  <c r="AF36" i="50" s="1"/>
  <c r="AF42" i="50" s="1"/>
  <c r="AF46" i="50" s="1"/>
  <c r="AG59" i="50" s="1"/>
  <c r="AE61" i="50"/>
  <c r="AI26" i="50"/>
  <c r="AI32" i="50"/>
  <c r="AG4" i="45"/>
  <c r="AK20" i="50"/>
  <c r="AJ23" i="50"/>
  <c r="AJ15" i="50" s="1"/>
  <c r="AG34" i="50" l="1"/>
  <c r="AF61" i="50"/>
  <c r="AG60" i="50"/>
  <c r="AJ32" i="50"/>
  <c r="AJ26" i="50"/>
  <c r="AK23" i="50"/>
  <c r="AK15" i="50" s="1"/>
  <c r="AH4" i="45"/>
  <c r="AL20" i="50"/>
  <c r="AG36" i="50" l="1"/>
  <c r="AG42" i="50" s="1"/>
  <c r="AG46" i="50" s="1"/>
  <c r="AH59" i="50" s="1"/>
  <c r="AH34" i="50"/>
  <c r="AG61" i="50"/>
  <c r="AH60" i="50"/>
  <c r="AK26" i="50"/>
  <c r="AK32" i="50"/>
  <c r="AM20" i="50"/>
  <c r="AI4" i="45"/>
  <c r="AL23" i="50"/>
  <c r="AL15" i="50" s="1"/>
  <c r="AH36" i="50" l="1"/>
  <c r="AH42" i="50" s="1"/>
  <c r="AH46" i="50" s="1"/>
  <c r="AI59" i="50" s="1"/>
  <c r="AI34" i="50"/>
  <c r="AH61" i="50"/>
  <c r="AI60" i="50"/>
  <c r="AL32" i="50"/>
  <c r="AL26" i="50"/>
  <c r="AJ4" i="45"/>
  <c r="AN20" i="50"/>
  <c r="AM23" i="50"/>
  <c r="AM15" i="50" s="1"/>
  <c r="AI36" i="50" l="1"/>
  <c r="AI42" i="50" s="1"/>
  <c r="AI46" i="50" s="1"/>
  <c r="AJ59" i="50" s="1"/>
  <c r="AJ60" i="50" s="1"/>
  <c r="AJ34" i="50"/>
  <c r="AI61" i="50"/>
  <c r="AM32" i="50"/>
  <c r="AM26" i="50"/>
  <c r="AN23" i="50"/>
  <c r="AN15" i="50" s="1"/>
  <c r="AK4" i="45"/>
  <c r="AP20" i="50" s="1"/>
  <c r="AO20" i="50"/>
  <c r="AJ36" i="50" l="1"/>
  <c r="AJ42" i="50" s="1"/>
  <c r="AJ46" i="50" s="1"/>
  <c r="AK59" i="50" s="1"/>
  <c r="AK60" i="50" s="1"/>
  <c r="AK34" i="50"/>
  <c r="AJ61" i="50"/>
  <c r="AN26" i="50"/>
  <c r="AN32" i="50"/>
  <c r="AO23" i="50"/>
  <c r="AO15" i="50" s="1"/>
  <c r="AP23" i="50"/>
  <c r="AP15" i="50" s="1"/>
  <c r="AQ20" i="50"/>
  <c r="B20" i="50" s="1"/>
  <c r="AK36" i="50" l="1"/>
  <c r="AK42" i="50" s="1"/>
  <c r="AK46" i="50" s="1"/>
  <c r="AL59" i="50" s="1"/>
  <c r="AL60" i="50" s="1"/>
  <c r="AL34" i="50"/>
  <c r="AL36" i="50" s="1"/>
  <c r="AL42" i="50" s="1"/>
  <c r="AL46" i="50" s="1"/>
  <c r="AM59" i="50" s="1"/>
  <c r="AK61" i="50"/>
  <c r="AO26" i="50"/>
  <c r="AO32" i="50"/>
  <c r="AQ23" i="50"/>
  <c r="B23" i="50" s="1"/>
  <c r="AP32" i="50"/>
  <c r="AP26" i="50"/>
  <c r="AQ26" i="50" s="1"/>
  <c r="B26" i="50" s="1"/>
  <c r="D66" i="50"/>
  <c r="AQ15" i="50"/>
  <c r="B15" i="50" s="1"/>
  <c r="G66" i="50"/>
  <c r="AM34" i="50" l="1"/>
  <c r="AL61" i="50"/>
  <c r="AM60" i="50"/>
  <c r="D67" i="50"/>
  <c r="D69" i="50"/>
  <c r="G67" i="50"/>
  <c r="G68" i="50"/>
  <c r="AQ32" i="50"/>
  <c r="B32" i="50" s="1"/>
  <c r="AM36" i="50" l="1"/>
  <c r="AM42" i="50" s="1"/>
  <c r="AM46" i="50" s="1"/>
  <c r="AN59" i="50" s="1"/>
  <c r="AN60" i="50" s="1"/>
  <c r="AN34" i="50"/>
  <c r="AM61" i="50"/>
  <c r="D68" i="50"/>
  <c r="D75" i="50"/>
  <c r="AN36" i="50" l="1"/>
  <c r="AN42" i="50" s="1"/>
  <c r="AN46" i="50" s="1"/>
  <c r="AO59" i="50" s="1"/>
  <c r="AO60" i="50" s="1"/>
  <c r="AO34" i="50"/>
  <c r="AN61" i="50"/>
  <c r="AO36" i="50" l="1"/>
  <c r="AO42" i="50" s="1"/>
  <c r="AO46" i="50" s="1"/>
  <c r="AP59" i="50" s="1"/>
  <c r="AP34" i="50"/>
  <c r="AO61" i="50"/>
  <c r="AP60" i="50"/>
  <c r="AP61" i="50" s="1"/>
  <c r="AQ34" i="50" l="1"/>
  <c r="B34" i="50" s="1"/>
  <c r="AP36" i="50"/>
  <c r="H56" i="50"/>
  <c r="D73" i="50" s="1"/>
  <c r="N5" i="49"/>
  <c r="AP42" i="50" l="1"/>
  <c r="AP46" i="50" s="1"/>
  <c r="AQ36" i="50"/>
  <c r="B36" i="50" s="1"/>
  <c r="G69" i="50" s="1"/>
  <c r="G73" i="50"/>
  <c r="R17" i="19"/>
  <c r="N10" i="49"/>
  <c r="D74" i="50" l="1"/>
  <c r="J49" i="50"/>
  <c r="J50" i="50" s="1"/>
  <c r="H54" i="50"/>
  <c r="D72" i="50" s="1"/>
  <c r="R18" i="19"/>
  <c r="R10" i="19" s="1"/>
  <c r="R21" i="19" l="1"/>
  <c r="R27" i="19"/>
  <c r="R29" i="19" s="1"/>
  <c r="R31" i="19" l="1"/>
  <c r="R37" i="19" s="1"/>
  <c r="R40" i="19" s="1"/>
  <c r="S73" i="19" l="1"/>
  <c r="S74" i="19" s="1"/>
  <c r="S75" i="19" s="1"/>
  <c r="T10" i="49"/>
  <c r="T5" i="49"/>
  <c r="X17" i="19"/>
  <c r="X18" i="19" s="1"/>
  <c r="AF10" i="49"/>
  <c r="AF5" i="49"/>
  <c r="AJ17" i="19"/>
  <c r="AJ18" i="19" s="1"/>
  <c r="Q5" i="49"/>
  <c r="V5" i="49"/>
  <c r="P5" i="49"/>
  <c r="T17" i="19" s="1"/>
  <c r="P10" i="49"/>
  <c r="AK5" i="49"/>
  <c r="U5" i="49"/>
  <c r="S5" i="49"/>
  <c r="AE10" i="49"/>
  <c r="AE5" i="49"/>
  <c r="AI17" i="19"/>
  <c r="AI18" i="19" s="1"/>
  <c r="Y10" i="49"/>
  <c r="Y5" i="49"/>
  <c r="AC17" i="19" s="1"/>
  <c r="AA10" i="49"/>
  <c r="AA5" i="49"/>
  <c r="AE17" i="19"/>
  <c r="AE18" i="19" s="1"/>
  <c r="V17" i="19"/>
  <c r="V18" i="19" s="1"/>
  <c r="AI5" i="49"/>
  <c r="AM17" i="19" s="1"/>
  <c r="X5" i="49"/>
  <c r="X10" i="49" s="1"/>
  <c r="AB17" i="19"/>
  <c r="AB18" i="19" s="1"/>
  <c r="Z10" i="49"/>
  <c r="Z5" i="49"/>
  <c r="AD17" i="19" s="1"/>
  <c r="AD18" i="19" s="1"/>
  <c r="AD10" i="19" s="1"/>
  <c r="AD21" i="19" s="1"/>
  <c r="AB5" i="49"/>
  <c r="AB10" i="49" s="1"/>
  <c r="AH5" i="49"/>
  <c r="AH10" i="49" s="1"/>
  <c r="AL17" i="19"/>
  <c r="AL18" i="19" s="1"/>
  <c r="AD10" i="49"/>
  <c r="AD5" i="49"/>
  <c r="AH17" i="19"/>
  <c r="AG5" i="49"/>
  <c r="AJ10" i="49"/>
  <c r="AJ5" i="49"/>
  <c r="AN17" i="19" s="1"/>
  <c r="AN18" i="19" s="1"/>
  <c r="AN10" i="19" s="1"/>
  <c r="AN21" i="19" s="1"/>
  <c r="R10" i="49"/>
  <c r="R5" i="49"/>
  <c r="AC5" i="49"/>
  <c r="O5" i="49"/>
  <c r="S17" i="19" s="1"/>
  <c r="S18" i="19" s="1"/>
  <c r="W10" i="49"/>
  <c r="W5" i="49"/>
  <c r="AA17" i="19" s="1"/>
  <c r="AA18" i="19" s="1"/>
  <c r="AM18" i="19" l="1"/>
  <c r="AM10" i="19" s="1"/>
  <c r="AC18" i="19"/>
  <c r="AC10" i="19" s="1"/>
  <c r="W17" i="19"/>
  <c r="S10" i="49"/>
  <c r="S10" i="19"/>
  <c r="AG17" i="19"/>
  <c r="AC10" i="49"/>
  <c r="AN27" i="19"/>
  <c r="AN29" i="19" s="1"/>
  <c r="AK17" i="19"/>
  <c r="AG10" i="49"/>
  <c r="AF17" i="19"/>
  <c r="AD27" i="19"/>
  <c r="AD29" i="19" s="1"/>
  <c r="AB10" i="19"/>
  <c r="AI10" i="49"/>
  <c r="AE10" i="19"/>
  <c r="T18" i="19"/>
  <c r="T10" i="19" s="1"/>
  <c r="AH18" i="19"/>
  <c r="AH10" i="19" s="1"/>
  <c r="O10" i="49"/>
  <c r="AL10" i="19"/>
  <c r="AA10" i="19"/>
  <c r="V10" i="19"/>
  <c r="Z17" i="19"/>
  <c r="V10" i="49"/>
  <c r="Y17" i="19"/>
  <c r="U10" i="49"/>
  <c r="AO17" i="19"/>
  <c r="AK10" i="49"/>
  <c r="AI10" i="19"/>
  <c r="U17" i="19"/>
  <c r="Q10" i="49"/>
  <c r="AJ10" i="19"/>
  <c r="X10" i="19"/>
  <c r="AH21" i="19" l="1"/>
  <c r="AH27" i="19"/>
  <c r="AH29" i="19" s="1"/>
  <c r="AI21" i="19"/>
  <c r="AI27" i="19"/>
  <c r="AI29" i="19" s="1"/>
  <c r="AA21" i="19"/>
  <c r="AA27" i="19"/>
  <c r="AA29" i="19" s="1"/>
  <c r="AG18" i="19"/>
  <c r="AG10" i="19" s="1"/>
  <c r="AJ21" i="19"/>
  <c r="AJ27" i="19"/>
  <c r="AJ29" i="19" s="1"/>
  <c r="AL21" i="19"/>
  <c r="AL27" i="19"/>
  <c r="AL29" i="19" s="1"/>
  <c r="AB21" i="19"/>
  <c r="AB27" i="19"/>
  <c r="AB29" i="19" s="1"/>
  <c r="S21" i="19"/>
  <c r="S27" i="19"/>
  <c r="S29" i="19" s="1"/>
  <c r="AM21" i="19"/>
  <c r="AM27" i="19"/>
  <c r="AM29" i="19" s="1"/>
  <c r="X21" i="19"/>
  <c r="X27" i="19"/>
  <c r="X29" i="19" s="1"/>
  <c r="Y18" i="19"/>
  <c r="Y10" i="19" s="1"/>
  <c r="AC21" i="19"/>
  <c r="AC27" i="19"/>
  <c r="AC29" i="19" s="1"/>
  <c r="T21" i="19"/>
  <c r="T27" i="19"/>
  <c r="T29" i="19" s="1"/>
  <c r="AK18" i="19"/>
  <c r="AK10" i="19" s="1"/>
  <c r="AO18" i="19"/>
  <c r="AO10" i="19" s="1"/>
  <c r="Z18" i="19"/>
  <c r="Z10" i="19" s="1"/>
  <c r="U18" i="19"/>
  <c r="U10" i="19" s="1"/>
  <c r="V21" i="19"/>
  <c r="V27" i="19"/>
  <c r="V29" i="19" s="1"/>
  <c r="AE21" i="19"/>
  <c r="AE27" i="19"/>
  <c r="AE29" i="19" s="1"/>
  <c r="AF18" i="19"/>
  <c r="AF10" i="19" s="1"/>
  <c r="W18" i="19"/>
  <c r="W10" i="19" s="1"/>
  <c r="AO21" i="19" l="1"/>
  <c r="AO27" i="19"/>
  <c r="AO29" i="19" s="1"/>
  <c r="U21" i="19"/>
  <c r="U27" i="19"/>
  <c r="U29" i="19" s="1"/>
  <c r="D80" i="19"/>
  <c r="W21" i="19"/>
  <c r="W27" i="19"/>
  <c r="W29" i="19" s="1"/>
  <c r="Y21" i="19"/>
  <c r="Y27" i="19"/>
  <c r="Y29" i="19" s="1"/>
  <c r="AG21" i="19"/>
  <c r="AG27" i="19"/>
  <c r="AG29" i="19" s="1"/>
  <c r="AF21" i="19"/>
  <c r="AF27" i="19"/>
  <c r="AF29" i="19" s="1"/>
  <c r="Z21" i="19"/>
  <c r="Z27" i="19"/>
  <c r="Z29" i="19" s="1"/>
  <c r="AK21" i="19"/>
  <c r="AK27" i="19"/>
  <c r="AK29" i="19" s="1"/>
  <c r="S31" i="19"/>
  <c r="S37" i="19" s="1"/>
  <c r="S40" i="19" s="1"/>
  <c r="T73" i="19" l="1"/>
  <c r="T74" i="19" s="1"/>
  <c r="T75" i="19" s="1"/>
  <c r="D81" i="19"/>
  <c r="D83" i="19"/>
  <c r="T31" i="19" l="1"/>
  <c r="T37" i="19" s="1"/>
  <c r="T40" i="19" s="1"/>
  <c r="D89" i="19"/>
  <c r="D82" i="19"/>
  <c r="V31" i="19" l="1"/>
  <c r="V37" i="19" s="1"/>
  <c r="V40" i="19" s="1"/>
  <c r="W73" i="19" s="1"/>
  <c r="U31" i="19"/>
  <c r="U37" i="19" s="1"/>
  <c r="U40" i="19" s="1"/>
  <c r="V73" i="19" s="1"/>
  <c r="U73" i="19"/>
  <c r="U74" i="19" s="1"/>
  <c r="U75" i="19" s="1"/>
  <c r="V74" i="19" l="1"/>
  <c r="V75" i="19" s="1"/>
  <c r="W31" i="19" l="1"/>
  <c r="W37" i="19" s="1"/>
  <c r="W40" i="19" s="1"/>
  <c r="Y31" i="19"/>
  <c r="Y37" i="19" s="1"/>
  <c r="Y40" i="19" s="1"/>
  <c r="Z73" i="19" s="1"/>
  <c r="W74" i="19"/>
  <c r="W75" i="19" s="1"/>
  <c r="X73" i="19" l="1"/>
  <c r="X74" i="19" s="1"/>
  <c r="X75" i="19" s="1"/>
  <c r="X31" i="19"/>
  <c r="X37" i="19" s="1"/>
  <c r="X40" i="19" s="1"/>
  <c r="Y73" i="19" s="1"/>
  <c r="Y74" i="19" l="1"/>
  <c r="Y75" i="19" s="1"/>
  <c r="Z31" i="19"/>
  <c r="Z37" i="19" s="1"/>
  <c r="Z40" i="19" s="1"/>
  <c r="Z74" i="19" l="1"/>
  <c r="Z75" i="19" s="1"/>
  <c r="AA31" i="19"/>
  <c r="AA37" i="19" s="1"/>
  <c r="AA40" i="19" s="1"/>
  <c r="AB73" i="19" s="1"/>
  <c r="AA73" i="19"/>
  <c r="AA74" i="19" l="1"/>
  <c r="AA75" i="19" s="1"/>
  <c r="AB31" i="19"/>
  <c r="AB37" i="19" s="1"/>
  <c r="AB40" i="19" s="1"/>
  <c r="AB74" i="19" l="1"/>
  <c r="AB75" i="19" s="1"/>
  <c r="AC31" i="19"/>
  <c r="AC37" i="19" s="1"/>
  <c r="AC40" i="19" s="1"/>
  <c r="AD73" i="19" s="1"/>
  <c r="AC73" i="19"/>
  <c r="AC74" i="19" l="1"/>
  <c r="AC75" i="19" s="1"/>
  <c r="AD31" i="19"/>
  <c r="AD37" i="19" s="1"/>
  <c r="AD40" i="19" s="1"/>
  <c r="AE73" i="19" s="1"/>
  <c r="AD74" i="19" l="1"/>
  <c r="AD75" i="19" s="1"/>
  <c r="AE31" i="19"/>
  <c r="AE37" i="19" s="1"/>
  <c r="AE40" i="19" s="1"/>
  <c r="AF73" i="19" s="1"/>
  <c r="AE74" i="19" l="1"/>
  <c r="AE75" i="19" s="1"/>
  <c r="AF31" i="19"/>
  <c r="AF37" i="19" s="1"/>
  <c r="AF40" i="19" s="1"/>
  <c r="AG73" i="19" s="1"/>
  <c r="AF74" i="19" l="1"/>
  <c r="AF75" i="19" s="1"/>
  <c r="AG31" i="19"/>
  <c r="AG37" i="19" s="1"/>
  <c r="AG40" i="19" s="1"/>
  <c r="AH73" i="19" s="1"/>
  <c r="AG74" i="19" l="1"/>
  <c r="AG75" i="19" s="1"/>
  <c r="AH31" i="19"/>
  <c r="AH37" i="19" s="1"/>
  <c r="AH40" i="19" s="1"/>
  <c r="AI73" i="19" s="1"/>
  <c r="AH74" i="19" l="1"/>
  <c r="AH75" i="19" s="1"/>
  <c r="AI31" i="19"/>
  <c r="AI37" i="19" s="1"/>
  <c r="AI40" i="19" s="1"/>
  <c r="AJ73" i="19" s="1"/>
  <c r="AI74" i="19" l="1"/>
  <c r="AI75" i="19" s="1"/>
  <c r="AJ31" i="19"/>
  <c r="AJ37" i="19" s="1"/>
  <c r="AJ40" i="19" s="1"/>
  <c r="AK73" i="19" s="1"/>
  <c r="AJ74" i="19" l="1"/>
  <c r="AJ75" i="19" s="1"/>
  <c r="AK31" i="19"/>
  <c r="AK37" i="19" s="1"/>
  <c r="AK40" i="19" s="1"/>
  <c r="AL73" i="19" s="1"/>
  <c r="AK74" i="19" l="1"/>
  <c r="AK75" i="19" s="1"/>
  <c r="AL31" i="19"/>
  <c r="AL37" i="19" s="1"/>
  <c r="AL40" i="19" s="1"/>
  <c r="AM73" i="19" s="1"/>
  <c r="AL74" i="19" l="1"/>
  <c r="AL75" i="19" s="1"/>
  <c r="AM31" i="19"/>
  <c r="AM37" i="19" s="1"/>
  <c r="AM40" i="19" s="1"/>
  <c r="AN73" i="19" s="1"/>
  <c r="AM74" i="19" l="1"/>
  <c r="AM75" i="19" s="1"/>
  <c r="AN31" i="19"/>
  <c r="AN37" i="19" s="1"/>
  <c r="AN40" i="19" s="1"/>
  <c r="AO73" i="19" s="1"/>
  <c r="AO31" i="19"/>
  <c r="AO37" i="19" s="1"/>
  <c r="AO40" i="19" s="1"/>
  <c r="AN74" i="19" l="1"/>
  <c r="AN75" i="19" s="1"/>
  <c r="D88" i="19"/>
  <c r="G68" i="19"/>
  <c r="D86" i="19" s="1"/>
  <c r="I63" i="19"/>
  <c r="I64" i="19" s="1"/>
  <c r="AO74" i="19" l="1"/>
  <c r="AO75" i="19" s="1"/>
  <c r="G70" i="19" s="1"/>
  <c r="D87" i="19" s="1"/>
</calcChain>
</file>

<file path=xl/comments1.xml><?xml version="1.0" encoding="utf-8"?>
<comments xmlns="http://schemas.openxmlformats.org/spreadsheetml/2006/main">
  <authors>
    <author>Robertp</author>
  </authors>
  <commentList>
    <comment ref="C6" authorId="0" shapeId="0">
      <text>
        <r>
          <rPr>
            <b/>
            <sz val="10"/>
            <color indexed="81"/>
            <rFont val="Tahoma"/>
            <family val="2"/>
          </rPr>
          <t>Robertp:</t>
        </r>
        <r>
          <rPr>
            <sz val="10"/>
            <color indexed="81"/>
            <rFont val="Tahoma"/>
            <family val="2"/>
          </rPr>
          <t xml:space="preserve">
Según su modelo de negocio</t>
        </r>
      </text>
    </comment>
  </commentList>
</comments>
</file>

<file path=xl/comments2.xml><?xml version="1.0" encoding="utf-8"?>
<comments xmlns="http://schemas.openxmlformats.org/spreadsheetml/2006/main">
  <authors>
    <author>Robertp</author>
  </authors>
  <commentList>
    <comment ref="A11" authorId="0" shapeId="0">
      <text>
        <r>
          <rPr>
            <b/>
            <sz val="10"/>
            <color indexed="81"/>
            <rFont val="Tahoma"/>
            <family val="2"/>
          </rPr>
          <t>Robertp:</t>
        </r>
        <r>
          <rPr>
            <sz val="10"/>
            <color indexed="81"/>
            <rFont val="Tahoma"/>
            <family val="2"/>
          </rPr>
          <t xml:space="preserve">
Según su modelo de negocio</t>
        </r>
      </text>
    </comment>
    <comment ref="C11" authorId="0" shapeId="0">
      <text>
        <r>
          <rPr>
            <b/>
            <sz val="10"/>
            <color indexed="81"/>
            <rFont val="Tahoma"/>
            <family val="2"/>
          </rPr>
          <t>Robertp:</t>
        </r>
        <r>
          <rPr>
            <sz val="10"/>
            <color indexed="81"/>
            <rFont val="Tahoma"/>
            <family val="2"/>
          </rPr>
          <t xml:space="preserve">
Según su modelo de negocio</t>
        </r>
      </text>
    </comment>
    <comment ref="A18" authorId="0" shapeId="0">
      <text>
        <r>
          <rPr>
            <b/>
            <sz val="12"/>
            <color indexed="81"/>
            <rFont val="Tahoma"/>
            <family val="2"/>
          </rPr>
          <t>Robertp:</t>
        </r>
        <r>
          <rPr>
            <sz val="12"/>
            <color indexed="81"/>
            <rFont val="Tahoma"/>
            <family val="2"/>
          </rPr>
          <t xml:space="preserve">
Productos de venta en portal</t>
        </r>
      </text>
    </comment>
    <comment ref="C18" authorId="0" shapeId="0">
      <text>
        <r>
          <rPr>
            <b/>
            <sz val="12"/>
            <color indexed="81"/>
            <rFont val="Tahoma"/>
            <family val="2"/>
          </rPr>
          <t>Robertp:</t>
        </r>
        <r>
          <rPr>
            <sz val="12"/>
            <color indexed="81"/>
            <rFont val="Tahoma"/>
            <family val="2"/>
          </rPr>
          <t xml:space="preserve">
Productos de venta en portal</t>
        </r>
      </text>
    </comment>
  </commentList>
</comments>
</file>

<file path=xl/sharedStrings.xml><?xml version="1.0" encoding="utf-8"?>
<sst xmlns="http://schemas.openxmlformats.org/spreadsheetml/2006/main" count="291" uniqueCount="158">
  <si>
    <t>Depreciación</t>
  </si>
  <si>
    <t>Inversión</t>
  </si>
  <si>
    <t>Total Costos Directos</t>
  </si>
  <si>
    <t>Total Costos Indirectos</t>
  </si>
  <si>
    <t>Mensual</t>
  </si>
  <si>
    <t>Descripción</t>
  </si>
  <si>
    <t>Mes</t>
  </si>
  <si>
    <t>Ingresos</t>
  </si>
  <si>
    <t>Margen Operativo</t>
  </si>
  <si>
    <t>Utilidad Antes de Impuestos</t>
  </si>
  <si>
    <t>Impuestos y Participacion Laboral</t>
  </si>
  <si>
    <t>Utilidad Neta</t>
  </si>
  <si>
    <t>Flujo de Caja Proyectado</t>
  </si>
  <si>
    <t>Flujo Bruto</t>
  </si>
  <si>
    <t>Flujo Neto</t>
  </si>
  <si>
    <t xml:space="preserve">Anual </t>
  </si>
  <si>
    <t>VAN INGRESOS</t>
  </si>
  <si>
    <t>VAN FLUJO NETO</t>
  </si>
  <si>
    <t>Contingencia de Costos</t>
  </si>
  <si>
    <t xml:space="preserve">Staff - Administracion </t>
  </si>
  <si>
    <t>Tasa de Descuento</t>
  </si>
  <si>
    <t>PERIODO DE RECUPERO CONTABLE (meses)</t>
  </si>
  <si>
    <t>Periodo de Recupero</t>
  </si>
  <si>
    <t>Otros Indicadores</t>
  </si>
  <si>
    <t>Ingreso Total</t>
  </si>
  <si>
    <t>Costos Directos</t>
  </si>
  <si>
    <t>Utilidad Operativa</t>
  </si>
  <si>
    <t>EBITDA</t>
  </si>
  <si>
    <t>meses</t>
  </si>
  <si>
    <t>Cantidad</t>
  </si>
  <si>
    <t>Tiempo de contratación:</t>
  </si>
  <si>
    <t>S/. Unitario</t>
  </si>
  <si>
    <t>S/. Total</t>
  </si>
  <si>
    <t>Total</t>
  </si>
  <si>
    <t>Formalización de la empresa</t>
  </si>
  <si>
    <t>Tecnología</t>
  </si>
  <si>
    <t>TIR (MENSUAL)</t>
  </si>
  <si>
    <t>TIR (ANUAL)</t>
  </si>
  <si>
    <t>Periodicidad</t>
  </si>
  <si>
    <t>Tipo / Ingresos</t>
  </si>
  <si>
    <t>Costos Administrativos</t>
  </si>
  <si>
    <t>Costos Tecnología</t>
  </si>
  <si>
    <t>Costos RRHH</t>
  </si>
  <si>
    <t>Agua</t>
  </si>
  <si>
    <t>Servicios</t>
  </si>
  <si>
    <t>TC</t>
  </si>
  <si>
    <t>Ingresos (servicio 1)</t>
  </si>
  <si>
    <t>Costos Otros</t>
  </si>
  <si>
    <t>Costos Marketing y Ventas</t>
  </si>
  <si>
    <t>Marketing - Plan de medios</t>
  </si>
  <si>
    <t>Total MKT</t>
  </si>
  <si>
    <t>costos</t>
  </si>
  <si>
    <t>precio unitario promedio</t>
  </si>
  <si>
    <t>demanda</t>
  </si>
  <si>
    <t>Manternimiento</t>
  </si>
  <si>
    <t>Operaciones</t>
  </si>
  <si>
    <t>Ratios</t>
  </si>
  <si>
    <t>VAN</t>
  </si>
  <si>
    <t>PERIODO DE RECUPERO</t>
  </si>
  <si>
    <t>TIR</t>
  </si>
  <si>
    <t>ROI</t>
  </si>
  <si>
    <t>No hay ROA NI ROE por que no tenemos activos importantes.</t>
  </si>
  <si>
    <t>TOTAL</t>
  </si>
  <si>
    <t>TOTAL 36 MESES</t>
  </si>
  <si>
    <t>precio</t>
  </si>
  <si>
    <t>EQUIPO</t>
  </si>
  <si>
    <t xml:space="preserve">S/. Unitario </t>
  </si>
  <si>
    <t xml:space="preserve">S/. Total </t>
  </si>
  <si>
    <t>Periocidad</t>
  </si>
  <si>
    <t>Semestral</t>
  </si>
  <si>
    <t>Bimestral</t>
  </si>
  <si>
    <t>INMOBILIARIO</t>
  </si>
  <si>
    <t>Producto 1</t>
  </si>
  <si>
    <t>periodicidad</t>
  </si>
  <si>
    <t>Anual</t>
  </si>
  <si>
    <t>Trimestral</t>
  </si>
  <si>
    <t>Pago unico</t>
  </si>
  <si>
    <t>Ingresos del negocio: idea de negocio del grupo</t>
  </si>
  <si>
    <t>Personal administrativo</t>
  </si>
  <si>
    <t>Personal Operativo</t>
  </si>
  <si>
    <t xml:space="preserve">Sueldo </t>
  </si>
  <si>
    <t>Area Operativa</t>
  </si>
  <si>
    <t>Area Administrativa</t>
  </si>
  <si>
    <t>Recibo por Honorario</t>
  </si>
  <si>
    <t>Planilla</t>
  </si>
  <si>
    <t>R. Hon.</t>
  </si>
  <si>
    <t>Destajo</t>
  </si>
  <si>
    <t>Costo unitario por producto</t>
  </si>
  <si>
    <t>Cantidas prod. al mes promedio</t>
  </si>
  <si>
    <t>C. TOTAL ADMINISTRATIVO</t>
  </si>
  <si>
    <t>C. TOTAL  OPERATIVO</t>
  </si>
  <si>
    <t>Servicio externo</t>
  </si>
  <si>
    <t>Costo</t>
  </si>
  <si>
    <t>Servicio 1</t>
  </si>
  <si>
    <t>Servicio 2</t>
  </si>
  <si>
    <t>Servicio 3</t>
  </si>
  <si>
    <t>Servicio 4</t>
  </si>
  <si>
    <t>Servicio 5</t>
  </si>
  <si>
    <t>Servicio n</t>
  </si>
  <si>
    <t>Costos de Recursos humanos</t>
  </si>
  <si>
    <t>Costos directos MP e insumos</t>
  </si>
  <si>
    <t>Costo unit</t>
  </si>
  <si>
    <t>Unid.</t>
  </si>
  <si>
    <t>Impuestos y Participacion Laboral(Iimpuesto a la renta )</t>
  </si>
  <si>
    <t>Energia electrica</t>
  </si>
  <si>
    <t xml:space="preserve">Aumento anual de la deM de un </t>
  </si>
  <si>
    <t xml:space="preserve">Beneficios de Ley </t>
  </si>
  <si>
    <t>Tecnologìa</t>
  </si>
  <si>
    <t>Teléfono e internet</t>
  </si>
  <si>
    <t>Licencia de Visual Studio 2019</t>
  </si>
  <si>
    <t>UNIDAD</t>
  </si>
  <si>
    <t>Licencia de Windows 10</t>
  </si>
  <si>
    <t>Computadora portátil</t>
  </si>
  <si>
    <t>Escritorio</t>
  </si>
  <si>
    <t>Pack de papelería y material de escritorio</t>
  </si>
  <si>
    <t>costo x producto</t>
  </si>
  <si>
    <t>Contador</t>
  </si>
  <si>
    <t>Costos administrativos</t>
  </si>
  <si>
    <t>Alquiler oficina</t>
  </si>
  <si>
    <t>Azure SQL Database</t>
  </si>
  <si>
    <t>Virtual Machines</t>
  </si>
  <si>
    <t>Azure DNS</t>
  </si>
  <si>
    <t>Precio Dólar 03/12/2019</t>
  </si>
  <si>
    <t>Pack Internet - teléfono</t>
  </si>
  <si>
    <t>Soporte técnico - mantenimiento y plataformas</t>
  </si>
  <si>
    <t>Desarrollo y mantenimiento de página web y rediseños</t>
  </si>
  <si>
    <t>Desarrollo y mantenimiento de app móvil</t>
  </si>
  <si>
    <t>Equipos informáticos</t>
  </si>
  <si>
    <t>Publicidad en redes sociales</t>
  </si>
  <si>
    <t>Captar influencers</t>
  </si>
  <si>
    <t>Consulta de reserva de denominación o razón social</t>
  </si>
  <si>
    <t>Minuta</t>
  </si>
  <si>
    <t>Notario</t>
  </si>
  <si>
    <t>Inscripcion</t>
  </si>
  <si>
    <t>Alquiler de oficina</t>
  </si>
  <si>
    <t>Inversión del negocio</t>
  </si>
  <si>
    <t>Reclutador</t>
  </si>
  <si>
    <t>Desarrollador de Software</t>
  </si>
  <si>
    <t xml:space="preserve">Gerente de proyecto </t>
  </si>
  <si>
    <t>Mesa de ayuda</t>
  </si>
  <si>
    <t>Analista de Sistemas</t>
  </si>
  <si>
    <t>Administrador de redes sociales</t>
  </si>
  <si>
    <t>Estado de Resultado al 31 de diciembre de 2022</t>
  </si>
  <si>
    <t>Importe</t>
  </si>
  <si>
    <t>Porcentaje</t>
  </si>
  <si>
    <t>Ventas</t>
  </si>
  <si>
    <t>Descuento sobre ventas</t>
  </si>
  <si>
    <t>Ventas netas</t>
  </si>
  <si>
    <t>Mano de obra</t>
  </si>
  <si>
    <t>Materia prima</t>
  </si>
  <si>
    <t>Costo de ventas</t>
  </si>
  <si>
    <t>Utilidad bruta</t>
  </si>
  <si>
    <t>Gastos administrativos</t>
  </si>
  <si>
    <t>Gastos de venta</t>
  </si>
  <si>
    <t>Total de gastos</t>
  </si>
  <si>
    <t>Utilidad antes de impuestos</t>
  </si>
  <si>
    <t>Impuestos a la utilidad 29,5%</t>
  </si>
  <si>
    <t>Utilidad neta o resultado del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</si>
</sst>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-* #,##0.00\ _€_-;\-* #,##0.00\ _€_-;_-* &quot;-&quot;??\ _€_-;_-@_-"/>
    <numFmt numFmtId="170" formatCode="_-&quot;S/&quot;* #,##0.00_-;\-&quot;S/&quot;* #,##0.00_-;_-&quot;S/&quot;* &quot;-&quot;??_-;_-@_-"/>
    <numFmt numFmtId="179" formatCode="_ * #,##0.00_ ;_ * \-#,##0.00_ ;_ * &quot;-&quot;??_ ;_ @_ "/>
    <numFmt numFmtId="180" formatCode="_(* #,##0.00_);_(* \(#,##0.00\);_(* &quot;-&quot;??_);_(@_)"/>
    <numFmt numFmtId="182" formatCode="_ &quot;S/&quot;* #,##0.00_ ;_ &quot;S/&quot;* \-#,##0.00_ ;_ &quot;S/&quot;* &quot;-&quot;??_ ;_ @_ "/>
    <numFmt numFmtId="183" formatCode="0.0%"/>
    <numFmt numFmtId="184" formatCode="_-* #,##0\ _p_t_a_-;\-* #,##0\ _p_t_a_-;_-* &quot;-&quot;??\ _p_t_a_-;_-@_-"/>
    <numFmt numFmtId="185" formatCode="_(* #,##0_);_(* \(#,##0\);_(* &quot;-&quot;??_);_(@_)"/>
    <numFmt numFmtId="186" formatCode="_ * #,##0_ ;_ * \-#,##0_ ;_ * &quot;-&quot;??_ ;_ @_ "/>
    <numFmt numFmtId="187" formatCode="&quot;S/.&quot;\ #,##0.0"/>
    <numFmt numFmtId="188" formatCode="_ [$S/.-280A]\ * #,##0.00_ ;_ [$S/.-280A]\ * \-#,##0.00_ ;_ [$S/.-280A]\ * &quot;-&quot;??_ ;_ @_ "/>
    <numFmt numFmtId="202" formatCode="_-[$$-540A]* #,##0.00_ ;_-[$$-540A]* \-#,##0.00\ ;_-[$$-540A]* &quot;-&quot;??_ ;_-@_ "/>
    <numFmt numFmtId="203" formatCode="0.000%"/>
  </numFmts>
  <fonts count="39">
    <font>
      <sz val="10"/>
      <name val="TheSansCorrespondence"/>
    </font>
    <font>
      <sz val="10"/>
      <name val="TheSansCorrespondence"/>
    </font>
    <font>
      <sz val="12"/>
      <name val="Tms Rmn"/>
    </font>
    <font>
      <sz val="10"/>
      <name val="Arial"/>
      <family val="2"/>
    </font>
    <font>
      <sz val="10"/>
      <name val="BERNHARD"/>
    </font>
    <font>
      <sz val="10"/>
      <name val="Helv"/>
    </font>
    <font>
      <sz val="7"/>
      <name val="Small Fonts"/>
      <family val="2"/>
    </font>
    <font>
      <sz val="8"/>
      <name val="Helv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color indexed="81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u/>
      <sz val="14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b/>
      <sz val="10"/>
      <name val="TheSansCorrespondence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2"/>
      <color indexed="81"/>
      <name val="Tahoma"/>
      <family val="2"/>
    </font>
    <font>
      <sz val="10"/>
      <name val="TheSansCorrespondence"/>
    </font>
    <font>
      <b/>
      <u/>
      <sz val="10"/>
      <name val="TheSansCorrespondence"/>
    </font>
    <font>
      <b/>
      <sz val="9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i/>
      <sz val="12"/>
      <name val="TheSansCorrespondence"/>
    </font>
    <font>
      <sz val="8"/>
      <name val="TheSansCorrespondence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TheSansCorrespondence"/>
    </font>
    <font>
      <sz val="12"/>
      <name val="TheSansCorrespondence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22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3" fillId="0" borderId="0"/>
    <xf numFmtId="0" fontId="3" fillId="0" borderId="0"/>
    <xf numFmtId="3" fontId="8" fillId="2" borderId="0" applyBorder="0">
      <alignment horizontal="right" shrinkToFit="1"/>
    </xf>
    <xf numFmtId="179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37" fontId="6" fillId="0" borderId="0"/>
    <xf numFmtId="9" fontId="1" fillId="0" borderId="0" applyFont="0" applyFill="0" applyBorder="0" applyAlignment="0" applyProtection="0"/>
    <xf numFmtId="38" fontId="7" fillId="0" borderId="0"/>
  </cellStyleXfs>
  <cellXfs count="419">
    <xf numFmtId="0" fontId="0" fillId="0" borderId="0" xfId="0"/>
    <xf numFmtId="1" fontId="12" fillId="3" borderId="0" xfId="2" applyNumberFormat="1" applyFont="1" applyFill="1" applyBorder="1"/>
    <xf numFmtId="0" fontId="12" fillId="3" borderId="0" xfId="2" applyFont="1" applyFill="1" applyAlignment="1">
      <alignment horizontal="left"/>
    </xf>
    <xf numFmtId="0" fontId="8" fillId="3" borderId="1" xfId="2" applyFont="1" applyFill="1" applyBorder="1" applyAlignment="1">
      <alignment horizontal="center"/>
    </xf>
    <xf numFmtId="179" fontId="12" fillId="3" borderId="0" xfId="10" applyFont="1" applyFill="1"/>
    <xf numFmtId="1" fontId="12" fillId="3" borderId="0" xfId="10" applyNumberFormat="1" applyFont="1" applyFill="1" applyBorder="1" applyAlignment="1">
      <alignment horizontal="center"/>
    </xf>
    <xf numFmtId="0" fontId="12" fillId="3" borderId="1" xfId="2" applyFont="1" applyFill="1" applyBorder="1"/>
    <xf numFmtId="180" fontId="12" fillId="3" borderId="1" xfId="10" applyNumberFormat="1" applyFont="1" applyFill="1" applyBorder="1" applyAlignment="1"/>
    <xf numFmtId="0" fontId="12" fillId="3" borderId="0" xfId="2" applyFont="1" applyFill="1"/>
    <xf numFmtId="180" fontId="12" fillId="3" borderId="0" xfId="10" applyNumberFormat="1" applyFont="1" applyFill="1" applyAlignment="1"/>
    <xf numFmtId="0" fontId="13" fillId="3" borderId="0" xfId="2" applyFont="1" applyFill="1" applyAlignment="1">
      <alignment horizontal="left" indent="1"/>
    </xf>
    <xf numFmtId="180" fontId="13" fillId="3" borderId="0" xfId="10" applyNumberFormat="1" applyFont="1" applyFill="1" applyAlignment="1"/>
    <xf numFmtId="9" fontId="12" fillId="3" borderId="0" xfId="2" applyNumberFormat="1" applyFont="1" applyFill="1" applyBorder="1" applyAlignment="1">
      <alignment horizontal="left" indent="1"/>
    </xf>
    <xf numFmtId="9" fontId="12" fillId="3" borderId="1" xfId="2" applyNumberFormat="1" applyFont="1" applyFill="1" applyBorder="1"/>
    <xf numFmtId="0" fontId="12" fillId="3" borderId="1" xfId="2" applyFont="1" applyFill="1" applyBorder="1" applyAlignment="1">
      <alignment horizontal="center"/>
    </xf>
    <xf numFmtId="185" fontId="12" fillId="3" borderId="1" xfId="10" applyNumberFormat="1" applyFont="1" applyFill="1" applyBorder="1" applyAlignment="1">
      <alignment horizontal="left"/>
    </xf>
    <xf numFmtId="9" fontId="12" fillId="3" borderId="0" xfId="2" applyNumberFormat="1" applyFont="1" applyFill="1" applyBorder="1"/>
    <xf numFmtId="9" fontId="13" fillId="3" borderId="0" xfId="2" applyNumberFormat="1" applyFont="1" applyFill="1" applyBorder="1" applyAlignment="1">
      <alignment horizontal="left" indent="1"/>
    </xf>
    <xf numFmtId="9" fontId="12" fillId="3" borderId="0" xfId="2" applyNumberFormat="1" applyFont="1" applyFill="1" applyBorder="1" applyAlignment="1">
      <alignment horizontal="left" indent="2"/>
    </xf>
    <xf numFmtId="0" fontId="12" fillId="3" borderId="0" xfId="2" applyFont="1" applyFill="1" applyAlignment="1">
      <alignment horizontal="center"/>
    </xf>
    <xf numFmtId="180" fontId="12" fillId="3" borderId="0" xfId="10" applyNumberFormat="1" applyFont="1" applyFill="1" applyAlignment="1">
      <alignment horizontal="left"/>
    </xf>
    <xf numFmtId="9" fontId="12" fillId="3" borderId="0" xfId="13" applyFont="1" applyFill="1" applyAlignment="1"/>
    <xf numFmtId="0" fontId="13" fillId="3" borderId="0" xfId="2" applyFont="1" applyFill="1"/>
    <xf numFmtId="0" fontId="12" fillId="3" borderId="2" xfId="2" applyFont="1" applyFill="1" applyBorder="1"/>
    <xf numFmtId="0" fontId="12" fillId="3" borderId="2" xfId="2" applyFont="1" applyFill="1" applyBorder="1" applyAlignment="1">
      <alignment horizontal="center"/>
    </xf>
    <xf numFmtId="9" fontId="12" fillId="3" borderId="2" xfId="13" applyFont="1" applyFill="1" applyBorder="1" applyAlignment="1"/>
    <xf numFmtId="9" fontId="12" fillId="3" borderId="0" xfId="13" applyFont="1" applyFill="1" applyBorder="1" applyAlignment="1"/>
    <xf numFmtId="0" fontId="13" fillId="3" borderId="0" xfId="2" applyFont="1" applyFill="1" applyAlignment="1"/>
    <xf numFmtId="4" fontId="13" fillId="3" borderId="1" xfId="2" applyNumberFormat="1" applyFont="1" applyFill="1" applyBorder="1" applyAlignment="1">
      <alignment horizontal="center"/>
    </xf>
    <xf numFmtId="0" fontId="13" fillId="3" borderId="1" xfId="2" applyFont="1" applyFill="1" applyBorder="1"/>
    <xf numFmtId="0" fontId="13" fillId="3" borderId="0" xfId="2" applyFont="1" applyFill="1" applyAlignment="1">
      <alignment horizontal="center"/>
    </xf>
    <xf numFmtId="1" fontId="12" fillId="3" borderId="0" xfId="10" applyNumberFormat="1" applyFont="1" applyFill="1" applyAlignment="1">
      <alignment horizontal="center"/>
    </xf>
    <xf numFmtId="0" fontId="13" fillId="3" borderId="0" xfId="2" applyFont="1" applyFill="1" applyAlignment="1">
      <alignment horizontal="left"/>
    </xf>
    <xf numFmtId="3" fontId="13" fillId="3" borderId="0" xfId="2" applyNumberFormat="1" applyFont="1" applyFill="1" applyAlignment="1">
      <alignment horizontal="center"/>
    </xf>
    <xf numFmtId="3" fontId="13" fillId="3" borderId="0" xfId="10" applyNumberFormat="1" applyFont="1" applyFill="1"/>
    <xf numFmtId="3" fontId="13" fillId="3" borderId="0" xfId="2" applyNumberFormat="1" applyFont="1" applyFill="1"/>
    <xf numFmtId="4" fontId="13" fillId="3" borderId="0" xfId="2" applyNumberFormat="1" applyFont="1" applyFill="1" applyAlignment="1">
      <alignment horizontal="center"/>
    </xf>
    <xf numFmtId="184" fontId="12" fillId="3" borderId="1" xfId="10" applyNumberFormat="1" applyFont="1" applyFill="1" applyBorder="1"/>
    <xf numFmtId="3" fontId="12" fillId="3" borderId="1" xfId="10" applyNumberFormat="1" applyFont="1" applyFill="1" applyBorder="1" applyAlignment="1"/>
    <xf numFmtId="184" fontId="12" fillId="3" borderId="0" xfId="10" applyNumberFormat="1" applyFont="1" applyFill="1" applyBorder="1"/>
    <xf numFmtId="3" fontId="12" fillId="3" borderId="0" xfId="10" applyNumberFormat="1" applyFont="1" applyFill="1" applyBorder="1" applyAlignment="1"/>
    <xf numFmtId="1" fontId="13" fillId="3" borderId="0" xfId="10" applyNumberFormat="1" applyFont="1" applyFill="1" applyAlignment="1">
      <alignment horizontal="center"/>
    </xf>
    <xf numFmtId="184" fontId="12" fillId="3" borderId="3" xfId="10" applyNumberFormat="1" applyFont="1" applyFill="1" applyBorder="1"/>
    <xf numFmtId="3" fontId="12" fillId="3" borderId="4" xfId="10" applyNumberFormat="1" applyFont="1" applyFill="1" applyBorder="1" applyAlignment="1">
      <alignment horizontal="right"/>
    </xf>
    <xf numFmtId="183" fontId="12" fillId="3" borderId="4" xfId="2" applyNumberFormat="1" applyFont="1" applyFill="1" applyBorder="1" applyAlignment="1">
      <alignment horizontal="center"/>
    </xf>
    <xf numFmtId="10" fontId="12" fillId="3" borderId="5" xfId="10" applyNumberFormat="1" applyFont="1" applyFill="1" applyBorder="1" applyAlignment="1">
      <alignment horizontal="center"/>
    </xf>
    <xf numFmtId="0" fontId="12" fillId="3" borderId="6" xfId="2" applyFont="1" applyFill="1" applyBorder="1"/>
    <xf numFmtId="0" fontId="13" fillId="3" borderId="7" xfId="2" applyFont="1" applyFill="1" applyBorder="1"/>
    <xf numFmtId="3" fontId="12" fillId="3" borderId="8" xfId="2" applyNumberFormat="1" applyFont="1" applyFill="1" applyBorder="1" applyAlignment="1">
      <alignment horizontal="center"/>
    </xf>
    <xf numFmtId="185" fontId="12" fillId="3" borderId="0" xfId="2" applyNumberFormat="1" applyFont="1" applyFill="1" applyBorder="1" applyAlignment="1">
      <alignment horizontal="center"/>
    </xf>
    <xf numFmtId="185" fontId="12" fillId="3" borderId="0" xfId="10" applyNumberFormat="1" applyFont="1" applyFill="1" applyBorder="1" applyAlignment="1">
      <alignment horizontal="left"/>
    </xf>
    <xf numFmtId="0" fontId="12" fillId="3" borderId="9" xfId="2" applyFont="1" applyFill="1" applyBorder="1"/>
    <xf numFmtId="10" fontId="12" fillId="3" borderId="10" xfId="2" applyNumberFormat="1" applyFont="1" applyFill="1" applyBorder="1" applyAlignment="1">
      <alignment horizontal="center"/>
    </xf>
    <xf numFmtId="10" fontId="12" fillId="3" borderId="10" xfId="13" applyNumberFormat="1" applyFont="1" applyFill="1" applyBorder="1" applyAlignment="1"/>
    <xf numFmtId="9" fontId="12" fillId="3" borderId="10" xfId="13" applyFont="1" applyFill="1" applyBorder="1" applyAlignment="1">
      <alignment horizontal="center"/>
    </xf>
    <xf numFmtId="183" fontId="12" fillId="3" borderId="11" xfId="13" applyNumberFormat="1" applyFont="1" applyFill="1" applyBorder="1" applyAlignment="1">
      <alignment horizontal="center"/>
    </xf>
    <xf numFmtId="0" fontId="12" fillId="3" borderId="0" xfId="2" applyFont="1" applyFill="1" applyBorder="1"/>
    <xf numFmtId="183" fontId="12" fillId="3" borderId="0" xfId="2" applyNumberFormat="1" applyFont="1" applyFill="1" applyBorder="1" applyAlignment="1">
      <alignment horizontal="right"/>
    </xf>
    <xf numFmtId="10" fontId="12" fillId="3" borderId="0" xfId="10" applyNumberFormat="1" applyFont="1" applyFill="1" applyBorder="1"/>
    <xf numFmtId="3" fontId="12" fillId="3" borderId="0" xfId="2" applyNumberFormat="1" applyFont="1" applyFill="1" applyBorder="1" applyAlignment="1">
      <alignment horizontal="center"/>
    </xf>
    <xf numFmtId="3" fontId="12" fillId="3" borderId="5" xfId="2" applyNumberFormat="1" applyFont="1" applyFill="1" applyBorder="1" applyAlignment="1">
      <alignment horizontal="center"/>
    </xf>
    <xf numFmtId="0" fontId="14" fillId="3" borderId="0" xfId="2" applyFont="1" applyFill="1" applyBorder="1"/>
    <xf numFmtId="0" fontId="14" fillId="3" borderId="0" xfId="2" applyFont="1" applyFill="1" applyBorder="1" applyAlignment="1">
      <alignment horizontal="center"/>
    </xf>
    <xf numFmtId="179" fontId="9" fillId="3" borderId="0" xfId="10" applyFont="1" applyFill="1" applyBorder="1"/>
    <xf numFmtId="3" fontId="8" fillId="3" borderId="1" xfId="2" applyNumberFormat="1" applyFont="1" applyFill="1" applyBorder="1"/>
    <xf numFmtId="1" fontId="8" fillId="3" borderId="1" xfId="10" applyNumberFormat="1" applyFont="1" applyFill="1" applyBorder="1" applyAlignment="1">
      <alignment horizontal="center"/>
    </xf>
    <xf numFmtId="1" fontId="8" fillId="3" borderId="1" xfId="2" applyNumberFormat="1" applyFont="1" applyFill="1" applyBorder="1" applyAlignment="1">
      <alignment horizontal="center"/>
    </xf>
    <xf numFmtId="3" fontId="14" fillId="3" borderId="0" xfId="2" applyNumberFormat="1" applyFont="1" applyFill="1" applyBorder="1" applyAlignment="1">
      <alignment horizontal="center"/>
    </xf>
    <xf numFmtId="3" fontId="9" fillId="3" borderId="0" xfId="10" applyNumberFormat="1" applyFont="1" applyFill="1" applyBorder="1"/>
    <xf numFmtId="3" fontId="14" fillId="3" borderId="1" xfId="2" applyNumberFormat="1" applyFont="1" applyFill="1" applyBorder="1"/>
    <xf numFmtId="3" fontId="14" fillId="3" borderId="1" xfId="2" applyNumberFormat="1" applyFont="1" applyFill="1" applyBorder="1" applyAlignment="1">
      <alignment horizontal="center"/>
    </xf>
    <xf numFmtId="3" fontId="14" fillId="3" borderId="1" xfId="10" applyNumberFormat="1" applyFont="1" applyFill="1" applyBorder="1"/>
    <xf numFmtId="3" fontId="14" fillId="3" borderId="0" xfId="2" applyNumberFormat="1" applyFont="1" applyFill="1" applyBorder="1"/>
    <xf numFmtId="179" fontId="13" fillId="3" borderId="0" xfId="10" applyFont="1" applyFill="1"/>
    <xf numFmtId="1" fontId="13" fillId="3" borderId="0" xfId="2" applyNumberFormat="1" applyFont="1" applyFill="1" applyBorder="1"/>
    <xf numFmtId="180" fontId="13" fillId="3" borderId="1" xfId="2" applyNumberFormat="1" applyFont="1" applyFill="1" applyBorder="1" applyAlignment="1"/>
    <xf numFmtId="180" fontId="13" fillId="3" borderId="1" xfId="10" applyNumberFormat="1" applyFont="1" applyFill="1" applyBorder="1" applyAlignment="1">
      <alignment horizontal="center"/>
    </xf>
    <xf numFmtId="180" fontId="13" fillId="3" borderId="0" xfId="10" applyNumberFormat="1" applyFont="1" applyFill="1" applyAlignment="1">
      <alignment horizontal="center"/>
    </xf>
    <xf numFmtId="180" fontId="12" fillId="3" borderId="1" xfId="10" applyNumberFormat="1" applyFont="1" applyFill="1" applyBorder="1" applyAlignment="1">
      <alignment horizontal="center"/>
    </xf>
    <xf numFmtId="180" fontId="13" fillId="3" borderId="0" xfId="2" applyNumberFormat="1" applyFont="1" applyFill="1" applyAlignment="1"/>
    <xf numFmtId="180" fontId="13" fillId="3" borderId="0" xfId="10" applyNumberFormat="1" applyFont="1" applyFill="1" applyAlignment="1">
      <alignment horizontal="left"/>
    </xf>
    <xf numFmtId="9" fontId="12" fillId="4" borderId="0" xfId="13" applyFont="1" applyFill="1" applyAlignment="1">
      <alignment horizontal="center"/>
    </xf>
    <xf numFmtId="0" fontId="13" fillId="3" borderId="1" xfId="2" applyFont="1" applyFill="1" applyBorder="1" applyAlignment="1">
      <alignment horizontal="center"/>
    </xf>
    <xf numFmtId="9" fontId="12" fillId="4" borderId="0" xfId="2" applyNumberFormat="1" applyFont="1" applyFill="1" applyAlignment="1">
      <alignment horizontal="center"/>
    </xf>
    <xf numFmtId="10" fontId="13" fillId="3" borderId="7" xfId="2" applyNumberFormat="1" applyFont="1" applyFill="1" applyBorder="1" applyAlignment="1">
      <alignment horizontal="center"/>
    </xf>
    <xf numFmtId="0" fontId="12" fillId="3" borderId="3" xfId="2" applyFont="1" applyFill="1" applyBorder="1"/>
    <xf numFmtId="0" fontId="13" fillId="3" borderId="4" xfId="2" applyFont="1" applyFill="1" applyBorder="1" applyAlignment="1">
      <alignment horizontal="center"/>
    </xf>
    <xf numFmtId="179" fontId="13" fillId="3" borderId="4" xfId="10" applyFont="1" applyFill="1" applyBorder="1"/>
    <xf numFmtId="0" fontId="9" fillId="3" borderId="0" xfId="2" applyFont="1" applyFill="1" applyBorder="1"/>
    <xf numFmtId="3" fontId="9" fillId="3" borderId="0" xfId="2" applyNumberFormat="1" applyFont="1" applyFill="1" applyBorder="1"/>
    <xf numFmtId="0" fontId="15" fillId="3" borderId="0" xfId="2" applyFont="1" applyFill="1"/>
    <xf numFmtId="0" fontId="16" fillId="3" borderId="0" xfId="2" applyFont="1" applyFill="1" applyAlignment="1">
      <alignment horizontal="center"/>
    </xf>
    <xf numFmtId="0" fontId="10" fillId="3" borderId="0" xfId="2" applyFont="1" applyFill="1"/>
    <xf numFmtId="185" fontId="10" fillId="3" borderId="12" xfId="2" applyNumberFormat="1" applyFont="1" applyFill="1" applyBorder="1" applyAlignment="1">
      <alignment horizontal="right"/>
    </xf>
    <xf numFmtId="179" fontId="10" fillId="3" borderId="0" xfId="10" applyFont="1" applyFill="1" applyAlignment="1"/>
    <xf numFmtId="9" fontId="10" fillId="3" borderId="0" xfId="13" applyFont="1" applyFill="1" applyAlignment="1">
      <alignment horizontal="right"/>
    </xf>
    <xf numFmtId="184" fontId="12" fillId="3" borderId="4" xfId="10" applyNumberFormat="1" applyFont="1" applyFill="1" applyBorder="1"/>
    <xf numFmtId="185" fontId="10" fillId="3" borderId="0" xfId="2" applyNumberFormat="1" applyFont="1" applyFill="1" applyBorder="1" applyAlignment="1">
      <alignment horizontal="right"/>
    </xf>
    <xf numFmtId="38" fontId="10" fillId="3" borderId="0" xfId="2" applyNumberFormat="1" applyFont="1" applyFill="1" applyBorder="1" applyAlignment="1">
      <alignment horizontal="right"/>
    </xf>
    <xf numFmtId="9" fontId="13" fillId="3" borderId="0" xfId="2" applyNumberFormat="1" applyFont="1" applyFill="1" applyAlignment="1">
      <alignment horizontal="center"/>
    </xf>
    <xf numFmtId="186" fontId="12" fillId="3" borderId="0" xfId="10" applyNumberFormat="1" applyFont="1" applyFill="1"/>
    <xf numFmtId="186" fontId="13" fillId="3" borderId="0" xfId="10" applyNumberFormat="1" applyFont="1" applyFill="1"/>
    <xf numFmtId="1" fontId="12" fillId="3" borderId="0" xfId="2" applyNumberFormat="1" applyFont="1" applyFill="1" applyBorder="1" applyAlignment="1">
      <alignment horizontal="center"/>
    </xf>
    <xf numFmtId="179" fontId="12" fillId="3" borderId="0" xfId="10" applyFont="1" applyFill="1" applyAlignment="1">
      <alignment horizontal="center"/>
    </xf>
    <xf numFmtId="0" fontId="13" fillId="3" borderId="0" xfId="10" applyNumberFormat="1" applyFont="1" applyFill="1" applyAlignment="1">
      <alignment horizontal="center" vertical="center"/>
    </xf>
    <xf numFmtId="0" fontId="12" fillId="3" borderId="4" xfId="2" applyFont="1" applyFill="1" applyBorder="1"/>
    <xf numFmtId="183" fontId="12" fillId="3" borderId="4" xfId="2" applyNumberFormat="1" applyFont="1" applyFill="1" applyBorder="1" applyAlignment="1">
      <alignment horizontal="right"/>
    </xf>
    <xf numFmtId="10" fontId="12" fillId="3" borderId="4" xfId="10" applyNumberFormat="1" applyFont="1" applyFill="1" applyBorder="1"/>
    <xf numFmtId="0" fontId="0" fillId="0" borderId="0" xfId="2" applyFont="1" applyAlignment="1">
      <alignment horizontal="center"/>
    </xf>
    <xf numFmtId="0" fontId="0" fillId="0" borderId="12" xfId="2" applyFont="1" applyBorder="1" applyAlignment="1">
      <alignment horizontal="center"/>
    </xf>
    <xf numFmtId="0" fontId="0" fillId="0" borderId="0" xfId="2" applyFont="1" applyAlignment="1">
      <alignment horizontal="center" vertical="center" wrapText="1"/>
    </xf>
    <xf numFmtId="187" fontId="13" fillId="3" borderId="0" xfId="2" applyNumberFormat="1" applyFont="1" applyFill="1" applyAlignment="1">
      <alignment horizontal="center"/>
    </xf>
    <xf numFmtId="183" fontId="12" fillId="3" borderId="0" xfId="13" applyNumberFormat="1" applyFont="1" applyFill="1" applyBorder="1" applyAlignment="1"/>
    <xf numFmtId="9" fontId="13" fillId="3" borderId="0" xfId="10" applyNumberFormat="1" applyFont="1" applyFill="1" applyAlignment="1">
      <alignment horizontal="center" vertical="center"/>
    </xf>
    <xf numFmtId="0" fontId="18" fillId="0" borderId="0" xfId="0" applyFont="1"/>
    <xf numFmtId="9" fontId="0" fillId="0" borderId="0" xfId="13" applyFont="1"/>
    <xf numFmtId="183" fontId="13" fillId="3" borderId="0" xfId="10" applyNumberFormat="1" applyFont="1" applyFill="1" applyAlignment="1">
      <alignment horizontal="left"/>
    </xf>
    <xf numFmtId="9" fontId="12" fillId="3" borderId="0" xfId="13" applyFont="1" applyFill="1" applyBorder="1" applyAlignment="1">
      <alignment horizontal="center"/>
    </xf>
    <xf numFmtId="0" fontId="0" fillId="0" borderId="12" xfId="0" applyBorder="1"/>
    <xf numFmtId="0" fontId="18" fillId="5" borderId="12" xfId="0" applyFont="1" applyFill="1" applyBorder="1"/>
    <xf numFmtId="17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0" fontId="0" fillId="0" borderId="12" xfId="0" applyBorder="1" applyAlignment="1">
      <alignment horizontal="left"/>
    </xf>
    <xf numFmtId="4" fontId="0" fillId="0" borderId="12" xfId="0" applyNumberFormat="1" applyBorder="1"/>
    <xf numFmtId="0" fontId="18" fillId="5" borderId="12" xfId="0" applyFont="1" applyFill="1" applyBorder="1" applyAlignment="1"/>
    <xf numFmtId="0" fontId="0" fillId="5" borderId="12" xfId="0" applyFill="1" applyBorder="1"/>
    <xf numFmtId="0" fontId="18" fillId="6" borderId="13" xfId="2" applyFont="1" applyFill="1" applyBorder="1" applyAlignment="1">
      <alignment horizontal="left"/>
    </xf>
    <xf numFmtId="0" fontId="22" fillId="6" borderId="14" xfId="2" applyFont="1" applyFill="1" applyBorder="1" applyAlignment="1">
      <alignment horizontal="center"/>
    </xf>
    <xf numFmtId="0" fontId="18" fillId="6" borderId="15" xfId="2" applyFont="1" applyFill="1" applyBorder="1" applyAlignment="1">
      <alignment horizontal="left"/>
    </xf>
    <xf numFmtId="0" fontId="18" fillId="4" borderId="12" xfId="2" applyFont="1" applyFill="1" applyBorder="1" applyAlignment="1">
      <alignment horizontal="center" vertical="center" wrapText="1"/>
    </xf>
    <xf numFmtId="0" fontId="0" fillId="0" borderId="12" xfId="2" quotePrefix="1" applyFont="1" applyBorder="1" applyAlignment="1">
      <alignment horizontal="left" wrapText="1"/>
    </xf>
    <xf numFmtId="188" fontId="0" fillId="0" borderId="12" xfId="10" applyNumberFormat="1" applyFont="1" applyBorder="1" applyAlignment="1">
      <alignment horizontal="center"/>
    </xf>
    <xf numFmtId="188" fontId="22" fillId="6" borderId="14" xfId="10" applyNumberFormat="1" applyFont="1" applyFill="1" applyBorder="1" applyAlignment="1">
      <alignment horizontal="center"/>
    </xf>
    <xf numFmtId="188" fontId="22" fillId="0" borderId="12" xfId="10" applyNumberFormat="1" applyFont="1" applyBorder="1" applyAlignment="1">
      <alignment horizontal="center"/>
    </xf>
    <xf numFmtId="188" fontId="18" fillId="6" borderId="14" xfId="10" applyNumberFormat="1" applyFont="1" applyFill="1" applyBorder="1" applyAlignment="1">
      <alignment horizontal="center"/>
    </xf>
    <xf numFmtId="0" fontId="18" fillId="6" borderId="12" xfId="0" applyFont="1" applyFill="1" applyBorder="1" applyAlignment="1"/>
    <xf numFmtId="0" fontId="18" fillId="7" borderId="12" xfId="2" applyFont="1" applyFill="1" applyBorder="1" applyAlignment="1">
      <alignment horizontal="left"/>
    </xf>
    <xf numFmtId="0" fontId="22" fillId="7" borderId="12" xfId="2" applyFont="1" applyFill="1" applyBorder="1" applyAlignment="1">
      <alignment horizontal="center"/>
    </xf>
    <xf numFmtId="188" fontId="22" fillId="7" borderId="12" xfId="10" applyNumberFormat="1" applyFont="1" applyFill="1" applyBorder="1" applyAlignment="1">
      <alignment horizontal="center"/>
    </xf>
    <xf numFmtId="0" fontId="23" fillId="0" borderId="0" xfId="0" applyFont="1" applyFill="1"/>
    <xf numFmtId="179" fontId="18" fillId="6" borderId="12" xfId="10" applyFont="1" applyFill="1" applyBorder="1" applyAlignment="1"/>
    <xf numFmtId="179" fontId="18" fillId="6" borderId="12" xfId="10" applyFont="1" applyFill="1" applyBorder="1"/>
    <xf numFmtId="179" fontId="0" fillId="0" borderId="0" xfId="10" applyFont="1"/>
    <xf numFmtId="179" fontId="10" fillId="3" borderId="12" xfId="2" applyNumberFormat="1" applyFont="1" applyFill="1" applyBorder="1" applyAlignment="1">
      <alignment horizontal="right"/>
    </xf>
    <xf numFmtId="0" fontId="0" fillId="8" borderId="0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9" fontId="10" fillId="3" borderId="12" xfId="13" applyFont="1" applyFill="1" applyBorder="1" applyAlignment="1">
      <alignment horizontal="right"/>
    </xf>
    <xf numFmtId="0" fontId="25" fillId="3" borderId="0" xfId="10" applyNumberFormat="1" applyFont="1" applyFill="1" applyAlignment="1">
      <alignment horizontal="center" vertical="center"/>
    </xf>
    <xf numFmtId="9" fontId="25" fillId="3" borderId="0" xfId="10" applyNumberFormat="1" applyFont="1" applyFill="1" applyAlignment="1">
      <alignment horizontal="center" vertical="center"/>
    </xf>
    <xf numFmtId="180" fontId="13" fillId="3" borderId="1" xfId="10" applyNumberFormat="1" applyFont="1" applyFill="1" applyBorder="1" applyAlignment="1"/>
    <xf numFmtId="10" fontId="13" fillId="3" borderId="0" xfId="13" applyNumberFormat="1" applyFont="1" applyFill="1"/>
    <xf numFmtId="0" fontId="29" fillId="6" borderId="12" xfId="0" applyFont="1" applyFill="1" applyBorder="1" applyAlignment="1">
      <alignment vertical="center" wrapText="1"/>
    </xf>
    <xf numFmtId="188" fontId="18" fillId="6" borderId="12" xfId="10" applyNumberFormat="1" applyFont="1" applyFill="1" applyBorder="1" applyAlignment="1">
      <alignment horizontal="center"/>
    </xf>
    <xf numFmtId="0" fontId="30" fillId="9" borderId="12" xfId="0" applyFont="1" applyFill="1" applyBorder="1" applyAlignment="1">
      <alignment vertical="center" wrapText="1"/>
    </xf>
    <xf numFmtId="17" fontId="0" fillId="10" borderId="12" xfId="0" applyNumberFormat="1" applyFill="1" applyBorder="1" applyAlignment="1">
      <alignment horizontal="center"/>
    </xf>
    <xf numFmtId="0" fontId="0" fillId="0" borderId="0" xfId="0" applyAlignment="1"/>
    <xf numFmtId="17" fontId="0" fillId="10" borderId="12" xfId="0" applyNumberFormat="1" applyFill="1" applyBorder="1" applyAlignment="1"/>
    <xf numFmtId="0" fontId="0" fillId="8" borderId="0" xfId="0" applyFill="1" applyBorder="1" applyAlignment="1"/>
    <xf numFmtId="9" fontId="22" fillId="8" borderId="0" xfId="13" applyFont="1" applyFill="1" applyBorder="1" applyAlignment="1"/>
    <xf numFmtId="0" fontId="0" fillId="8" borderId="10" xfId="0" applyFill="1" applyBorder="1" applyAlignment="1"/>
    <xf numFmtId="0" fontId="0" fillId="8" borderId="7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82" fontId="0" fillId="0" borderId="12" xfId="11" applyFont="1" applyFill="1" applyBorder="1"/>
    <xf numFmtId="0" fontId="0" fillId="8" borderId="8" xfId="0" applyFill="1" applyBorder="1" applyAlignment="1">
      <alignment horizontal="center" vertical="center"/>
    </xf>
    <xf numFmtId="182" fontId="18" fillId="5" borderId="12" xfId="0" applyNumberFormat="1" applyFont="1" applyFill="1" applyBorder="1" applyAlignment="1"/>
    <xf numFmtId="182" fontId="18" fillId="5" borderId="12" xfId="0" applyNumberFormat="1" applyFont="1" applyFill="1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2" fontId="22" fillId="5" borderId="12" xfId="11" applyFont="1" applyFill="1" applyBorder="1" applyAlignment="1"/>
    <xf numFmtId="0" fontId="0" fillId="0" borderId="12" xfId="0" applyFill="1" applyBorder="1" applyAlignment="1"/>
    <xf numFmtId="0" fontId="0" fillId="11" borderId="12" xfId="0" applyFill="1" applyBorder="1"/>
    <xf numFmtId="0" fontId="31" fillId="12" borderId="12" xfId="0" applyFont="1" applyFill="1" applyBorder="1" applyAlignment="1">
      <alignment horizontal="justify" vertical="center"/>
    </xf>
    <xf numFmtId="0" fontId="22" fillId="12" borderId="12" xfId="2" applyFont="1" applyFill="1" applyBorder="1" applyAlignment="1">
      <alignment horizontal="center"/>
    </xf>
    <xf numFmtId="188" fontId="22" fillId="12" borderId="12" xfId="10" applyNumberFormat="1" applyFont="1" applyFill="1" applyBorder="1" applyAlignment="1">
      <alignment horizontal="center"/>
    </xf>
    <xf numFmtId="182" fontId="18" fillId="6" borderId="12" xfId="11" applyFont="1" applyFill="1" applyBorder="1"/>
    <xf numFmtId="0" fontId="0" fillId="0" borderId="12" xfId="0" applyBorder="1" applyAlignment="1">
      <alignment horizontal="center" vertical="center" wrapText="1"/>
    </xf>
    <xf numFmtId="9" fontId="0" fillId="0" borderId="12" xfId="13" applyFont="1" applyBorder="1"/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 vertical="center"/>
    </xf>
    <xf numFmtId="0" fontId="0" fillId="10" borderId="24" xfId="0" applyFill="1" applyBorder="1" applyAlignment="1"/>
    <xf numFmtId="0" fontId="0" fillId="0" borderId="25" xfId="0" applyBorder="1" applyAlignment="1">
      <alignment horizontal="center" vertical="center" wrapText="1"/>
    </xf>
    <xf numFmtId="0" fontId="0" fillId="0" borderId="25" xfId="0" applyBorder="1"/>
    <xf numFmtId="2" fontId="0" fillId="0" borderId="25" xfId="0" applyNumberFormat="1" applyBorder="1"/>
    <xf numFmtId="0" fontId="0" fillId="0" borderId="26" xfId="0" applyBorder="1"/>
    <xf numFmtId="0" fontId="0" fillId="5" borderId="14" xfId="0" applyFill="1" applyBorder="1"/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21" xfId="0" applyNumberFormat="1" applyBorder="1"/>
    <xf numFmtId="0" fontId="28" fillId="0" borderId="6" xfId="0" applyFont="1" applyBorder="1"/>
    <xf numFmtId="0" fontId="28" fillId="0" borderId="8" xfId="0" applyFont="1" applyBorder="1"/>
    <xf numFmtId="0" fontId="0" fillId="0" borderId="12" xfId="0" applyFill="1" applyBorder="1" applyAlignment="1">
      <alignment horizontal="center" vertical="center"/>
    </xf>
    <xf numFmtId="0" fontId="0" fillId="5" borderId="0" xfId="0" applyFill="1"/>
    <xf numFmtId="182" fontId="0" fillId="0" borderId="12" xfId="11" applyFont="1" applyBorder="1"/>
    <xf numFmtId="182" fontId="0" fillId="0" borderId="0" xfId="11" applyFont="1"/>
    <xf numFmtId="182" fontId="0" fillId="0" borderId="12" xfId="11" applyFont="1" applyFill="1" applyBorder="1" applyAlignment="1">
      <alignment horizontal="left"/>
    </xf>
    <xf numFmtId="182" fontId="0" fillId="0" borderId="12" xfId="11" applyFont="1" applyBorder="1" applyAlignment="1">
      <alignment horizontal="left"/>
    </xf>
    <xf numFmtId="182" fontId="18" fillId="6" borderId="12" xfId="11" applyFont="1" applyFill="1" applyBorder="1" applyAlignment="1"/>
    <xf numFmtId="4" fontId="0" fillId="5" borderId="12" xfId="0" applyNumberFormat="1" applyFill="1" applyBorder="1"/>
    <xf numFmtId="0" fontId="13" fillId="3" borderId="0" xfId="2" applyFont="1" applyFill="1" applyAlignment="1">
      <alignment horizontal="center" vertical="center"/>
    </xf>
    <xf numFmtId="1" fontId="12" fillId="3" borderId="0" xfId="2" applyNumberFormat="1" applyFont="1" applyFill="1" applyBorder="1" applyAlignment="1">
      <alignment horizontal="center" vertical="center" wrapText="1"/>
    </xf>
    <xf numFmtId="0" fontId="12" fillId="3" borderId="0" xfId="2" applyFont="1" applyFill="1" applyAlignment="1">
      <alignment horizontal="center" vertical="center" wrapText="1"/>
    </xf>
    <xf numFmtId="179" fontId="12" fillId="3" borderId="0" xfId="10" applyFont="1" applyFill="1" applyAlignment="1">
      <alignment horizontal="center" vertical="center"/>
    </xf>
    <xf numFmtId="179" fontId="13" fillId="3" borderId="0" xfId="10" applyFont="1" applyFill="1" applyAlignment="1">
      <alignment horizontal="center" vertical="center"/>
    </xf>
    <xf numFmtId="1" fontId="24" fillId="3" borderId="0" xfId="2" applyNumberFormat="1" applyFont="1" applyFill="1" applyBorder="1" applyAlignment="1">
      <alignment horizontal="center" vertical="center" wrapText="1"/>
    </xf>
    <xf numFmtId="0" fontId="24" fillId="3" borderId="0" xfId="2" applyFont="1" applyFill="1" applyAlignment="1">
      <alignment horizontal="center" vertical="center" wrapText="1"/>
    </xf>
    <xf numFmtId="179" fontId="24" fillId="3" borderId="0" xfId="10" applyFont="1" applyFill="1" applyAlignment="1">
      <alignment horizontal="center" vertical="center"/>
    </xf>
    <xf numFmtId="179" fontId="25" fillId="3" borderId="0" xfId="10" applyFont="1" applyFill="1" applyAlignment="1">
      <alignment horizontal="center" vertical="center"/>
    </xf>
    <xf numFmtId="0" fontId="25" fillId="3" borderId="0" xfId="2" applyFont="1" applyFill="1" applyAlignment="1">
      <alignment horizontal="center" vertical="center"/>
    </xf>
    <xf numFmtId="0" fontId="25" fillId="3" borderId="0" xfId="2" applyFont="1" applyFill="1" applyAlignment="1">
      <alignment horizontal="center" vertical="center" wrapText="1"/>
    </xf>
    <xf numFmtId="186" fontId="24" fillId="3" borderId="0" xfId="10" applyNumberFormat="1" applyFont="1" applyFill="1" applyAlignment="1">
      <alignment horizontal="center" vertical="center"/>
    </xf>
    <xf numFmtId="186" fontId="25" fillId="3" borderId="0" xfId="10" applyNumberFormat="1" applyFont="1" applyFill="1" applyAlignment="1">
      <alignment horizontal="center" vertical="center"/>
    </xf>
    <xf numFmtId="1" fontId="13" fillId="3" borderId="0" xfId="2" applyNumberFormat="1" applyFont="1" applyFill="1" applyBorder="1" applyAlignment="1">
      <alignment horizontal="center" vertical="center"/>
    </xf>
    <xf numFmtId="1" fontId="24" fillId="3" borderId="0" xfId="10" applyNumberFormat="1" applyFont="1" applyFill="1" applyBorder="1" applyAlignment="1">
      <alignment horizontal="center" vertical="center" wrapText="1"/>
    </xf>
    <xf numFmtId="0" fontId="24" fillId="3" borderId="1" xfId="2" applyFont="1" applyFill="1" applyBorder="1" applyAlignment="1">
      <alignment horizontal="center" vertical="center" wrapText="1"/>
    </xf>
    <xf numFmtId="180" fontId="25" fillId="3" borderId="1" xfId="2" applyNumberFormat="1" applyFont="1" applyFill="1" applyBorder="1" applyAlignment="1">
      <alignment horizontal="center" vertical="center" wrapText="1"/>
    </xf>
    <xf numFmtId="180" fontId="25" fillId="3" borderId="1" xfId="10" applyNumberFormat="1" applyFont="1" applyFill="1" applyBorder="1" applyAlignment="1">
      <alignment horizontal="center" vertical="center" wrapText="1"/>
    </xf>
    <xf numFmtId="180" fontId="24" fillId="3" borderId="1" xfId="10" applyNumberFormat="1" applyFont="1" applyFill="1" applyBorder="1" applyAlignment="1">
      <alignment horizontal="center" vertical="center" wrapText="1"/>
    </xf>
    <xf numFmtId="0" fontId="12" fillId="3" borderId="0" xfId="2" applyFont="1" applyFill="1" applyAlignment="1">
      <alignment horizontal="center" vertical="center"/>
    </xf>
    <xf numFmtId="180" fontId="25" fillId="3" borderId="0" xfId="10" applyNumberFormat="1" applyFont="1" applyFill="1" applyAlignment="1">
      <alignment horizontal="center" vertical="center" wrapText="1"/>
    </xf>
    <xf numFmtId="180" fontId="24" fillId="3" borderId="0" xfId="10" applyNumberFormat="1" applyFont="1" applyFill="1" applyAlignment="1">
      <alignment horizontal="center" vertical="center" wrapText="1"/>
    </xf>
    <xf numFmtId="180" fontId="25" fillId="3" borderId="0" xfId="2" applyNumberFormat="1" applyFont="1" applyFill="1" applyAlignment="1">
      <alignment horizontal="center" vertical="center" wrapText="1"/>
    </xf>
    <xf numFmtId="0" fontId="17" fillId="3" borderId="0" xfId="2" applyFont="1" applyFill="1" applyAlignment="1">
      <alignment horizontal="center" vertical="center"/>
    </xf>
    <xf numFmtId="9" fontId="24" fillId="3" borderId="0" xfId="2" applyNumberFormat="1" applyFont="1" applyFill="1" applyBorder="1" applyAlignment="1">
      <alignment horizontal="center" vertical="center" wrapText="1"/>
    </xf>
    <xf numFmtId="9" fontId="24" fillId="3" borderId="1" xfId="2" applyNumberFormat="1" applyFont="1" applyFill="1" applyBorder="1" applyAlignment="1">
      <alignment horizontal="center" vertical="center" wrapText="1"/>
    </xf>
    <xf numFmtId="185" fontId="24" fillId="3" borderId="1" xfId="10" applyNumberFormat="1" applyFont="1" applyFill="1" applyBorder="1" applyAlignment="1">
      <alignment horizontal="center" vertical="center" wrapText="1"/>
    </xf>
    <xf numFmtId="0" fontId="25" fillId="3" borderId="1" xfId="2" applyFont="1" applyFill="1" applyBorder="1" applyAlignment="1">
      <alignment horizontal="center" vertical="center" wrapText="1"/>
    </xf>
    <xf numFmtId="9" fontId="25" fillId="3" borderId="0" xfId="2" applyNumberFormat="1" applyFont="1" applyFill="1" applyBorder="1" applyAlignment="1">
      <alignment horizontal="center" vertical="center" wrapText="1"/>
    </xf>
    <xf numFmtId="9" fontId="24" fillId="3" borderId="0" xfId="13" applyFont="1" applyFill="1" applyAlignment="1">
      <alignment horizontal="center" vertical="center" wrapText="1"/>
    </xf>
    <xf numFmtId="0" fontId="24" fillId="3" borderId="2" xfId="2" applyFont="1" applyFill="1" applyBorder="1" applyAlignment="1">
      <alignment horizontal="center" vertical="center" wrapText="1"/>
    </xf>
    <xf numFmtId="9" fontId="24" fillId="3" borderId="2" xfId="13" applyFont="1" applyFill="1" applyBorder="1" applyAlignment="1">
      <alignment horizontal="center" vertical="center" wrapText="1"/>
    </xf>
    <xf numFmtId="9" fontId="24" fillId="3" borderId="0" xfId="13" applyFont="1" applyFill="1" applyBorder="1" applyAlignment="1">
      <alignment horizontal="center" vertical="center" wrapText="1"/>
    </xf>
    <xf numFmtId="4" fontId="25" fillId="3" borderId="1" xfId="2" applyNumberFormat="1" applyFont="1" applyFill="1" applyBorder="1" applyAlignment="1">
      <alignment horizontal="center" vertical="center" wrapText="1"/>
    </xf>
    <xf numFmtId="1" fontId="24" fillId="3" borderId="0" xfId="10" applyNumberFormat="1" applyFont="1" applyFill="1" applyAlignment="1">
      <alignment horizontal="center" vertical="center" wrapText="1"/>
    </xf>
    <xf numFmtId="3" fontId="25" fillId="3" borderId="0" xfId="2" applyNumberFormat="1" applyFont="1" applyFill="1" applyAlignment="1">
      <alignment horizontal="center" vertical="center" wrapText="1"/>
    </xf>
    <xf numFmtId="3" fontId="25" fillId="3" borderId="0" xfId="10" applyNumberFormat="1" applyFont="1" applyFill="1" applyAlignment="1">
      <alignment horizontal="center" vertical="center" wrapText="1"/>
    </xf>
    <xf numFmtId="4" fontId="25" fillId="3" borderId="0" xfId="2" applyNumberFormat="1" applyFont="1" applyFill="1" applyAlignment="1">
      <alignment horizontal="center" vertical="center" wrapText="1"/>
    </xf>
    <xf numFmtId="184" fontId="24" fillId="3" borderId="1" xfId="10" applyNumberFormat="1" applyFont="1" applyFill="1" applyBorder="1" applyAlignment="1">
      <alignment horizontal="center" vertical="center" wrapText="1"/>
    </xf>
    <xf numFmtId="3" fontId="24" fillId="3" borderId="1" xfId="10" applyNumberFormat="1" applyFont="1" applyFill="1" applyBorder="1" applyAlignment="1">
      <alignment horizontal="center" vertical="center" wrapText="1"/>
    </xf>
    <xf numFmtId="184" fontId="24" fillId="3" borderId="0" xfId="10" applyNumberFormat="1" applyFont="1" applyFill="1" applyBorder="1" applyAlignment="1">
      <alignment horizontal="center" vertical="center" wrapText="1"/>
    </xf>
    <xf numFmtId="3" fontId="24" fillId="3" borderId="0" xfId="10" applyNumberFormat="1" applyFont="1" applyFill="1" applyBorder="1" applyAlignment="1">
      <alignment horizontal="center" vertical="center" wrapText="1"/>
    </xf>
    <xf numFmtId="1" fontId="25" fillId="3" borderId="0" xfId="10" applyNumberFormat="1" applyFont="1" applyFill="1" applyAlignment="1">
      <alignment horizontal="center" vertical="center" wrapText="1"/>
    </xf>
    <xf numFmtId="184" fontId="24" fillId="3" borderId="3" xfId="10" applyNumberFormat="1" applyFont="1" applyFill="1" applyBorder="1" applyAlignment="1">
      <alignment horizontal="center" vertical="center" wrapText="1"/>
    </xf>
    <xf numFmtId="3" fontId="24" fillId="3" borderId="4" xfId="10" applyNumberFormat="1" applyFont="1" applyFill="1" applyBorder="1" applyAlignment="1">
      <alignment horizontal="center" vertical="center" wrapText="1"/>
    </xf>
    <xf numFmtId="183" fontId="24" fillId="3" borderId="4" xfId="2" applyNumberFormat="1" applyFont="1" applyFill="1" applyBorder="1" applyAlignment="1">
      <alignment horizontal="center" vertical="center" wrapText="1"/>
    </xf>
    <xf numFmtId="10" fontId="24" fillId="3" borderId="5" xfId="10" applyNumberFormat="1" applyFont="1" applyFill="1" applyBorder="1" applyAlignment="1">
      <alignment horizontal="center" vertical="center" wrapText="1"/>
    </xf>
    <xf numFmtId="179" fontId="25" fillId="3" borderId="0" xfId="10" applyFont="1" applyFill="1" applyAlignment="1">
      <alignment horizontal="center" vertical="center" wrapText="1"/>
    </xf>
    <xf numFmtId="183" fontId="24" fillId="3" borderId="0" xfId="13" applyNumberFormat="1" applyFont="1" applyFill="1" applyBorder="1" applyAlignment="1">
      <alignment horizontal="center" vertical="center" wrapText="1"/>
    </xf>
    <xf numFmtId="0" fontId="24" fillId="3" borderId="6" xfId="2" applyFont="1" applyFill="1" applyBorder="1" applyAlignment="1">
      <alignment horizontal="center" vertical="center" wrapText="1"/>
    </xf>
    <xf numFmtId="10" fontId="25" fillId="3" borderId="7" xfId="2" applyNumberFormat="1" applyFont="1" applyFill="1" applyBorder="1" applyAlignment="1">
      <alignment horizontal="center" vertical="center" wrapText="1"/>
    </xf>
    <xf numFmtId="0" fontId="25" fillId="3" borderId="7" xfId="2" applyFont="1" applyFill="1" applyBorder="1" applyAlignment="1">
      <alignment horizontal="center" vertical="center" wrapText="1"/>
    </xf>
    <xf numFmtId="3" fontId="24" fillId="3" borderId="8" xfId="2" applyNumberFormat="1" applyFont="1" applyFill="1" applyBorder="1" applyAlignment="1">
      <alignment horizontal="center" vertical="center" wrapText="1"/>
    </xf>
    <xf numFmtId="185" fontId="24" fillId="3" borderId="0" xfId="2" applyNumberFormat="1" applyFont="1" applyFill="1" applyBorder="1" applyAlignment="1">
      <alignment horizontal="center" vertical="center" wrapText="1"/>
    </xf>
    <xf numFmtId="185" fontId="24" fillId="3" borderId="0" xfId="10" applyNumberFormat="1" applyFont="1" applyFill="1" applyBorder="1" applyAlignment="1">
      <alignment horizontal="center" vertical="center" wrapText="1"/>
    </xf>
    <xf numFmtId="0" fontId="24" fillId="3" borderId="9" xfId="2" applyFont="1" applyFill="1" applyBorder="1" applyAlignment="1">
      <alignment horizontal="center" vertical="center" wrapText="1"/>
    </xf>
    <xf numFmtId="10" fontId="24" fillId="3" borderId="10" xfId="2" applyNumberFormat="1" applyFont="1" applyFill="1" applyBorder="1" applyAlignment="1">
      <alignment horizontal="center" vertical="center" wrapText="1"/>
    </xf>
    <xf numFmtId="10" fontId="24" fillId="3" borderId="10" xfId="13" applyNumberFormat="1" applyFont="1" applyFill="1" applyBorder="1" applyAlignment="1">
      <alignment horizontal="center" vertical="center" wrapText="1"/>
    </xf>
    <xf numFmtId="9" fontId="24" fillId="3" borderId="10" xfId="13" applyFont="1" applyFill="1" applyBorder="1" applyAlignment="1">
      <alignment horizontal="center" vertical="center" wrapText="1"/>
    </xf>
    <xf numFmtId="183" fontId="24" fillId="3" borderId="11" xfId="13" applyNumberFormat="1" applyFont="1" applyFill="1" applyBorder="1" applyAlignment="1">
      <alignment horizontal="center" vertical="center" wrapText="1"/>
    </xf>
    <xf numFmtId="183" fontId="25" fillId="3" borderId="0" xfId="10" applyNumberFormat="1" applyFont="1" applyFill="1" applyAlignment="1">
      <alignment horizontal="center" vertical="center" wrapText="1"/>
    </xf>
    <xf numFmtId="0" fontId="24" fillId="3" borderId="0" xfId="2" applyFont="1" applyFill="1" applyBorder="1" applyAlignment="1">
      <alignment horizontal="center" vertical="center" wrapText="1"/>
    </xf>
    <xf numFmtId="183" fontId="24" fillId="3" borderId="0" xfId="2" applyNumberFormat="1" applyFont="1" applyFill="1" applyBorder="1" applyAlignment="1">
      <alignment horizontal="center" vertical="center" wrapText="1"/>
    </xf>
    <xf numFmtId="10" fontId="24" fillId="3" borderId="0" xfId="10" applyNumberFormat="1" applyFont="1" applyFill="1" applyBorder="1" applyAlignment="1">
      <alignment horizontal="center" vertical="center" wrapText="1"/>
    </xf>
    <xf numFmtId="3" fontId="24" fillId="3" borderId="0" xfId="2" applyNumberFormat="1" applyFont="1" applyFill="1" applyBorder="1" applyAlignment="1">
      <alignment horizontal="center" vertical="center" wrapText="1"/>
    </xf>
    <xf numFmtId="0" fontId="24" fillId="3" borderId="3" xfId="2" applyFont="1" applyFill="1" applyBorder="1" applyAlignment="1">
      <alignment horizontal="center" vertical="center" wrapText="1"/>
    </xf>
    <xf numFmtId="0" fontId="24" fillId="3" borderId="4" xfId="2" applyFont="1" applyFill="1" applyBorder="1" applyAlignment="1">
      <alignment horizontal="center" vertical="center" wrapText="1"/>
    </xf>
    <xf numFmtId="10" fontId="24" fillId="3" borderId="4" xfId="10" applyNumberFormat="1" applyFont="1" applyFill="1" applyBorder="1" applyAlignment="1">
      <alignment horizontal="center" vertical="center" wrapText="1"/>
    </xf>
    <xf numFmtId="3" fontId="24" fillId="3" borderId="5" xfId="2" applyNumberFormat="1" applyFont="1" applyFill="1" applyBorder="1" applyAlignment="1">
      <alignment horizontal="center" vertical="center" wrapText="1"/>
    </xf>
    <xf numFmtId="0" fontId="25" fillId="3" borderId="4" xfId="2" applyFont="1" applyFill="1" applyBorder="1" applyAlignment="1">
      <alignment horizontal="center" vertical="center" wrapText="1"/>
    </xf>
    <xf numFmtId="179" fontId="25" fillId="3" borderId="4" xfId="10" applyFont="1" applyFill="1" applyBorder="1" applyAlignment="1">
      <alignment horizontal="center" vertical="center" wrapText="1"/>
    </xf>
    <xf numFmtId="0" fontId="25" fillId="3" borderId="0" xfId="2" applyFont="1" applyFill="1" applyBorder="1" applyAlignment="1">
      <alignment horizontal="center" vertical="center" wrapText="1"/>
    </xf>
    <xf numFmtId="0" fontId="26" fillId="3" borderId="0" xfId="2" applyFont="1" applyFill="1" applyBorder="1" applyAlignment="1">
      <alignment horizontal="center" vertical="center" wrapText="1"/>
    </xf>
    <xf numFmtId="179" fontId="25" fillId="3" borderId="0" xfId="10" applyFont="1" applyFill="1" applyBorder="1" applyAlignment="1">
      <alignment horizontal="center" vertical="center" wrapText="1"/>
    </xf>
    <xf numFmtId="0" fontId="9" fillId="3" borderId="0" xfId="2" applyFont="1" applyFill="1" applyBorder="1" applyAlignment="1">
      <alignment horizontal="center" vertical="center"/>
    </xf>
    <xf numFmtId="3" fontId="24" fillId="3" borderId="1" xfId="2" applyNumberFormat="1" applyFont="1" applyFill="1" applyBorder="1" applyAlignment="1">
      <alignment horizontal="center" vertical="center" wrapText="1"/>
    </xf>
    <xf numFmtId="1" fontId="24" fillId="3" borderId="1" xfId="10" applyNumberFormat="1" applyFont="1" applyFill="1" applyBorder="1" applyAlignment="1">
      <alignment horizontal="center" vertical="center" wrapText="1"/>
    </xf>
    <xf numFmtId="1" fontId="24" fillId="3" borderId="1" xfId="2" applyNumberFormat="1" applyFont="1" applyFill="1" applyBorder="1" applyAlignment="1">
      <alignment horizontal="center" vertical="center" wrapText="1"/>
    </xf>
    <xf numFmtId="3" fontId="25" fillId="3" borderId="0" xfId="2" applyNumberFormat="1" applyFont="1" applyFill="1" applyBorder="1" applyAlignment="1">
      <alignment horizontal="center" vertical="center" wrapText="1"/>
    </xf>
    <xf numFmtId="3" fontId="26" fillId="3" borderId="0" xfId="2" applyNumberFormat="1" applyFont="1" applyFill="1" applyBorder="1" applyAlignment="1">
      <alignment horizontal="center" vertical="center" wrapText="1"/>
    </xf>
    <xf numFmtId="3" fontId="25" fillId="3" borderId="0" xfId="10" applyNumberFormat="1" applyFont="1" applyFill="1" applyBorder="1" applyAlignment="1">
      <alignment horizontal="center" vertical="center" wrapText="1"/>
    </xf>
    <xf numFmtId="3" fontId="9" fillId="3" borderId="0" xfId="2" applyNumberFormat="1" applyFont="1" applyFill="1" applyBorder="1" applyAlignment="1">
      <alignment horizontal="center" vertical="center"/>
    </xf>
    <xf numFmtId="3" fontId="26" fillId="3" borderId="1" xfId="2" applyNumberFormat="1" applyFont="1" applyFill="1" applyBorder="1" applyAlignment="1">
      <alignment horizontal="center" vertical="center" wrapText="1"/>
    </xf>
    <xf numFmtId="3" fontId="26" fillId="3" borderId="1" xfId="10" applyNumberFormat="1" applyFont="1" applyFill="1" applyBorder="1" applyAlignment="1">
      <alignment horizontal="center" vertical="center" wrapText="1"/>
    </xf>
    <xf numFmtId="0" fontId="14" fillId="3" borderId="0" xfId="2" applyFont="1" applyFill="1" applyBorder="1" applyAlignment="1">
      <alignment horizontal="center" vertical="center"/>
    </xf>
    <xf numFmtId="3" fontId="9" fillId="3" borderId="0" xfId="2" applyNumberFormat="1" applyFont="1" applyFill="1" applyBorder="1" applyAlignment="1">
      <alignment horizontal="center" vertical="center" wrapText="1"/>
    </xf>
    <xf numFmtId="3" fontId="14" fillId="3" borderId="0" xfId="2" applyNumberFormat="1" applyFont="1" applyFill="1" applyBorder="1" applyAlignment="1">
      <alignment horizontal="center" vertical="center" wrapText="1"/>
    </xf>
    <xf numFmtId="3" fontId="14" fillId="3" borderId="0" xfId="2" applyNumberFormat="1" applyFont="1" applyFill="1" applyBorder="1" applyAlignment="1">
      <alignment horizontal="center" vertical="center"/>
    </xf>
    <xf numFmtId="3" fontId="9" fillId="3" borderId="0" xfId="10" applyNumberFormat="1" applyFont="1" applyFill="1" applyBorder="1" applyAlignment="1">
      <alignment horizontal="center" vertical="center"/>
    </xf>
    <xf numFmtId="0" fontId="15" fillId="3" borderId="0" xfId="2" applyFont="1" applyFill="1" applyAlignment="1">
      <alignment horizontal="center" vertical="center" wrapText="1"/>
    </xf>
    <xf numFmtId="0" fontId="16" fillId="3" borderId="0" xfId="2" applyFont="1" applyFill="1" applyAlignment="1">
      <alignment horizontal="center" vertical="center" wrapText="1"/>
    </xf>
    <xf numFmtId="0" fontId="10" fillId="3" borderId="0" xfId="2" applyFont="1" applyFill="1" applyAlignment="1">
      <alignment horizontal="center" vertical="center" wrapText="1"/>
    </xf>
    <xf numFmtId="185" fontId="10" fillId="3" borderId="12" xfId="2" applyNumberFormat="1" applyFont="1" applyFill="1" applyBorder="1" applyAlignment="1">
      <alignment horizontal="center" vertical="center" wrapText="1"/>
    </xf>
    <xf numFmtId="179" fontId="10" fillId="3" borderId="0" xfId="10" applyFont="1" applyFill="1" applyAlignment="1">
      <alignment horizontal="center" vertical="center" wrapText="1"/>
    </xf>
    <xf numFmtId="179" fontId="10" fillId="3" borderId="12" xfId="2" applyNumberFormat="1" applyFont="1" applyFill="1" applyBorder="1" applyAlignment="1">
      <alignment horizontal="center" vertical="center" wrapText="1"/>
    </xf>
    <xf numFmtId="0" fontId="13" fillId="3" borderId="0" xfId="2" applyFont="1" applyFill="1" applyAlignment="1">
      <alignment horizontal="center" vertical="center" wrapText="1"/>
    </xf>
    <xf numFmtId="9" fontId="10" fillId="3" borderId="12" xfId="13" applyFont="1" applyFill="1" applyBorder="1" applyAlignment="1">
      <alignment horizontal="center" vertical="center" wrapText="1"/>
    </xf>
    <xf numFmtId="0" fontId="25" fillId="3" borderId="32" xfId="2" applyFont="1" applyFill="1" applyBorder="1" applyAlignment="1">
      <alignment horizontal="center" vertical="center" wrapText="1"/>
    </xf>
    <xf numFmtId="180" fontId="25" fillId="3" borderId="32" xfId="2" applyNumberFormat="1" applyFont="1" applyFill="1" applyBorder="1" applyAlignment="1">
      <alignment horizontal="center" vertical="center" wrapText="1"/>
    </xf>
    <xf numFmtId="180" fontId="25" fillId="3" borderId="32" xfId="10" applyNumberFormat="1" applyFont="1" applyFill="1" applyBorder="1" applyAlignment="1">
      <alignment horizontal="center" vertical="center" wrapText="1"/>
    </xf>
    <xf numFmtId="180" fontId="25" fillId="0" borderId="32" xfId="10" applyNumberFormat="1" applyFont="1" applyFill="1" applyBorder="1" applyAlignment="1">
      <alignment horizontal="center" vertical="center" wrapText="1"/>
    </xf>
    <xf numFmtId="9" fontId="25" fillId="3" borderId="32" xfId="2" applyNumberFormat="1" applyFont="1" applyFill="1" applyBorder="1" applyAlignment="1">
      <alignment horizontal="center" vertical="center" wrapText="1"/>
    </xf>
    <xf numFmtId="9" fontId="24" fillId="4" borderId="32" xfId="13" applyFont="1" applyFill="1" applyBorder="1" applyAlignment="1">
      <alignment horizontal="center" vertical="center" wrapText="1"/>
    </xf>
    <xf numFmtId="3" fontId="25" fillId="3" borderId="32" xfId="2" applyNumberFormat="1" applyFont="1" applyFill="1" applyBorder="1" applyAlignment="1">
      <alignment horizontal="center" vertical="center" wrapText="1"/>
    </xf>
    <xf numFmtId="3" fontId="25" fillId="3" borderId="32" xfId="10" applyNumberFormat="1" applyFont="1" applyFill="1" applyBorder="1" applyAlignment="1">
      <alignment horizontal="center" vertical="center" wrapText="1"/>
    </xf>
    <xf numFmtId="187" fontId="25" fillId="3" borderId="32" xfId="2" applyNumberFormat="1" applyFont="1" applyFill="1" applyBorder="1" applyAlignment="1">
      <alignment horizontal="center" vertical="center" wrapText="1"/>
    </xf>
    <xf numFmtId="9" fontId="24" fillId="4" borderId="32" xfId="2" applyNumberFormat="1" applyFont="1" applyFill="1" applyBorder="1" applyAlignment="1">
      <alignment horizontal="center" vertical="center" wrapText="1"/>
    </xf>
    <xf numFmtId="182" fontId="0" fillId="0" borderId="12" xfId="11" applyFont="1" applyBorder="1" applyAlignment="1">
      <alignment horizontal="center"/>
    </xf>
    <xf numFmtId="0" fontId="18" fillId="5" borderId="31" xfId="0" applyFont="1" applyFill="1" applyBorder="1"/>
    <xf numFmtId="182" fontId="22" fillId="6" borderId="18" xfId="11" applyFont="1" applyFill="1" applyBorder="1"/>
    <xf numFmtId="0" fontId="0" fillId="6" borderId="12" xfId="0" applyFill="1" applyBorder="1" applyAlignment="1"/>
    <xf numFmtId="0" fontId="18" fillId="7" borderId="30" xfId="0" applyFont="1" applyFill="1" applyBorder="1" applyAlignment="1">
      <alignment horizontal="center"/>
    </xf>
    <xf numFmtId="0" fontId="18" fillId="7" borderId="12" xfId="0" applyFont="1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182" fontId="0" fillId="0" borderId="9" xfId="11" applyFont="1" applyBorder="1" applyAlignment="1">
      <alignment horizontal="center"/>
    </xf>
    <xf numFmtId="182" fontId="0" fillId="0" borderId="11" xfId="11" applyFont="1" applyBorder="1" applyAlignment="1">
      <alignment horizontal="center"/>
    </xf>
    <xf numFmtId="0" fontId="12" fillId="3" borderId="1" xfId="2" applyFont="1" applyFill="1" applyBorder="1" applyAlignment="1">
      <alignment horizontal="left"/>
    </xf>
    <xf numFmtId="0" fontId="34" fillId="0" borderId="40" xfId="0" applyFont="1" applyBorder="1"/>
    <xf numFmtId="0" fontId="34" fillId="0" borderId="41" xfId="0" applyFont="1" applyBorder="1"/>
    <xf numFmtId="182" fontId="34" fillId="0" borderId="33" xfId="11" applyFont="1" applyBorder="1"/>
    <xf numFmtId="0" fontId="34" fillId="0" borderId="36" xfId="0" applyFont="1" applyBorder="1"/>
    <xf numFmtId="170" fontId="34" fillId="0" borderId="42" xfId="0" applyNumberFormat="1" applyFont="1" applyBorder="1"/>
    <xf numFmtId="182" fontId="34" fillId="0" borderId="38" xfId="11" applyFont="1" applyBorder="1"/>
    <xf numFmtId="0" fontId="34" fillId="0" borderId="37" xfId="0" applyFont="1" applyBorder="1"/>
    <xf numFmtId="170" fontId="34" fillId="0" borderId="43" xfId="0" applyNumberFormat="1" applyFont="1" applyBorder="1"/>
    <xf numFmtId="0" fontId="33" fillId="0" borderId="0" xfId="0" applyFont="1"/>
    <xf numFmtId="9" fontId="0" fillId="5" borderId="0" xfId="13" applyFont="1" applyFill="1" applyBorder="1"/>
    <xf numFmtId="0" fontId="35" fillId="7" borderId="12" xfId="0" applyFont="1" applyFill="1" applyBorder="1" applyAlignment="1">
      <alignment horizontal="center"/>
    </xf>
    <xf numFmtId="17" fontId="33" fillId="0" borderId="12" xfId="0" applyNumberFormat="1" applyFont="1" applyBorder="1" applyAlignment="1">
      <alignment horizontal="center"/>
    </xf>
    <xf numFmtId="0" fontId="33" fillId="0" borderId="12" xfId="0" applyFont="1" applyBorder="1"/>
    <xf numFmtId="170" fontId="33" fillId="0" borderId="12" xfId="0" applyNumberFormat="1" applyFont="1" applyBorder="1"/>
    <xf numFmtId="179" fontId="35" fillId="6" borderId="12" xfId="10" applyFont="1" applyFill="1" applyBorder="1" applyAlignment="1"/>
    <xf numFmtId="179" fontId="35" fillId="6" borderId="12" xfId="10" applyFont="1" applyFill="1" applyBorder="1"/>
    <xf numFmtId="179" fontId="33" fillId="0" borderId="0" xfId="10" applyFont="1"/>
    <xf numFmtId="17" fontId="33" fillId="10" borderId="12" xfId="0" applyNumberFormat="1" applyFont="1" applyFill="1" applyBorder="1" applyAlignment="1">
      <alignment horizontal="center" vertical="center"/>
    </xf>
    <xf numFmtId="0" fontId="33" fillId="0" borderId="12" xfId="0" applyFont="1" applyFill="1" applyBorder="1" applyAlignment="1"/>
    <xf numFmtId="0" fontId="33" fillId="0" borderId="0" xfId="0" applyFont="1" applyFill="1"/>
    <xf numFmtId="0" fontId="33" fillId="0" borderId="0" xfId="0" applyFont="1" applyAlignment="1">
      <alignment horizontal="center" vertical="center"/>
    </xf>
    <xf numFmtId="43" fontId="33" fillId="0" borderId="0" xfId="0" applyNumberFormat="1" applyFont="1" applyFill="1"/>
    <xf numFmtId="0" fontId="34" fillId="7" borderId="34" xfId="0" applyFont="1" applyFill="1" applyBorder="1" applyAlignment="1">
      <alignment horizontal="center" vertical="center"/>
    </xf>
    <xf numFmtId="0" fontId="34" fillId="7" borderId="35" xfId="0" applyFont="1" applyFill="1" applyBorder="1" applyAlignment="1">
      <alignment horizontal="center" vertical="center"/>
    </xf>
    <xf numFmtId="0" fontId="34" fillId="7" borderId="35" xfId="0" applyFont="1" applyFill="1" applyBorder="1" applyAlignment="1">
      <alignment horizontal="center" vertical="center"/>
    </xf>
    <xf numFmtId="0" fontId="34" fillId="7" borderId="39" xfId="0" applyFont="1" applyFill="1" applyBorder="1" applyAlignment="1">
      <alignment horizontal="center" vertical="center"/>
    </xf>
    <xf numFmtId="0" fontId="34" fillId="7" borderId="34" xfId="0" applyFont="1" applyFill="1" applyBorder="1" applyAlignment="1">
      <alignment horizontal="center" vertical="center"/>
    </xf>
    <xf numFmtId="0" fontId="34" fillId="7" borderId="44" xfId="0" applyFont="1" applyFill="1" applyBorder="1" applyAlignment="1">
      <alignment horizontal="center" vertical="center"/>
    </xf>
    <xf numFmtId="0" fontId="32" fillId="0" borderId="36" xfId="0" applyFont="1" applyBorder="1" applyAlignment="1">
      <alignment horizontal="left" vertical="center"/>
    </xf>
    <xf numFmtId="0" fontId="32" fillId="0" borderId="33" xfId="0" applyFont="1" applyBorder="1" applyAlignment="1">
      <alignment horizontal="left" vertical="center"/>
    </xf>
    <xf numFmtId="0" fontId="32" fillId="0" borderId="37" xfId="0" applyFont="1" applyBorder="1" applyAlignment="1">
      <alignment horizontal="left" vertical="center"/>
    </xf>
    <xf numFmtId="0" fontId="32" fillId="0" borderId="38" xfId="0" applyFont="1" applyBorder="1" applyAlignment="1">
      <alignment horizontal="left" vertical="center"/>
    </xf>
    <xf numFmtId="0" fontId="36" fillId="12" borderId="0" xfId="0" applyFont="1" applyFill="1"/>
    <xf numFmtId="170" fontId="36" fillId="12" borderId="0" xfId="0" applyNumberFormat="1" applyFont="1" applyFill="1"/>
    <xf numFmtId="0" fontId="33" fillId="12" borderId="0" xfId="0" applyFont="1" applyFill="1"/>
    <xf numFmtId="43" fontId="33" fillId="0" borderId="0" xfId="0" applyNumberFormat="1" applyFont="1"/>
    <xf numFmtId="0" fontId="18" fillId="12" borderId="0" xfId="0" applyFont="1" applyFill="1"/>
    <xf numFmtId="0" fontId="0" fillId="12" borderId="0" xfId="0" applyFill="1"/>
    <xf numFmtId="0" fontId="37" fillId="12" borderId="0" xfId="0" applyFont="1" applyFill="1" applyAlignment="1">
      <alignment horizontal="left" vertical="center"/>
    </xf>
    <xf numFmtId="202" fontId="0" fillId="12" borderId="0" xfId="0" applyNumberFormat="1" applyFill="1"/>
    <xf numFmtId="10" fontId="0" fillId="0" borderId="12" xfId="13" applyNumberFormat="1" applyFont="1" applyFill="1" applyBorder="1"/>
    <xf numFmtId="182" fontId="0" fillId="6" borderId="12" xfId="11" applyFont="1" applyFill="1" applyBorder="1" applyAlignment="1"/>
    <xf numFmtId="0" fontId="0" fillId="7" borderId="2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27" fillId="12" borderId="0" xfId="0" applyFont="1" applyFill="1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/>
    <xf numFmtId="0" fontId="38" fillId="0" borderId="0" xfId="0" applyFont="1" applyAlignment="1">
      <alignment horizontal="left" vertical="center"/>
    </xf>
    <xf numFmtId="0" fontId="0" fillId="0" borderId="12" xfId="2" quotePrefix="1" applyFont="1" applyBorder="1" applyAlignment="1">
      <alignment horizontal="left"/>
    </xf>
    <xf numFmtId="0" fontId="0" fillId="12" borderId="0" xfId="2" applyFont="1" applyFill="1" applyAlignment="1">
      <alignment horizontal="center"/>
    </xf>
    <xf numFmtId="0" fontId="18" fillId="12" borderId="0" xfId="2" applyFont="1" applyFill="1" applyAlignment="1">
      <alignment horizontal="center"/>
    </xf>
    <xf numFmtId="0" fontId="0" fillId="10" borderId="45" xfId="0" applyFill="1" applyBorder="1" applyAlignment="1">
      <alignment horizontal="center"/>
    </xf>
    <xf numFmtId="0" fontId="0" fillId="10" borderId="46" xfId="0" applyFill="1" applyBorder="1" applyAlignment="1">
      <alignment horizontal="center"/>
    </xf>
    <xf numFmtId="0" fontId="0" fillId="10" borderId="47" xfId="0" applyFill="1" applyBorder="1" applyAlignment="1">
      <alignment horizontal="center"/>
    </xf>
    <xf numFmtId="182" fontId="0" fillId="5" borderId="14" xfId="11" applyFont="1" applyFill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82" fontId="0" fillId="0" borderId="19" xfId="11" applyFont="1" applyBorder="1" applyAlignment="1">
      <alignment horizontal="center"/>
    </xf>
    <xf numFmtId="182" fontId="0" fillId="0" borderId="18" xfId="11" applyFont="1" applyBorder="1" applyAlignment="1">
      <alignment horizontal="center"/>
    </xf>
    <xf numFmtId="182" fontId="0" fillId="0" borderId="20" xfId="11" applyFont="1" applyBorder="1" applyAlignment="1">
      <alignment horizontal="center"/>
    </xf>
    <xf numFmtId="182" fontId="0" fillId="0" borderId="22" xfId="11" applyFont="1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21" xfId="13" applyFont="1" applyBorder="1"/>
    <xf numFmtId="203" fontId="24" fillId="4" borderId="32" xfId="2" applyNumberFormat="1" applyFont="1" applyFill="1" applyBorder="1" applyAlignment="1">
      <alignment horizontal="center" vertical="center" wrapText="1"/>
    </xf>
    <xf numFmtId="180" fontId="13" fillId="3" borderId="0" xfId="2" applyNumberFormat="1" applyFont="1" applyFill="1" applyAlignment="1">
      <alignment horizontal="center" vertical="center"/>
    </xf>
    <xf numFmtId="10" fontId="0" fillId="0" borderId="0" xfId="0" applyNumberFormat="1"/>
    <xf numFmtId="0" fontId="0" fillId="7" borderId="0" xfId="0" applyFill="1" applyAlignment="1">
      <alignment vertical="center" wrapText="1"/>
    </xf>
    <xf numFmtId="182" fontId="0" fillId="7" borderId="0" xfId="11" applyFont="1" applyFill="1" applyBorder="1" applyAlignment="1">
      <alignment horizontal="center"/>
    </xf>
    <xf numFmtId="10" fontId="0" fillId="7" borderId="0" xfId="0" applyNumberFormat="1" applyFill="1"/>
    <xf numFmtId="0" fontId="18" fillId="12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182" fontId="0" fillId="12" borderId="0" xfId="11" applyFont="1" applyFill="1" applyBorder="1" applyAlignment="1">
      <alignment horizontal="center"/>
    </xf>
    <xf numFmtId="10" fontId="0" fillId="12" borderId="0" xfId="0" applyNumberFormat="1" applyFill="1"/>
    <xf numFmtId="0" fontId="0" fillId="12" borderId="0" xfId="0" applyFill="1" applyAlignment="1">
      <alignment vertical="center" wrapText="1"/>
    </xf>
    <xf numFmtId="2" fontId="0" fillId="12" borderId="0" xfId="0" applyNumberFormat="1" applyFill="1" applyBorder="1"/>
    <xf numFmtId="0" fontId="0" fillId="12" borderId="48" xfId="0" applyFill="1" applyBorder="1"/>
    <xf numFmtId="182" fontId="0" fillId="12" borderId="48" xfId="11" applyFont="1" applyFill="1" applyBorder="1" applyAlignment="1">
      <alignment horizontal="center"/>
    </xf>
    <xf numFmtId="10" fontId="0" fillId="12" borderId="48" xfId="0" applyNumberFormat="1" applyFill="1" applyBorder="1"/>
    <xf numFmtId="0" fontId="0" fillId="12" borderId="2" xfId="0" applyFill="1" applyBorder="1" applyAlignment="1">
      <alignment vertical="center" wrapText="1"/>
    </xf>
    <xf numFmtId="182" fontId="0" fillId="12" borderId="2" xfId="11" applyFont="1" applyFill="1" applyBorder="1" applyAlignment="1">
      <alignment horizontal="center"/>
    </xf>
    <xf numFmtId="10" fontId="0" fillId="12" borderId="2" xfId="0" applyNumberFormat="1" applyFill="1" applyBorder="1"/>
    <xf numFmtId="0" fontId="0" fillId="7" borderId="1" xfId="0" applyFill="1" applyBorder="1" applyAlignment="1">
      <alignment vertical="center" wrapText="1"/>
    </xf>
    <xf numFmtId="182" fontId="0" fillId="7" borderId="1" xfId="11" applyFont="1" applyFill="1" applyBorder="1" applyAlignment="1">
      <alignment horizontal="center"/>
    </xf>
    <xf numFmtId="10" fontId="0" fillId="7" borderId="1" xfId="0" applyNumberFormat="1" applyFill="1" applyBorder="1"/>
    <xf numFmtId="0" fontId="0" fillId="7" borderId="48" xfId="0" applyFill="1" applyBorder="1" applyAlignment="1">
      <alignment vertical="center" wrapText="1"/>
    </xf>
    <xf numFmtId="182" fontId="0" fillId="7" borderId="48" xfId="11" applyFont="1" applyFill="1" applyBorder="1" applyAlignment="1">
      <alignment horizontal="center"/>
    </xf>
    <xf numFmtId="10" fontId="0" fillId="7" borderId="48" xfId="0" applyNumberFormat="1" applyFill="1" applyBorder="1"/>
  </cellXfs>
  <cellStyles count="15">
    <cellStyle name="Body" xfId="1"/>
    <cellStyle name="Cancel" xfId="2"/>
    <cellStyle name="Comma0 - Modelo1" xfId="3"/>
    <cellStyle name="Comma0 - Style1" xfId="4"/>
    <cellStyle name="Comma1 - Modelo2" xfId="5"/>
    <cellStyle name="Comma1 - Style2" xfId="6"/>
    <cellStyle name="Diseño" xfId="7"/>
    <cellStyle name="Estilo 1" xfId="8"/>
    <cellStyle name="Formula10_azul" xfId="9"/>
    <cellStyle name="Millares" xfId="10" builtinId="3"/>
    <cellStyle name="Moneda" xfId="11" builtinId="4"/>
    <cellStyle name="no dec" xfId="12"/>
    <cellStyle name="Normal" xfId="0" builtinId="0"/>
    <cellStyle name="Porcentaje" xfId="13" builtinId="5"/>
    <cellStyle name="RM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Flujo de efectivo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Ratios!$C$11</c:f>
              <c:strCache>
                <c:ptCount val="1"/>
                <c:pt idx="0">
                  <c:v>Ingresos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Ratios!$D$11:$AP$11</c:f>
              <c:numCache>
                <c:formatCode>_(* #,##0.00_);_(* \(#,##0.00\);_(* "-"??_);_(@_)</c:formatCode>
                <c:ptCount val="39"/>
                <c:pt idx="3">
                  <c:v>4650</c:v>
                </c:pt>
                <c:pt idx="4">
                  <c:v>1989.8999999999999</c:v>
                </c:pt>
                <c:pt idx="5">
                  <c:v>3979.7999999999997</c:v>
                </c:pt>
                <c:pt idx="6">
                  <c:v>5969.7</c:v>
                </c:pt>
                <c:pt idx="7">
                  <c:v>7959.5999999999995</c:v>
                </c:pt>
                <c:pt idx="8">
                  <c:v>9949.4999999999982</c:v>
                </c:pt>
                <c:pt idx="9">
                  <c:v>11939.4</c:v>
                </c:pt>
                <c:pt idx="10">
                  <c:v>13929.3</c:v>
                </c:pt>
                <c:pt idx="11">
                  <c:v>15919.199999999999</c:v>
                </c:pt>
                <c:pt idx="12">
                  <c:v>17909.099999999999</c:v>
                </c:pt>
                <c:pt idx="13">
                  <c:v>19898.999999999996</c:v>
                </c:pt>
                <c:pt idx="14">
                  <c:v>21888.899999999998</c:v>
                </c:pt>
                <c:pt idx="15">
                  <c:v>23878.799999999999</c:v>
                </c:pt>
                <c:pt idx="16">
                  <c:v>25868.699999999997</c:v>
                </c:pt>
                <c:pt idx="17">
                  <c:v>27858.6</c:v>
                </c:pt>
                <c:pt idx="18">
                  <c:v>29848.499999999996</c:v>
                </c:pt>
                <c:pt idx="19">
                  <c:v>31838.399999999998</c:v>
                </c:pt>
                <c:pt idx="20">
                  <c:v>33828.299999999996</c:v>
                </c:pt>
                <c:pt idx="21">
                  <c:v>35818.199999999997</c:v>
                </c:pt>
                <c:pt idx="22">
                  <c:v>37808.1</c:v>
                </c:pt>
                <c:pt idx="23">
                  <c:v>39797.999999999993</c:v>
                </c:pt>
                <c:pt idx="24">
                  <c:v>41787.899999999994</c:v>
                </c:pt>
                <c:pt idx="25">
                  <c:v>43777.799999999996</c:v>
                </c:pt>
                <c:pt idx="26">
                  <c:v>45767.7</c:v>
                </c:pt>
                <c:pt idx="27">
                  <c:v>47757.599999999999</c:v>
                </c:pt>
                <c:pt idx="28">
                  <c:v>49747.499999999993</c:v>
                </c:pt>
                <c:pt idx="29">
                  <c:v>51737.399999999994</c:v>
                </c:pt>
                <c:pt idx="30">
                  <c:v>53727.299999999996</c:v>
                </c:pt>
                <c:pt idx="31">
                  <c:v>55717.2</c:v>
                </c:pt>
                <c:pt idx="32">
                  <c:v>57707.099999999991</c:v>
                </c:pt>
                <c:pt idx="33">
                  <c:v>59696.999999999993</c:v>
                </c:pt>
                <c:pt idx="34">
                  <c:v>61686.899999999994</c:v>
                </c:pt>
                <c:pt idx="35">
                  <c:v>63676.799999999996</c:v>
                </c:pt>
                <c:pt idx="36">
                  <c:v>65666.7</c:v>
                </c:pt>
                <c:pt idx="37">
                  <c:v>67656.599999999991</c:v>
                </c:pt>
                <c:pt idx="38">
                  <c:v>69646.5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7-495C-B229-31FEE485C170}"/>
            </c:ext>
          </c:extLst>
        </c:ser>
        <c:ser>
          <c:idx val="1"/>
          <c:order val="1"/>
          <c:tx>
            <c:strRef>
              <c:f>Ratios!$C$12</c:f>
              <c:strCache>
                <c:ptCount val="1"/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Ratios!$D$12:$AP$12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7-495C-B229-31FEE485C170}"/>
            </c:ext>
          </c:extLst>
        </c:ser>
        <c:ser>
          <c:idx val="2"/>
          <c:order val="2"/>
          <c:tx>
            <c:strRef>
              <c:f>Ratios!$C$13</c:f>
              <c:strCache>
                <c:ptCount val="1"/>
                <c:pt idx="0">
                  <c:v>Ingresos (servicio 1)</c:v>
                </c:pt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Ratios!$D$13:$AP$13</c:f>
              <c:numCache>
                <c:formatCode>General</c:formatCode>
                <c:ptCount val="39"/>
                <c:pt idx="3" formatCode="_(* #,##0.00_);_(* \(#,##0.00\);_(* &quot;-&quot;??_);_(@_)">
                  <c:v>4650</c:v>
                </c:pt>
                <c:pt idx="4" formatCode="_(* #,##0.00_);_(* \(#,##0.00\);_(* &quot;-&quot;??_);_(@_)">
                  <c:v>1989.8999999999999</c:v>
                </c:pt>
                <c:pt idx="5" formatCode="_(* #,##0.00_);_(* \(#,##0.00\);_(* &quot;-&quot;??_);_(@_)">
                  <c:v>3979.7999999999997</c:v>
                </c:pt>
                <c:pt idx="6" formatCode="_(* #,##0.00_);_(* \(#,##0.00\);_(* &quot;-&quot;??_);_(@_)">
                  <c:v>5969.7</c:v>
                </c:pt>
                <c:pt idx="7" formatCode="_(* #,##0.00_);_(* \(#,##0.00\);_(* &quot;-&quot;??_);_(@_)">
                  <c:v>7959.5999999999995</c:v>
                </c:pt>
                <c:pt idx="8" formatCode="_(* #,##0.00_);_(* \(#,##0.00\);_(* &quot;-&quot;??_);_(@_)">
                  <c:v>9949.4999999999982</c:v>
                </c:pt>
                <c:pt idx="9" formatCode="_(* #,##0.00_);_(* \(#,##0.00\);_(* &quot;-&quot;??_);_(@_)">
                  <c:v>11939.4</c:v>
                </c:pt>
                <c:pt idx="10" formatCode="_(* #,##0.00_);_(* \(#,##0.00\);_(* &quot;-&quot;??_);_(@_)">
                  <c:v>13929.3</c:v>
                </c:pt>
                <c:pt idx="11" formatCode="_(* #,##0.00_);_(* \(#,##0.00\);_(* &quot;-&quot;??_);_(@_)">
                  <c:v>15919.199999999999</c:v>
                </c:pt>
                <c:pt idx="12" formatCode="_(* #,##0.00_);_(* \(#,##0.00\);_(* &quot;-&quot;??_);_(@_)">
                  <c:v>17909.099999999999</c:v>
                </c:pt>
                <c:pt idx="13" formatCode="_(* #,##0.00_);_(* \(#,##0.00\);_(* &quot;-&quot;??_);_(@_)">
                  <c:v>19898.999999999996</c:v>
                </c:pt>
                <c:pt idx="14" formatCode="_(* #,##0.00_);_(* \(#,##0.00\);_(* &quot;-&quot;??_);_(@_)">
                  <c:v>21888.899999999998</c:v>
                </c:pt>
                <c:pt idx="15" formatCode="_(* #,##0.00_);_(* \(#,##0.00\);_(* &quot;-&quot;??_);_(@_)">
                  <c:v>23878.799999999999</c:v>
                </c:pt>
                <c:pt idx="16" formatCode="_(* #,##0.00_);_(* \(#,##0.00\);_(* &quot;-&quot;??_);_(@_)">
                  <c:v>25868.699999999997</c:v>
                </c:pt>
                <c:pt idx="17" formatCode="_(* #,##0.00_);_(* \(#,##0.00\);_(* &quot;-&quot;??_);_(@_)">
                  <c:v>27858.6</c:v>
                </c:pt>
                <c:pt idx="18" formatCode="_(* #,##0.00_);_(* \(#,##0.00\);_(* &quot;-&quot;??_);_(@_)">
                  <c:v>29848.499999999996</c:v>
                </c:pt>
                <c:pt idx="19" formatCode="_(* #,##0.00_);_(* \(#,##0.00\);_(* &quot;-&quot;??_);_(@_)">
                  <c:v>31838.399999999998</c:v>
                </c:pt>
                <c:pt idx="20" formatCode="_(* #,##0.00_);_(* \(#,##0.00\);_(* &quot;-&quot;??_);_(@_)">
                  <c:v>33828.299999999996</c:v>
                </c:pt>
                <c:pt idx="21" formatCode="_(* #,##0.00_);_(* \(#,##0.00\);_(* &quot;-&quot;??_);_(@_)">
                  <c:v>35818.199999999997</c:v>
                </c:pt>
                <c:pt idx="22" formatCode="_(* #,##0.00_);_(* \(#,##0.00\);_(* &quot;-&quot;??_);_(@_)">
                  <c:v>37808.1</c:v>
                </c:pt>
                <c:pt idx="23" formatCode="_(* #,##0.00_);_(* \(#,##0.00\);_(* &quot;-&quot;??_);_(@_)">
                  <c:v>39797.999999999993</c:v>
                </c:pt>
                <c:pt idx="24" formatCode="_(* #,##0.00_);_(* \(#,##0.00\);_(* &quot;-&quot;??_);_(@_)">
                  <c:v>41787.899999999994</c:v>
                </c:pt>
                <c:pt idx="25" formatCode="_(* #,##0.00_);_(* \(#,##0.00\);_(* &quot;-&quot;??_);_(@_)">
                  <c:v>43777.799999999996</c:v>
                </c:pt>
                <c:pt idx="26" formatCode="_(* #,##0.00_);_(* \(#,##0.00\);_(* &quot;-&quot;??_);_(@_)">
                  <c:v>45767.7</c:v>
                </c:pt>
                <c:pt idx="27" formatCode="_(* #,##0.00_);_(* \(#,##0.00\);_(* &quot;-&quot;??_);_(@_)">
                  <c:v>47757.599999999999</c:v>
                </c:pt>
                <c:pt idx="28" formatCode="_(* #,##0.00_);_(* \(#,##0.00\);_(* &quot;-&quot;??_);_(@_)">
                  <c:v>49747.499999999993</c:v>
                </c:pt>
                <c:pt idx="29" formatCode="_(* #,##0.00_);_(* \(#,##0.00\);_(* &quot;-&quot;??_);_(@_)">
                  <c:v>51737.399999999994</c:v>
                </c:pt>
                <c:pt idx="30" formatCode="_(* #,##0.00_);_(* \(#,##0.00\);_(* &quot;-&quot;??_);_(@_)">
                  <c:v>53727.299999999996</c:v>
                </c:pt>
                <c:pt idx="31" formatCode="_(* #,##0.00_);_(* \(#,##0.00\);_(* &quot;-&quot;??_);_(@_)">
                  <c:v>55717.2</c:v>
                </c:pt>
                <c:pt idx="32" formatCode="_(* #,##0.00_);_(* \(#,##0.00\);_(* &quot;-&quot;??_);_(@_)">
                  <c:v>57707.099999999991</c:v>
                </c:pt>
                <c:pt idx="33" formatCode="_(* #,##0.00_);_(* \(#,##0.00\);_(* &quot;-&quot;??_);_(@_)">
                  <c:v>59696.999999999993</c:v>
                </c:pt>
                <c:pt idx="34" formatCode="_(* #,##0.00_);_(* \(#,##0.00\);_(* &quot;-&quot;??_);_(@_)">
                  <c:v>61686.899999999994</c:v>
                </c:pt>
                <c:pt idx="35" formatCode="_(* #,##0.00_);_(* \(#,##0.00\);_(* &quot;-&quot;??_);_(@_)">
                  <c:v>63676.799999999996</c:v>
                </c:pt>
                <c:pt idx="36" formatCode="_(* #,##0.00_);_(* \(#,##0.00\);_(* &quot;-&quot;??_);_(@_)">
                  <c:v>65666.7</c:v>
                </c:pt>
                <c:pt idx="37" formatCode="_(* #,##0.00_);_(* \(#,##0.00\);_(* &quot;-&quot;??_);_(@_)">
                  <c:v>67656.599999999991</c:v>
                </c:pt>
                <c:pt idx="38" formatCode="_(* #,##0.00_);_(* \(#,##0.00\);_(* &quot;-&quot;??_);_(@_)">
                  <c:v>69646.5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7-495C-B229-31FEE485C170}"/>
            </c:ext>
          </c:extLst>
        </c:ser>
        <c:ser>
          <c:idx val="3"/>
          <c:order val="3"/>
          <c:tx>
            <c:strRef>
              <c:f>Ratios!$C$14</c:f>
              <c:strCache>
                <c:ptCount val="1"/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Ratios!$D$14:$AP$14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E7-495C-B229-31FEE485C170}"/>
            </c:ext>
          </c:extLst>
        </c:ser>
        <c:ser>
          <c:idx val="4"/>
          <c:order val="4"/>
          <c:tx>
            <c:strRef>
              <c:f>Ratios!$C$15</c:f>
              <c:strCache>
                <c:ptCount val="1"/>
                <c:pt idx="0">
                  <c:v>Total Costos Directos</c:v>
                </c:pt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Ratios!$D$15:$AP$15</c:f>
              <c:numCache>
                <c:formatCode>_(* #,##0.00_);_(* \(#,##0.00\);_(* "-"??_);_(@_)</c:formatCode>
                <c:ptCount val="39"/>
                <c:pt idx="2">
                  <c:v>0</c:v>
                </c:pt>
                <c:pt idx="3">
                  <c:v>27861.223569333331</c:v>
                </c:pt>
                <c:pt idx="4">
                  <c:v>26115.532944333332</c:v>
                </c:pt>
                <c:pt idx="5">
                  <c:v>27421.404819333333</c:v>
                </c:pt>
                <c:pt idx="6">
                  <c:v>28727.27669433333</c:v>
                </c:pt>
                <c:pt idx="7">
                  <c:v>30033.148569333331</c:v>
                </c:pt>
                <c:pt idx="8">
                  <c:v>31339.020444333331</c:v>
                </c:pt>
                <c:pt idx="9">
                  <c:v>32644.892319333332</c:v>
                </c:pt>
                <c:pt idx="10">
                  <c:v>33950.764194333329</c:v>
                </c:pt>
                <c:pt idx="11">
                  <c:v>35256.636069333334</c:v>
                </c:pt>
                <c:pt idx="12">
                  <c:v>36562.507944333331</c:v>
                </c:pt>
                <c:pt idx="13">
                  <c:v>37868.379819333335</c:v>
                </c:pt>
                <c:pt idx="14">
                  <c:v>39174.251694333332</c:v>
                </c:pt>
                <c:pt idx="15">
                  <c:v>40480.123569333329</c:v>
                </c:pt>
                <c:pt idx="16">
                  <c:v>41785.995444333334</c:v>
                </c:pt>
                <c:pt idx="17">
                  <c:v>43091.867319333331</c:v>
                </c:pt>
                <c:pt idx="18">
                  <c:v>44397.739194333335</c:v>
                </c:pt>
                <c:pt idx="19">
                  <c:v>45703.611069333332</c:v>
                </c:pt>
                <c:pt idx="20">
                  <c:v>47009.482944333329</c:v>
                </c:pt>
                <c:pt idx="21">
                  <c:v>48315.354819333334</c:v>
                </c:pt>
                <c:pt idx="22">
                  <c:v>49621.226694333331</c:v>
                </c:pt>
                <c:pt idx="23">
                  <c:v>50927.09856933332</c:v>
                </c:pt>
                <c:pt idx="24">
                  <c:v>52232.970444333332</c:v>
                </c:pt>
                <c:pt idx="25">
                  <c:v>53538.842319333329</c:v>
                </c:pt>
                <c:pt idx="26">
                  <c:v>54844.714194333334</c:v>
                </c:pt>
                <c:pt idx="27">
                  <c:v>56150.586069333331</c:v>
                </c:pt>
                <c:pt idx="28">
                  <c:v>57456.45794433332</c:v>
                </c:pt>
                <c:pt idx="29">
                  <c:v>58762.329819333332</c:v>
                </c:pt>
                <c:pt idx="30">
                  <c:v>60068.201694333322</c:v>
                </c:pt>
                <c:pt idx="31">
                  <c:v>61374.073569333326</c:v>
                </c:pt>
                <c:pt idx="32">
                  <c:v>62679.945444333323</c:v>
                </c:pt>
                <c:pt idx="33">
                  <c:v>63985.81731933332</c:v>
                </c:pt>
                <c:pt idx="34">
                  <c:v>65291.689194333325</c:v>
                </c:pt>
                <c:pt idx="35">
                  <c:v>66597.561069333329</c:v>
                </c:pt>
                <c:pt idx="36">
                  <c:v>67903.432944333326</c:v>
                </c:pt>
                <c:pt idx="37">
                  <c:v>69209.304819333323</c:v>
                </c:pt>
                <c:pt idx="38">
                  <c:v>70515.176694333335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E7-495C-B229-31FEE485C170}"/>
            </c:ext>
          </c:extLst>
        </c:ser>
        <c:ser>
          <c:idx val="5"/>
          <c:order val="5"/>
          <c:tx>
            <c:strRef>
              <c:f>Ratios!$C$16</c:f>
              <c:strCache>
                <c:ptCount val="1"/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Ratios!$D$16:$AP$16</c:f>
              <c:numCache>
                <c:formatCode>_(* #,##0.00_);_(* \(#,##0.00\);_(* "-"??_);_(@_)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E7-495C-B229-31FEE485C170}"/>
            </c:ext>
          </c:extLst>
        </c:ser>
        <c:ser>
          <c:idx val="6"/>
          <c:order val="6"/>
          <c:tx>
            <c:strRef>
              <c:f>Ratios!$C$17</c:f>
              <c:strCache>
                <c:ptCount val="1"/>
                <c:pt idx="0">
                  <c:v>Costos Marketing y Ventas</c:v>
                </c:pt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Ratios!$D$17:$AP$17</c:f>
              <c:numCache>
                <c:formatCode>_(* #,##0.00_);_(* \(#,##0.00\);_(* "-"??_);_(@_)</c:formatCode>
                <c:ptCount val="39"/>
                <c:pt idx="3">
                  <c:v>2850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2850</c:v>
                </c:pt>
                <c:pt idx="8">
                  <c:v>2850</c:v>
                </c:pt>
                <c:pt idx="9">
                  <c:v>2850</c:v>
                </c:pt>
                <c:pt idx="10">
                  <c:v>2850</c:v>
                </c:pt>
                <c:pt idx="11">
                  <c:v>2850</c:v>
                </c:pt>
                <c:pt idx="12">
                  <c:v>2850</c:v>
                </c:pt>
                <c:pt idx="13">
                  <c:v>2850</c:v>
                </c:pt>
                <c:pt idx="14">
                  <c:v>2850</c:v>
                </c:pt>
                <c:pt idx="15">
                  <c:v>2850</c:v>
                </c:pt>
                <c:pt idx="16">
                  <c:v>2850</c:v>
                </c:pt>
                <c:pt idx="17">
                  <c:v>2850</c:v>
                </c:pt>
                <c:pt idx="18">
                  <c:v>2850</c:v>
                </c:pt>
                <c:pt idx="19">
                  <c:v>2850</c:v>
                </c:pt>
                <c:pt idx="20">
                  <c:v>2850</c:v>
                </c:pt>
                <c:pt idx="21">
                  <c:v>2850</c:v>
                </c:pt>
                <c:pt idx="22">
                  <c:v>2850</c:v>
                </c:pt>
                <c:pt idx="23">
                  <c:v>2850</c:v>
                </c:pt>
                <c:pt idx="24">
                  <c:v>2850</c:v>
                </c:pt>
                <c:pt idx="25">
                  <c:v>2850</c:v>
                </c:pt>
                <c:pt idx="26">
                  <c:v>2850</c:v>
                </c:pt>
                <c:pt idx="27">
                  <c:v>2850</c:v>
                </c:pt>
                <c:pt idx="28">
                  <c:v>2850</c:v>
                </c:pt>
                <c:pt idx="29">
                  <c:v>2850</c:v>
                </c:pt>
                <c:pt idx="30">
                  <c:v>2850</c:v>
                </c:pt>
                <c:pt idx="31">
                  <c:v>2850</c:v>
                </c:pt>
                <c:pt idx="32">
                  <c:v>2850</c:v>
                </c:pt>
                <c:pt idx="33">
                  <c:v>2850</c:v>
                </c:pt>
                <c:pt idx="34">
                  <c:v>2850</c:v>
                </c:pt>
                <c:pt idx="35">
                  <c:v>2850</c:v>
                </c:pt>
                <c:pt idx="36">
                  <c:v>2850</c:v>
                </c:pt>
                <c:pt idx="37">
                  <c:v>2850</c:v>
                </c:pt>
                <c:pt idx="38">
                  <c:v>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E7-495C-B229-31FEE485C170}"/>
            </c:ext>
          </c:extLst>
        </c:ser>
        <c:ser>
          <c:idx val="7"/>
          <c:order val="7"/>
          <c:tx>
            <c:strRef>
              <c:f>Ratios!$C$18</c:f>
              <c:strCache>
                <c:ptCount val="1"/>
                <c:pt idx="0">
                  <c:v>Costos Tecnología</c:v>
                </c:pt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Ratios!$D$18:$AP$18</c:f>
              <c:numCache>
                <c:formatCode>_(* #,##0.00_);_(* \(#,##0.00\);_(* "-"??_);_(@_)</c:formatCode>
                <c:ptCount val="39"/>
                <c:pt idx="3">
                  <c:v>2556.4356899999998</c:v>
                </c:pt>
                <c:pt idx="4">
                  <c:v>2556.4356899999998</c:v>
                </c:pt>
                <c:pt idx="5">
                  <c:v>2556.4356899999998</c:v>
                </c:pt>
                <c:pt idx="6">
                  <c:v>2556.4356899999998</c:v>
                </c:pt>
                <c:pt idx="7">
                  <c:v>2556.4356899999998</c:v>
                </c:pt>
                <c:pt idx="8">
                  <c:v>2556.4356899999998</c:v>
                </c:pt>
                <c:pt idx="9">
                  <c:v>2556.4356899999998</c:v>
                </c:pt>
                <c:pt idx="10">
                  <c:v>2556.4356899999998</c:v>
                </c:pt>
                <c:pt idx="11">
                  <c:v>2556.4356899999998</c:v>
                </c:pt>
                <c:pt idx="12">
                  <c:v>2556.4356899999998</c:v>
                </c:pt>
                <c:pt idx="13">
                  <c:v>2556.4356899999998</c:v>
                </c:pt>
                <c:pt idx="14">
                  <c:v>2556.4356899999998</c:v>
                </c:pt>
                <c:pt idx="15">
                  <c:v>2556.4356899999998</c:v>
                </c:pt>
                <c:pt idx="16">
                  <c:v>2556.4356899999998</c:v>
                </c:pt>
                <c:pt idx="17">
                  <c:v>2556.4356899999998</c:v>
                </c:pt>
                <c:pt idx="18">
                  <c:v>2556.4356899999998</c:v>
                </c:pt>
                <c:pt idx="19">
                  <c:v>2556.4356899999998</c:v>
                </c:pt>
                <c:pt idx="20">
                  <c:v>2556.4356899999998</c:v>
                </c:pt>
                <c:pt idx="21">
                  <c:v>2556.4356899999998</c:v>
                </c:pt>
                <c:pt idx="22">
                  <c:v>2556.4356899999998</c:v>
                </c:pt>
                <c:pt idx="23">
                  <c:v>2556.4356899999998</c:v>
                </c:pt>
                <c:pt idx="24">
                  <c:v>2556.4356899999998</c:v>
                </c:pt>
                <c:pt idx="25">
                  <c:v>2556.4356899999998</c:v>
                </c:pt>
                <c:pt idx="26">
                  <c:v>2556.4356899999998</c:v>
                </c:pt>
                <c:pt idx="27">
                  <c:v>2556.4356899999998</c:v>
                </c:pt>
                <c:pt idx="28">
                  <c:v>2556.4356899999998</c:v>
                </c:pt>
                <c:pt idx="29">
                  <c:v>2556.4356899999998</c:v>
                </c:pt>
                <c:pt idx="30">
                  <c:v>2556.4356899999998</c:v>
                </c:pt>
                <c:pt idx="31">
                  <c:v>2556.4356899999998</c:v>
                </c:pt>
                <c:pt idx="32">
                  <c:v>2556.4356899999998</c:v>
                </c:pt>
                <c:pt idx="33">
                  <c:v>2556.4356899999998</c:v>
                </c:pt>
                <c:pt idx="34">
                  <c:v>2556.4356899999998</c:v>
                </c:pt>
                <c:pt idx="35">
                  <c:v>2556.4356899999998</c:v>
                </c:pt>
                <c:pt idx="36">
                  <c:v>2556.4356899999998</c:v>
                </c:pt>
                <c:pt idx="37">
                  <c:v>2556.4356899999998</c:v>
                </c:pt>
                <c:pt idx="38">
                  <c:v>2556.4356899999998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E7-495C-B229-31FEE485C170}"/>
            </c:ext>
          </c:extLst>
        </c:ser>
        <c:ser>
          <c:idx val="8"/>
          <c:order val="8"/>
          <c:tx>
            <c:strRef>
              <c:f>Ratios!$C$19</c:f>
              <c:strCache>
                <c:ptCount val="1"/>
                <c:pt idx="0">
                  <c:v>Costos RRHH</c:v>
                </c:pt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Ratios!$D$19:$AP$19</c:f>
              <c:numCache>
                <c:formatCode>_(* #,##0.00_);_(* \(#,##0.00\);_(* "-"??_);_(@_)</c:formatCode>
                <c:ptCount val="39"/>
                <c:pt idx="3">
                  <c:v>16675</c:v>
                </c:pt>
                <c:pt idx="4">
                  <c:v>16675</c:v>
                </c:pt>
                <c:pt idx="5">
                  <c:v>16675</c:v>
                </c:pt>
                <c:pt idx="6">
                  <c:v>16675</c:v>
                </c:pt>
                <c:pt idx="7">
                  <c:v>16675</c:v>
                </c:pt>
                <c:pt idx="8">
                  <c:v>16675</c:v>
                </c:pt>
                <c:pt idx="9">
                  <c:v>16675</c:v>
                </c:pt>
                <c:pt idx="10">
                  <c:v>16675</c:v>
                </c:pt>
                <c:pt idx="11">
                  <c:v>16675</c:v>
                </c:pt>
                <c:pt idx="12">
                  <c:v>16675</c:v>
                </c:pt>
                <c:pt idx="13">
                  <c:v>16675</c:v>
                </c:pt>
                <c:pt idx="14">
                  <c:v>16675</c:v>
                </c:pt>
                <c:pt idx="15">
                  <c:v>16675</c:v>
                </c:pt>
                <c:pt idx="16">
                  <c:v>16675</c:v>
                </c:pt>
                <c:pt idx="17">
                  <c:v>16675</c:v>
                </c:pt>
                <c:pt idx="18">
                  <c:v>16675</c:v>
                </c:pt>
                <c:pt idx="19">
                  <c:v>16675</c:v>
                </c:pt>
                <c:pt idx="20">
                  <c:v>16675</c:v>
                </c:pt>
                <c:pt idx="21">
                  <c:v>16675</c:v>
                </c:pt>
                <c:pt idx="22">
                  <c:v>16675</c:v>
                </c:pt>
                <c:pt idx="23">
                  <c:v>16675</c:v>
                </c:pt>
                <c:pt idx="24">
                  <c:v>16675</c:v>
                </c:pt>
                <c:pt idx="25">
                  <c:v>16675</c:v>
                </c:pt>
                <c:pt idx="26">
                  <c:v>16675</c:v>
                </c:pt>
                <c:pt idx="27">
                  <c:v>16675</c:v>
                </c:pt>
                <c:pt idx="28">
                  <c:v>16675</c:v>
                </c:pt>
                <c:pt idx="29">
                  <c:v>16675</c:v>
                </c:pt>
                <c:pt idx="30">
                  <c:v>16675</c:v>
                </c:pt>
                <c:pt idx="31">
                  <c:v>16675</c:v>
                </c:pt>
                <c:pt idx="32">
                  <c:v>16675</c:v>
                </c:pt>
                <c:pt idx="33">
                  <c:v>16675</c:v>
                </c:pt>
                <c:pt idx="34">
                  <c:v>16675</c:v>
                </c:pt>
                <c:pt idx="35">
                  <c:v>16675</c:v>
                </c:pt>
                <c:pt idx="36">
                  <c:v>16675</c:v>
                </c:pt>
                <c:pt idx="37">
                  <c:v>16675</c:v>
                </c:pt>
                <c:pt idx="38">
                  <c:v>16675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E7-495C-B229-31FEE485C170}"/>
            </c:ext>
          </c:extLst>
        </c:ser>
        <c:ser>
          <c:idx val="9"/>
          <c:order val="9"/>
          <c:tx>
            <c:strRef>
              <c:f>Ratios!$C$20</c:f>
              <c:strCache>
                <c:ptCount val="1"/>
                <c:pt idx="0">
                  <c:v>Costos Administrativos</c:v>
                </c:pt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Ratios!$D$20:$AP$20</c:f>
              <c:numCache>
                <c:formatCode>_(* #,##0.00_);_(* \(#,##0.00\);_(* "-"??_);_(@_)</c:formatCode>
                <c:ptCount val="39"/>
                <c:pt idx="3">
                  <c:v>1630</c:v>
                </c:pt>
                <c:pt idx="4">
                  <c:v>1630</c:v>
                </c:pt>
                <c:pt idx="5">
                  <c:v>1630</c:v>
                </c:pt>
                <c:pt idx="6">
                  <c:v>1630</c:v>
                </c:pt>
                <c:pt idx="7">
                  <c:v>1630</c:v>
                </c:pt>
                <c:pt idx="8">
                  <c:v>1630</c:v>
                </c:pt>
                <c:pt idx="9">
                  <c:v>1630</c:v>
                </c:pt>
                <c:pt idx="10">
                  <c:v>1630</c:v>
                </c:pt>
                <c:pt idx="11">
                  <c:v>1630</c:v>
                </c:pt>
                <c:pt idx="12">
                  <c:v>1630</c:v>
                </c:pt>
                <c:pt idx="13">
                  <c:v>1630</c:v>
                </c:pt>
                <c:pt idx="14">
                  <c:v>1630</c:v>
                </c:pt>
                <c:pt idx="15">
                  <c:v>1630</c:v>
                </c:pt>
                <c:pt idx="16">
                  <c:v>1630</c:v>
                </c:pt>
                <c:pt idx="17">
                  <c:v>1630</c:v>
                </c:pt>
                <c:pt idx="18">
                  <c:v>1630</c:v>
                </c:pt>
                <c:pt idx="19">
                  <c:v>1630</c:v>
                </c:pt>
                <c:pt idx="20">
                  <c:v>1630</c:v>
                </c:pt>
                <c:pt idx="21">
                  <c:v>1630</c:v>
                </c:pt>
                <c:pt idx="22">
                  <c:v>1630</c:v>
                </c:pt>
                <c:pt idx="23">
                  <c:v>1630</c:v>
                </c:pt>
                <c:pt idx="24">
                  <c:v>1630</c:v>
                </c:pt>
                <c:pt idx="25">
                  <c:v>1630</c:v>
                </c:pt>
                <c:pt idx="26">
                  <c:v>1630</c:v>
                </c:pt>
                <c:pt idx="27">
                  <c:v>1630</c:v>
                </c:pt>
                <c:pt idx="28">
                  <c:v>1630</c:v>
                </c:pt>
                <c:pt idx="29">
                  <c:v>1630</c:v>
                </c:pt>
                <c:pt idx="30">
                  <c:v>1630</c:v>
                </c:pt>
                <c:pt idx="31">
                  <c:v>1630</c:v>
                </c:pt>
                <c:pt idx="32">
                  <c:v>1630</c:v>
                </c:pt>
                <c:pt idx="33">
                  <c:v>1630</c:v>
                </c:pt>
                <c:pt idx="34">
                  <c:v>1630</c:v>
                </c:pt>
                <c:pt idx="35">
                  <c:v>1630</c:v>
                </c:pt>
                <c:pt idx="36">
                  <c:v>1630</c:v>
                </c:pt>
                <c:pt idx="37">
                  <c:v>1630</c:v>
                </c:pt>
                <c:pt idx="38">
                  <c:v>1630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E7-495C-B229-31FEE485C170}"/>
            </c:ext>
          </c:extLst>
        </c:ser>
        <c:ser>
          <c:idx val="10"/>
          <c:order val="10"/>
          <c:tx>
            <c:strRef>
              <c:f>Ratios!$C$21</c:f>
              <c:strCache>
                <c:ptCount val="1"/>
                <c:pt idx="0">
                  <c:v>Costos Otros</c:v>
                </c:pt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Ratios!$D$21:$AP$21</c:f>
              <c:numCache>
                <c:formatCode>_(* #,##0.00_);_(* \(#,##0.00\);_(* "-"??_);_(@_)</c:formatCode>
                <c:ptCount val="39"/>
                <c:pt idx="3">
                  <c:v>2906.25</c:v>
                </c:pt>
                <c:pt idx="4">
                  <c:v>1243.6874999999998</c:v>
                </c:pt>
                <c:pt idx="5">
                  <c:v>2487.3749999999995</c:v>
                </c:pt>
                <c:pt idx="6">
                  <c:v>3731.0624999999995</c:v>
                </c:pt>
                <c:pt idx="7">
                  <c:v>4974.7499999999991</c:v>
                </c:pt>
                <c:pt idx="8">
                  <c:v>6218.4374999999982</c:v>
                </c:pt>
                <c:pt idx="9">
                  <c:v>7462.1249999999991</c:v>
                </c:pt>
                <c:pt idx="10">
                  <c:v>8705.8124999999982</c:v>
                </c:pt>
                <c:pt idx="11">
                  <c:v>9949.4999999999982</c:v>
                </c:pt>
                <c:pt idx="12">
                  <c:v>11193.187499999998</c:v>
                </c:pt>
                <c:pt idx="13">
                  <c:v>12436.874999999996</c:v>
                </c:pt>
                <c:pt idx="14">
                  <c:v>13680.562499999998</c:v>
                </c:pt>
                <c:pt idx="15">
                  <c:v>14924.249999999998</c:v>
                </c:pt>
                <c:pt idx="16">
                  <c:v>16167.937499999998</c:v>
                </c:pt>
                <c:pt idx="17">
                  <c:v>17411.624999999996</c:v>
                </c:pt>
                <c:pt idx="18">
                  <c:v>18655.312499999996</c:v>
                </c:pt>
                <c:pt idx="19">
                  <c:v>19898.999999999996</c:v>
                </c:pt>
                <c:pt idx="20">
                  <c:v>21142.687499999996</c:v>
                </c:pt>
                <c:pt idx="21">
                  <c:v>22386.374999999996</c:v>
                </c:pt>
                <c:pt idx="22">
                  <c:v>23630.062499999996</c:v>
                </c:pt>
                <c:pt idx="23">
                  <c:v>24873.749999999993</c:v>
                </c:pt>
                <c:pt idx="24">
                  <c:v>26117.437499999996</c:v>
                </c:pt>
                <c:pt idx="25">
                  <c:v>27361.124999999996</c:v>
                </c:pt>
                <c:pt idx="26">
                  <c:v>28604.812499999996</c:v>
                </c:pt>
                <c:pt idx="27">
                  <c:v>29848.499999999996</c:v>
                </c:pt>
                <c:pt idx="28">
                  <c:v>31092.187499999993</c:v>
                </c:pt>
                <c:pt idx="29">
                  <c:v>32335.874999999996</c:v>
                </c:pt>
                <c:pt idx="30">
                  <c:v>33579.562499999993</c:v>
                </c:pt>
                <c:pt idx="31">
                  <c:v>34823.249999999993</c:v>
                </c:pt>
                <c:pt idx="32">
                  <c:v>36066.937499999993</c:v>
                </c:pt>
                <c:pt idx="33">
                  <c:v>37310.624999999993</c:v>
                </c:pt>
                <c:pt idx="34">
                  <c:v>38554.312499999993</c:v>
                </c:pt>
                <c:pt idx="35">
                  <c:v>39797.999999999993</c:v>
                </c:pt>
                <c:pt idx="36">
                  <c:v>41041.687499999993</c:v>
                </c:pt>
                <c:pt idx="37">
                  <c:v>42285.374999999993</c:v>
                </c:pt>
                <c:pt idx="38">
                  <c:v>43529.0625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E7-495C-B229-31FEE485C170}"/>
            </c:ext>
          </c:extLst>
        </c:ser>
        <c:ser>
          <c:idx val="11"/>
          <c:order val="11"/>
          <c:tx>
            <c:strRef>
              <c:f>Ratios!$C$22</c:f>
              <c:strCache>
                <c:ptCount val="1"/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Ratios!$D$22:$AP$22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E7-495C-B229-31FEE485C170}"/>
            </c:ext>
          </c:extLst>
        </c:ser>
        <c:ser>
          <c:idx val="12"/>
          <c:order val="12"/>
          <c:tx>
            <c:strRef>
              <c:f>Ratios!$C$23</c:f>
              <c:strCache>
                <c:ptCount val="1"/>
                <c:pt idx="0">
                  <c:v>Contingencia de Costos</c:v>
                </c:pt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Ratios!$D$23:$AP$23</c:f>
              <c:numCache>
                <c:formatCode>0%</c:formatCode>
                <c:ptCount val="39"/>
                <c:pt idx="0">
                  <c:v>0.05</c:v>
                </c:pt>
                <c:pt idx="2" formatCode="_(* #,##0.00_);_(* \(#,##0.00\);_(* &quot;-&quot;??_);_(@_)">
                  <c:v>0</c:v>
                </c:pt>
                <c:pt idx="3" formatCode="_(* #,##0.00_);_(* \(#,##0.00\);_(* &quot;-&quot;??_);_(@_)">
                  <c:v>1188.3842844999999</c:v>
                </c:pt>
                <c:pt idx="4" formatCode="_(* #,##0.00_);_(* \(#,##0.00\);_(* &quot;-&quot;??_);_(@_)">
                  <c:v>1105.2561595</c:v>
                </c:pt>
                <c:pt idx="5" formatCode="_(* #,##0.00_);_(* \(#,##0.00\);_(* &quot;-&quot;??_);_(@_)">
                  <c:v>1167.4405345</c:v>
                </c:pt>
                <c:pt idx="6" formatCode="_(* #,##0.00_);_(* \(#,##0.00\);_(* &quot;-&quot;??_);_(@_)">
                  <c:v>1229.6249095000001</c:v>
                </c:pt>
                <c:pt idx="7" formatCode="_(* #,##0.00_);_(* \(#,##0.00\);_(* &quot;-&quot;??_);_(@_)">
                  <c:v>1291.8092845000001</c:v>
                </c:pt>
                <c:pt idx="8" formatCode="_(* #,##0.00_);_(* \(#,##0.00\);_(* &quot;-&quot;??_);_(@_)">
                  <c:v>1353.9936594999999</c:v>
                </c:pt>
                <c:pt idx="9" formatCode="_(* #,##0.00_);_(* \(#,##0.00\);_(* &quot;-&quot;??_);_(@_)">
                  <c:v>1416.1780345</c:v>
                </c:pt>
                <c:pt idx="10" formatCode="_(* #,##0.00_);_(* \(#,##0.00\);_(* &quot;-&quot;??_);_(@_)">
                  <c:v>1478.3624095</c:v>
                </c:pt>
                <c:pt idx="11" formatCode="_(* #,##0.00_);_(* \(#,##0.00\);_(* &quot;-&quot;??_);_(@_)">
                  <c:v>1540.5467845000001</c:v>
                </c:pt>
                <c:pt idx="12" formatCode="_(* #,##0.00_);_(* \(#,##0.00\);_(* &quot;-&quot;??_);_(@_)">
                  <c:v>1602.7311595000001</c:v>
                </c:pt>
                <c:pt idx="13" formatCode="_(* #,##0.00_);_(* \(#,##0.00\);_(* &quot;-&quot;??_);_(@_)">
                  <c:v>1664.9155344999999</c:v>
                </c:pt>
                <c:pt idx="14" formatCode="_(* #,##0.00_);_(* \(#,##0.00\);_(* &quot;-&quot;??_);_(@_)">
                  <c:v>1727.0999095</c:v>
                </c:pt>
                <c:pt idx="15" formatCode="_(* #,##0.00_);_(* \(#,##0.00\);_(* &quot;-&quot;??_);_(@_)">
                  <c:v>1789.2842845</c:v>
                </c:pt>
                <c:pt idx="16" formatCode="_(* #,##0.00_);_(* \(#,##0.00\);_(* &quot;-&quot;??_);_(@_)">
                  <c:v>1851.4686595000001</c:v>
                </c:pt>
                <c:pt idx="17" formatCode="_(* #,##0.00_);_(* \(#,##0.00\);_(* &quot;-&quot;??_);_(@_)">
                  <c:v>1913.6530345000001</c:v>
                </c:pt>
                <c:pt idx="18" formatCode="_(* #,##0.00_);_(* \(#,##0.00\);_(* &quot;-&quot;??_);_(@_)">
                  <c:v>1975.8374094999999</c:v>
                </c:pt>
                <c:pt idx="19" formatCode="_(* #,##0.00_);_(* \(#,##0.00\);_(* &quot;-&quot;??_);_(@_)">
                  <c:v>2038.0217845</c:v>
                </c:pt>
                <c:pt idx="20" formatCode="_(* #,##0.00_);_(* \(#,##0.00\);_(* &quot;-&quot;??_);_(@_)">
                  <c:v>2100.2061595</c:v>
                </c:pt>
                <c:pt idx="21" formatCode="_(* #,##0.00_);_(* \(#,##0.00\);_(* &quot;-&quot;??_);_(@_)">
                  <c:v>2162.3905344999998</c:v>
                </c:pt>
                <c:pt idx="22" formatCode="_(* #,##0.00_);_(* \(#,##0.00\);_(* &quot;-&quot;??_);_(@_)">
                  <c:v>2224.5749095000001</c:v>
                </c:pt>
                <c:pt idx="23" formatCode="_(* #,##0.00_);_(* \(#,##0.00\);_(* &quot;-&quot;??_);_(@_)">
                  <c:v>2286.7592844999995</c:v>
                </c:pt>
                <c:pt idx="24" formatCode="_(* #,##0.00_);_(* \(#,##0.00\);_(* &quot;-&quot;??_);_(@_)">
                  <c:v>2348.9436595000002</c:v>
                </c:pt>
                <c:pt idx="25" formatCode="_(* #,##0.00_);_(* \(#,##0.00\);_(* &quot;-&quot;??_);_(@_)">
                  <c:v>2411.1280345</c:v>
                </c:pt>
                <c:pt idx="26" formatCode="_(* #,##0.00_);_(* \(#,##0.00\);_(* &quot;-&quot;??_);_(@_)">
                  <c:v>2473.3124095000003</c:v>
                </c:pt>
                <c:pt idx="27" formatCode="_(* #,##0.00_);_(* \(#,##0.00\);_(* &quot;-&quot;??_);_(@_)">
                  <c:v>2535.4967845000001</c:v>
                </c:pt>
                <c:pt idx="28" formatCode="_(* #,##0.00_);_(* \(#,##0.00\);_(* &quot;-&quot;??_);_(@_)">
                  <c:v>2597.6811594999999</c:v>
                </c:pt>
                <c:pt idx="29" formatCode="_(* #,##0.00_);_(* \(#,##0.00\);_(* &quot;-&quot;??_);_(@_)">
                  <c:v>2659.8655345000002</c:v>
                </c:pt>
                <c:pt idx="30" formatCode="_(* #,##0.00_);_(* \(#,##0.00\);_(* &quot;-&quot;??_);_(@_)">
                  <c:v>2722.0499094999996</c:v>
                </c:pt>
                <c:pt idx="31" formatCode="_(* #,##0.00_);_(* \(#,##0.00\);_(* &quot;-&quot;??_);_(@_)">
                  <c:v>2784.2342844999998</c:v>
                </c:pt>
                <c:pt idx="32" formatCode="_(* #,##0.00_);_(* \(#,##0.00\);_(* &quot;-&quot;??_);_(@_)">
                  <c:v>2846.4186594999996</c:v>
                </c:pt>
                <c:pt idx="33" formatCode="_(* #,##0.00_);_(* \(#,##0.00\);_(* &quot;-&quot;??_);_(@_)">
                  <c:v>2908.6030344999999</c:v>
                </c:pt>
                <c:pt idx="34" formatCode="_(* #,##0.00_);_(* \(#,##0.00\);_(* &quot;-&quot;??_);_(@_)">
                  <c:v>2970.7874094999997</c:v>
                </c:pt>
                <c:pt idx="35" formatCode="_(* #,##0.00_);_(* \(#,##0.00\);_(* &quot;-&quot;??_);_(@_)">
                  <c:v>3032.9717844999996</c:v>
                </c:pt>
                <c:pt idx="36" formatCode="_(* #,##0.00_);_(* \(#,##0.00\);_(* &quot;-&quot;??_);_(@_)">
                  <c:v>3095.1561594999998</c:v>
                </c:pt>
                <c:pt idx="37" formatCode="_(* #,##0.00_);_(* \(#,##0.00\);_(* &quot;-&quot;??_);_(@_)">
                  <c:v>3157.3405344999996</c:v>
                </c:pt>
                <c:pt idx="38" formatCode="_(* #,##0.00_);_(* \(#,##0.00\);_(* &quot;-&quot;??_);_(@_)">
                  <c:v>3219.5249094999999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E7-495C-B229-31FEE485C170}"/>
            </c:ext>
          </c:extLst>
        </c:ser>
        <c:ser>
          <c:idx val="13"/>
          <c:order val="13"/>
          <c:tx>
            <c:strRef>
              <c:f>Ratios!$C$24</c:f>
              <c:strCache>
                <c:ptCount val="1"/>
                <c:pt idx="0">
                  <c:v>Depreciación</c:v>
                </c:pt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Ratios!$D$24:$AP$24</c:f>
              <c:numCache>
                <c:formatCode>General</c:formatCode>
                <c:ptCount val="39"/>
                <c:pt idx="3" formatCode="_(* #,##0.00_);_(* \(#,##0.00\);_(* &quot;-&quot;??_);_(@_)">
                  <c:v>55.153594833333322</c:v>
                </c:pt>
                <c:pt idx="4" formatCode="_(* #,##0.00_);_(* \(#,##0.00\);_(* &quot;-&quot;??_);_(@_)">
                  <c:v>55.153594833333322</c:v>
                </c:pt>
                <c:pt idx="5" formatCode="_(* #,##0.00_);_(* \(#,##0.00\);_(* &quot;-&quot;??_);_(@_)">
                  <c:v>55.153594833333322</c:v>
                </c:pt>
                <c:pt idx="6" formatCode="_(* #,##0.00_);_(* \(#,##0.00\);_(* &quot;-&quot;??_);_(@_)">
                  <c:v>55.153594833333322</c:v>
                </c:pt>
                <c:pt idx="7" formatCode="_(* #,##0.00_);_(* \(#,##0.00\);_(* &quot;-&quot;??_);_(@_)">
                  <c:v>55.153594833333322</c:v>
                </c:pt>
                <c:pt idx="8" formatCode="_(* #,##0.00_);_(* \(#,##0.00\);_(* &quot;-&quot;??_);_(@_)">
                  <c:v>55.153594833333322</c:v>
                </c:pt>
                <c:pt idx="9" formatCode="_(* #,##0.00_);_(* \(#,##0.00\);_(* &quot;-&quot;??_);_(@_)">
                  <c:v>55.153594833333322</c:v>
                </c:pt>
                <c:pt idx="10" formatCode="_(* #,##0.00_);_(* \(#,##0.00\);_(* &quot;-&quot;??_);_(@_)">
                  <c:v>55.153594833333322</c:v>
                </c:pt>
                <c:pt idx="11" formatCode="_(* #,##0.00_);_(* \(#,##0.00\);_(* &quot;-&quot;??_);_(@_)">
                  <c:v>55.153594833333322</c:v>
                </c:pt>
                <c:pt idx="12" formatCode="_(* #,##0.00_);_(* \(#,##0.00\);_(* &quot;-&quot;??_);_(@_)">
                  <c:v>55.153594833333322</c:v>
                </c:pt>
                <c:pt idx="13" formatCode="_(* #,##0.00_);_(* \(#,##0.00\);_(* &quot;-&quot;??_);_(@_)">
                  <c:v>55.153594833333322</c:v>
                </c:pt>
                <c:pt idx="14" formatCode="_(* #,##0.00_);_(* \(#,##0.00\);_(* &quot;-&quot;??_);_(@_)">
                  <c:v>55.153594833333322</c:v>
                </c:pt>
                <c:pt idx="15" formatCode="_(* #,##0.00_);_(* \(#,##0.00\);_(* &quot;-&quot;??_);_(@_)">
                  <c:v>55.153594833333322</c:v>
                </c:pt>
                <c:pt idx="16" formatCode="_(* #,##0.00_);_(* \(#,##0.00\);_(* &quot;-&quot;??_);_(@_)">
                  <c:v>55.153594833333322</c:v>
                </c:pt>
                <c:pt idx="17" formatCode="_(* #,##0.00_);_(* \(#,##0.00\);_(* &quot;-&quot;??_);_(@_)">
                  <c:v>55.153594833333322</c:v>
                </c:pt>
                <c:pt idx="18" formatCode="_(* #,##0.00_);_(* \(#,##0.00\);_(* &quot;-&quot;??_);_(@_)">
                  <c:v>55.153594833333322</c:v>
                </c:pt>
                <c:pt idx="19" formatCode="_(* #,##0.00_);_(* \(#,##0.00\);_(* &quot;-&quot;??_);_(@_)">
                  <c:v>55.153594833333322</c:v>
                </c:pt>
                <c:pt idx="20" formatCode="_(* #,##0.00_);_(* \(#,##0.00\);_(* &quot;-&quot;??_);_(@_)">
                  <c:v>55.153594833333322</c:v>
                </c:pt>
                <c:pt idx="21" formatCode="_(* #,##0.00_);_(* \(#,##0.00\);_(* &quot;-&quot;??_);_(@_)">
                  <c:v>55.153594833333322</c:v>
                </c:pt>
                <c:pt idx="22" formatCode="_(* #,##0.00_);_(* \(#,##0.00\);_(* &quot;-&quot;??_);_(@_)">
                  <c:v>55.153594833333322</c:v>
                </c:pt>
                <c:pt idx="23" formatCode="_(* #,##0.00_);_(* \(#,##0.00\);_(* &quot;-&quot;??_);_(@_)">
                  <c:v>55.153594833333322</c:v>
                </c:pt>
                <c:pt idx="24" formatCode="_(* #,##0.00_);_(* \(#,##0.00\);_(* &quot;-&quot;??_);_(@_)">
                  <c:v>55.153594833333322</c:v>
                </c:pt>
                <c:pt idx="25" formatCode="_(* #,##0.00_);_(* \(#,##0.00\);_(* &quot;-&quot;??_);_(@_)">
                  <c:v>55.153594833333322</c:v>
                </c:pt>
                <c:pt idx="26" formatCode="_(* #,##0.00_);_(* \(#,##0.00\);_(* &quot;-&quot;??_);_(@_)">
                  <c:v>55.153594833333322</c:v>
                </c:pt>
                <c:pt idx="27" formatCode="_(* #,##0.00_);_(* \(#,##0.00\);_(* &quot;-&quot;??_);_(@_)">
                  <c:v>55.153594833333322</c:v>
                </c:pt>
                <c:pt idx="28" formatCode="_(* #,##0.00_);_(* \(#,##0.00\);_(* &quot;-&quot;??_);_(@_)">
                  <c:v>55.153594833333322</c:v>
                </c:pt>
                <c:pt idx="29" formatCode="_(* #,##0.00_);_(* \(#,##0.00\);_(* &quot;-&quot;??_);_(@_)">
                  <c:v>55.153594833333322</c:v>
                </c:pt>
                <c:pt idx="30" formatCode="_(* #,##0.00_);_(* \(#,##0.00\);_(* &quot;-&quot;??_);_(@_)">
                  <c:v>55.153594833333322</c:v>
                </c:pt>
                <c:pt idx="31" formatCode="_(* #,##0.00_);_(* \(#,##0.00\);_(* &quot;-&quot;??_);_(@_)">
                  <c:v>55.153594833333322</c:v>
                </c:pt>
                <c:pt idx="32" formatCode="_(* #,##0.00_);_(* \(#,##0.00\);_(* &quot;-&quot;??_);_(@_)">
                  <c:v>55.153594833333322</c:v>
                </c:pt>
                <c:pt idx="33" formatCode="_(* #,##0.00_);_(* \(#,##0.00\);_(* &quot;-&quot;??_);_(@_)">
                  <c:v>55.153594833333322</c:v>
                </c:pt>
                <c:pt idx="34" formatCode="_(* #,##0.00_);_(* \(#,##0.00\);_(* &quot;-&quot;??_);_(@_)">
                  <c:v>55.153594833333322</c:v>
                </c:pt>
                <c:pt idx="35" formatCode="_(* #,##0.00_);_(* \(#,##0.00\);_(* &quot;-&quot;??_);_(@_)">
                  <c:v>55.153594833333322</c:v>
                </c:pt>
                <c:pt idx="36" formatCode="_(* #,##0.00_);_(* \(#,##0.00\);_(* &quot;-&quot;??_);_(@_)">
                  <c:v>55.153594833333322</c:v>
                </c:pt>
                <c:pt idx="37" formatCode="_(* #,##0.00_);_(* \(#,##0.00\);_(* &quot;-&quot;??_);_(@_)">
                  <c:v>55.153594833333322</c:v>
                </c:pt>
                <c:pt idx="38" formatCode="_(* #,##0.00_);_(* \(#,##0.00\);_(* &quot;-&quot;??_);_(@_)">
                  <c:v>55.153594833333322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E7-495C-B229-31FEE485C170}"/>
            </c:ext>
          </c:extLst>
        </c:ser>
        <c:ser>
          <c:idx val="14"/>
          <c:order val="14"/>
          <c:tx>
            <c:strRef>
              <c:f>Ratios!$C$25</c:f>
              <c:strCache>
                <c:ptCount val="1"/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Ratios!$D$25:$AP$25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E7-495C-B229-31FEE485C170}"/>
            </c:ext>
          </c:extLst>
        </c:ser>
        <c:ser>
          <c:idx val="15"/>
          <c:order val="15"/>
          <c:tx>
            <c:strRef>
              <c:f>Ratios!$C$26</c:f>
              <c:strCache>
                <c:ptCount val="1"/>
                <c:pt idx="0">
                  <c:v>Margen Operativo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Ratios!$D$26:$AP$26</c:f>
              <c:numCache>
                <c:formatCode>General</c:formatCode>
                <c:ptCount val="39"/>
                <c:pt idx="2" formatCode="_(* #,##0_);_(* \(#,##0\);_(* &quot;-&quot;??_);_(@_)">
                  <c:v>0</c:v>
                </c:pt>
                <c:pt idx="3" formatCode="_(* #,##0.00_);_(* \(#,##0.00\);_(* &quot;-&quot;??_);_(@_)">
                  <c:v>-23211.223569333331</c:v>
                </c:pt>
                <c:pt idx="4" formatCode="_(* #,##0.00_);_(* \(#,##0.00\);_(* &quot;-&quot;??_);_(@_)">
                  <c:v>-24125.632944333331</c:v>
                </c:pt>
                <c:pt idx="5" formatCode="_(* #,##0.00_);_(* \(#,##0.00\);_(* &quot;-&quot;??_);_(@_)">
                  <c:v>-23441.604819333334</c:v>
                </c:pt>
                <c:pt idx="6" formatCode="_(* #,##0.00_);_(* \(#,##0.00\);_(* &quot;-&quot;??_);_(@_)">
                  <c:v>-22757.576694333329</c:v>
                </c:pt>
                <c:pt idx="7" formatCode="_(* #,##0.00_);_(* \(#,##0.00\);_(* &quot;-&quot;??_);_(@_)">
                  <c:v>-22073.548569333332</c:v>
                </c:pt>
                <c:pt idx="8" formatCode="_(* #,##0.00_);_(* \(#,##0.00\);_(* &quot;-&quot;??_);_(@_)">
                  <c:v>-21389.520444333335</c:v>
                </c:pt>
                <c:pt idx="9" formatCode="_(* #,##0.00_);_(* \(#,##0.00\);_(* &quot;-&quot;??_);_(@_)">
                  <c:v>-20705.492319333331</c:v>
                </c:pt>
                <c:pt idx="10" formatCode="_(* #,##0.00_);_(* \(#,##0.00\);_(* &quot;-&quot;??_);_(@_)">
                  <c:v>-20021.46419433333</c:v>
                </c:pt>
                <c:pt idx="11" formatCode="_(* #,##0.00_);_(* \(#,##0.00\);_(* &quot;-&quot;??_);_(@_)">
                  <c:v>-19337.436069333336</c:v>
                </c:pt>
                <c:pt idx="12" formatCode="_(* #,##0.00_);_(* \(#,##0.00\);_(* &quot;-&quot;??_);_(@_)">
                  <c:v>-18653.407944333332</c:v>
                </c:pt>
                <c:pt idx="13" formatCode="_(* #,##0.00_);_(* \(#,##0.00\);_(* &quot;-&quot;??_);_(@_)">
                  <c:v>-17969.379819333339</c:v>
                </c:pt>
                <c:pt idx="14" formatCode="_(* #,##0.00_);_(* \(#,##0.00\);_(* &quot;-&quot;??_);_(@_)">
                  <c:v>-17285.351694333334</c:v>
                </c:pt>
                <c:pt idx="15" formatCode="_(* #,##0.00_);_(* \(#,##0.00\);_(* &quot;-&quot;??_);_(@_)">
                  <c:v>-16601.32356933333</c:v>
                </c:pt>
                <c:pt idx="16" formatCode="_(* #,##0.00_);_(* \(#,##0.00\);_(* &quot;-&quot;??_);_(@_)">
                  <c:v>-15917.295444333336</c:v>
                </c:pt>
                <c:pt idx="17" formatCode="_(* #,##0.00_);_(* \(#,##0.00\);_(* &quot;-&quot;??_);_(@_)">
                  <c:v>-15233.267319333332</c:v>
                </c:pt>
                <c:pt idx="18" formatCode="_(* #,##0.00_);_(* \(#,##0.00\);_(* &quot;-&quot;??_);_(@_)">
                  <c:v>-14549.239194333339</c:v>
                </c:pt>
                <c:pt idx="19" formatCode="_(* #,##0.00_);_(* \(#,##0.00\);_(* &quot;-&quot;??_);_(@_)">
                  <c:v>-13865.211069333334</c:v>
                </c:pt>
                <c:pt idx="20" formatCode="_(* #,##0.00_);_(* \(#,##0.00\);_(* &quot;-&quot;??_);_(@_)">
                  <c:v>-13181.182944333334</c:v>
                </c:pt>
                <c:pt idx="21" formatCode="_(* #,##0.00_);_(* \(#,##0.00\);_(* &quot;-&quot;??_);_(@_)">
                  <c:v>-12497.154819333336</c:v>
                </c:pt>
                <c:pt idx="22" formatCode="_(* #,##0.00_);_(* \(#,##0.00\);_(* &quot;-&quot;??_);_(@_)">
                  <c:v>-11813.126694333332</c:v>
                </c:pt>
                <c:pt idx="23" formatCode="_(* #,##0.00_);_(* \(#,##0.00\);_(* &quot;-&quot;??_);_(@_)">
                  <c:v>-11129.098569333328</c:v>
                </c:pt>
                <c:pt idx="24" formatCode="_(* #,##0.00_);_(* \(#,##0.00\);_(* &quot;-&quot;??_);_(@_)">
                  <c:v>-10445.070444333338</c:v>
                </c:pt>
                <c:pt idx="25" formatCode="_(* #,##0.00_);_(* \(#,##0.00\);_(* &quot;-&quot;??_);_(@_)">
                  <c:v>-9761.0423193333336</c:v>
                </c:pt>
                <c:pt idx="26" formatCode="_(* #,##0.00_);_(* \(#,##0.00\);_(* &quot;-&quot;??_);_(@_)">
                  <c:v>-9077.0141943333365</c:v>
                </c:pt>
                <c:pt idx="27" formatCode="_(* #,##0.00_);_(* \(#,##0.00\);_(* &quot;-&quot;??_);_(@_)">
                  <c:v>-8392.9860693333321</c:v>
                </c:pt>
                <c:pt idx="28" formatCode="_(* #,##0.00_);_(* \(#,##0.00\);_(* &quot;-&quot;??_);_(@_)">
                  <c:v>-7708.9579443333278</c:v>
                </c:pt>
                <c:pt idx="29" formatCode="_(* #,##0.00_);_(* \(#,##0.00\);_(* &quot;-&quot;??_);_(@_)">
                  <c:v>-7024.9298193333379</c:v>
                </c:pt>
                <c:pt idx="30" formatCode="_(* #,##0.00_);_(* \(#,##0.00\);_(* &quot;-&quot;??_);_(@_)">
                  <c:v>-6340.9016943333263</c:v>
                </c:pt>
                <c:pt idx="31" formatCode="_(* #,##0.00_);_(* \(#,##0.00\);_(* &quot;-&quot;??_);_(@_)">
                  <c:v>-5656.8735693333292</c:v>
                </c:pt>
                <c:pt idx="32" formatCode="_(* #,##0.00_);_(* \(#,##0.00\);_(* &quot;-&quot;??_);_(@_)">
                  <c:v>-4972.8454443333321</c:v>
                </c:pt>
                <c:pt idx="33" formatCode="_(* #,##0.00_);_(* \(#,##0.00\);_(* &quot;-&quot;??_);_(@_)">
                  <c:v>-4288.8173193333278</c:v>
                </c:pt>
                <c:pt idx="34" formatCode="_(* #,##0.00_);_(* \(#,##0.00\);_(* &quot;-&quot;??_);_(@_)">
                  <c:v>-3604.7891943333307</c:v>
                </c:pt>
                <c:pt idx="35" formatCode="_(* #,##0.00_);_(* \(#,##0.00\);_(* &quot;-&quot;??_);_(@_)">
                  <c:v>-2920.7610693333336</c:v>
                </c:pt>
                <c:pt idx="36" formatCode="_(* #,##0.00_);_(* \(#,##0.00\);_(* &quot;-&quot;??_);_(@_)">
                  <c:v>-2236.7329443333292</c:v>
                </c:pt>
                <c:pt idx="37" formatCode="_(* #,##0.00_);_(* \(#,##0.00\);_(* &quot;-&quot;??_);_(@_)">
                  <c:v>-1552.7048193333321</c:v>
                </c:pt>
                <c:pt idx="38" formatCode="_(* #,##0.00_);_(* \(#,##0.00\);_(* &quot;-&quot;??_);_(@_)">
                  <c:v>-868.67669433333504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E7-495C-B229-31FEE485C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449328"/>
        <c:axId val="1"/>
      </c:lineChart>
      <c:catAx>
        <c:axId val="8054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805449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0772515375876527E-2"/>
          <c:y val="0.88927493438320215"/>
          <c:w val="0.91201808729132749"/>
          <c:h val="8.304498396033832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67236</xdr:colOff>
      <xdr:row>15</xdr:row>
      <xdr:rowOff>56029</xdr:rowOff>
    </xdr:from>
    <xdr:to>
      <xdr:col>21</xdr:col>
      <xdr:colOff>717177</xdr:colOff>
      <xdr:row>28</xdr:row>
      <xdr:rowOff>67237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3214CD5-30CB-4423-861B-A80C367616E0}"/>
            </a:ext>
          </a:extLst>
        </xdr:cNvPr>
        <xdr:cNvSpPr/>
      </xdr:nvSpPr>
      <xdr:spPr bwMode="auto">
        <a:xfrm>
          <a:off x="10645589" y="3272117"/>
          <a:ext cx="9525000" cy="2566149"/>
        </a:xfrm>
        <a:prstGeom prst="rect">
          <a:avLst/>
        </a:prstGeom>
        <a:solidFill>
          <a:srgbClr val="FFFF00"/>
        </a:solidFill>
        <a:ln w="57150">
          <a:solidFill>
            <a:srgbClr val="FF0000"/>
          </a:solidFill>
          <a:headEnd type="none" w="med" len="med"/>
          <a:tailEnd type="none" w="med" len="med"/>
        </a:ln>
        <a:ex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marL="0" indent="0" algn="ctr"/>
          <a:r>
            <a:rPr lang="es-PE" sz="3200">
              <a:solidFill>
                <a:srgbClr val="FF0000"/>
              </a:solidFill>
              <a:latin typeface="+mn-lt"/>
              <a:ea typeface="+mn-ea"/>
              <a:cs typeface="+mn-cs"/>
            </a:rPr>
            <a:t>COLOCAR EN ESTE CUADRO TODOS LOS INGRESOS QUE SE ESTIMAN TENER A LO LARGO DE 3 AÑOS, MES A MES.</a:t>
          </a:r>
        </a:p>
      </xdr:txBody>
    </xdr:sp>
    <xdr:clientData/>
  </xdr:twoCellAnchor>
  <xdr:twoCellAnchor>
    <xdr:from>
      <xdr:col>2</xdr:col>
      <xdr:colOff>493059</xdr:colOff>
      <xdr:row>28</xdr:row>
      <xdr:rowOff>156881</xdr:rowOff>
    </xdr:from>
    <xdr:to>
      <xdr:col>5</xdr:col>
      <xdr:colOff>268940</xdr:colOff>
      <xdr:row>40</xdr:row>
      <xdr:rowOff>11204</xdr:rowOff>
    </xdr:to>
    <xdr:sp macro="" textlink="">
      <xdr:nvSpPr>
        <xdr:cNvPr id="3" name="Globo: línea doblada 2">
          <a:extLst>
            <a:ext uri="{FF2B5EF4-FFF2-40B4-BE49-F238E27FC236}">
              <a16:creationId xmlns:a16="http://schemas.microsoft.com/office/drawing/2014/main" id="{19D073EF-317E-4775-ACB3-A0A1DBBFC4B7}"/>
            </a:ext>
          </a:extLst>
        </xdr:cNvPr>
        <xdr:cNvSpPr/>
      </xdr:nvSpPr>
      <xdr:spPr bwMode="auto">
        <a:xfrm>
          <a:off x="3608294" y="5927910"/>
          <a:ext cx="2700617" cy="1736912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04274"/>
            <a:gd name="adj6" fmla="val -35878"/>
          </a:avLst>
        </a:prstGeom>
        <a:solidFill>
          <a:srgbClr val="FFFF00"/>
        </a:solidFill>
        <a:ln w="57150">
          <a:solidFill>
            <a:srgbClr val="FF0000"/>
          </a:solidFill>
          <a:headEnd type="none" w="med" len="med"/>
          <a:tailEnd type="none" w="med" len="med"/>
        </a:ln>
        <a:ex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marL="0" indent="0" algn="ctr"/>
          <a:r>
            <a:rPr lang="es-PE" sz="1400" b="1">
              <a:solidFill>
                <a:srgbClr val="FF0000"/>
              </a:solidFill>
              <a:latin typeface="+mn-lt"/>
              <a:ea typeface="+mn-ea"/>
              <a:cs typeface="+mn-cs"/>
            </a:rPr>
            <a:t>CAMBIAR EL PRECIO, SI SU PROYECTO TIENE MÁS</a:t>
          </a:r>
          <a:r>
            <a:rPr lang="es-PE" sz="14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 DE UN PRODUCTO COLOCARLO(DIFERENTES PRESENTACIONES)</a:t>
          </a:r>
          <a:endParaRPr lang="es-PE" sz="14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735105</xdr:colOff>
      <xdr:row>17</xdr:row>
      <xdr:rowOff>0</xdr:rowOff>
    </xdr:from>
    <xdr:to>
      <xdr:col>8</xdr:col>
      <xdr:colOff>510987</xdr:colOff>
      <xdr:row>27</xdr:row>
      <xdr:rowOff>62752</xdr:rowOff>
    </xdr:to>
    <xdr:sp macro="" textlink="">
      <xdr:nvSpPr>
        <xdr:cNvPr id="5" name="Globo: línea doblada 4">
          <a:extLst>
            <a:ext uri="{FF2B5EF4-FFF2-40B4-BE49-F238E27FC236}">
              <a16:creationId xmlns:a16="http://schemas.microsoft.com/office/drawing/2014/main" id="{1CB62F25-8727-4D14-938F-94F3F159D0FE}"/>
            </a:ext>
          </a:extLst>
        </xdr:cNvPr>
        <xdr:cNvSpPr/>
      </xdr:nvSpPr>
      <xdr:spPr bwMode="auto">
        <a:xfrm>
          <a:off x="6775076" y="3939987"/>
          <a:ext cx="2700617" cy="1736912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07"/>
            <a:gd name="adj6" fmla="val -94384"/>
          </a:avLst>
        </a:prstGeom>
        <a:solidFill>
          <a:srgbClr val="FFFF00"/>
        </a:solidFill>
        <a:ln w="57150">
          <a:solidFill>
            <a:srgbClr val="FF0000"/>
          </a:solidFill>
          <a:headEnd type="none" w="med" len="med"/>
          <a:tailEnd type="none" w="med" len="med"/>
        </a:ln>
        <a:ex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marL="0" indent="0" algn="ctr"/>
          <a:r>
            <a:rPr lang="es-PE" sz="1400" b="1">
              <a:solidFill>
                <a:srgbClr val="FF0000"/>
              </a:solidFill>
              <a:latin typeface="+mn-lt"/>
              <a:ea typeface="+mn-ea"/>
              <a:cs typeface="+mn-cs"/>
            </a:rPr>
            <a:t>Tasa</a:t>
          </a:r>
          <a:r>
            <a:rPr lang="es-PE" sz="14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 de crecimiento anual  15%</a:t>
          </a:r>
          <a:endParaRPr lang="es-PE" sz="14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941294</xdr:colOff>
      <xdr:row>13</xdr:row>
      <xdr:rowOff>147916</xdr:rowOff>
    </xdr:from>
    <xdr:to>
      <xdr:col>9</xdr:col>
      <xdr:colOff>347382</xdr:colOff>
      <xdr:row>17</xdr:row>
      <xdr:rowOff>0</xdr:rowOff>
    </xdr:to>
    <xdr:sp macro="" textlink="">
      <xdr:nvSpPr>
        <xdr:cNvPr id="6" name="Globo: línea doblada 5">
          <a:extLst>
            <a:ext uri="{FF2B5EF4-FFF2-40B4-BE49-F238E27FC236}">
              <a16:creationId xmlns:a16="http://schemas.microsoft.com/office/drawing/2014/main" id="{695156DF-998F-423A-8C92-6132186603A5}"/>
            </a:ext>
          </a:extLst>
        </xdr:cNvPr>
        <xdr:cNvSpPr/>
      </xdr:nvSpPr>
      <xdr:spPr bwMode="auto">
        <a:xfrm>
          <a:off x="6981265" y="3039034"/>
          <a:ext cx="3137646" cy="782171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31125"/>
            <a:gd name="adj6" fmla="val -35437"/>
          </a:avLst>
        </a:prstGeom>
        <a:solidFill>
          <a:srgbClr val="FFFF00"/>
        </a:solidFill>
        <a:ln w="57150">
          <a:solidFill>
            <a:srgbClr val="FF0000"/>
          </a:solidFill>
          <a:headEnd type="none" w="med" len="med"/>
          <a:tailEnd type="none" w="med" len="med"/>
        </a:ln>
        <a:ex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marL="0" indent="0" algn="ctr"/>
          <a:r>
            <a:rPr lang="es-PE" sz="1400" b="1">
              <a:solidFill>
                <a:srgbClr val="FF0000"/>
              </a:solidFill>
              <a:latin typeface="+mn-lt"/>
              <a:ea typeface="+mn-ea"/>
              <a:cs typeface="+mn-cs"/>
            </a:rPr>
            <a:t>Colocar</a:t>
          </a:r>
          <a:r>
            <a:rPr lang="es-PE" sz="14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 las cantidades vendidas estimadas hasta el mes de diciembre</a:t>
          </a:r>
          <a:endParaRPr lang="es-PE" sz="14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1893796</xdr:colOff>
      <xdr:row>9</xdr:row>
      <xdr:rowOff>89646</xdr:rowOff>
    </xdr:from>
    <xdr:to>
      <xdr:col>7</xdr:col>
      <xdr:colOff>392206</xdr:colOff>
      <xdr:row>13</xdr:row>
      <xdr:rowOff>100853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5338432D-1239-4CC0-B1FB-CEE26140E7C0}"/>
            </a:ext>
          </a:extLst>
        </xdr:cNvPr>
        <xdr:cNvSpPr/>
      </xdr:nvSpPr>
      <xdr:spPr bwMode="auto">
        <a:xfrm>
          <a:off x="1893796" y="1736911"/>
          <a:ext cx="5827057" cy="649942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14</xdr:row>
      <xdr:rowOff>114300</xdr:rowOff>
    </xdr:from>
    <xdr:to>
      <xdr:col>5</xdr:col>
      <xdr:colOff>628650</xdr:colOff>
      <xdr:row>21</xdr:row>
      <xdr:rowOff>0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6CCF6EB3-DD52-48E5-BDF5-B9ED81124BC7}"/>
            </a:ext>
          </a:extLst>
        </xdr:cNvPr>
        <xdr:cNvSpPr/>
      </xdr:nvSpPr>
      <xdr:spPr bwMode="auto">
        <a:xfrm>
          <a:off x="7515225" y="2286000"/>
          <a:ext cx="485775" cy="4610100"/>
        </a:xfrm>
        <a:prstGeom prst="rightBrace">
          <a:avLst/>
        </a:prstGeom>
        <a:ln w="57150">
          <a:solidFill>
            <a:srgbClr val="FF0000"/>
          </a:solidFill>
          <a:headEnd type="none" w="med" len="med"/>
          <a:tailEnd type="none" w="med" len="med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694591</xdr:colOff>
      <xdr:row>2</xdr:row>
      <xdr:rowOff>51289</xdr:rowOff>
    </xdr:from>
    <xdr:to>
      <xdr:col>11</xdr:col>
      <xdr:colOff>192610</xdr:colOff>
      <xdr:row>12</xdr:row>
      <xdr:rowOff>186535</xdr:rowOff>
    </xdr:to>
    <xdr:sp macro="" textlink="">
      <xdr:nvSpPr>
        <xdr:cNvPr id="4" name="Globo: línea doblada 3">
          <a:extLst>
            <a:ext uri="{FF2B5EF4-FFF2-40B4-BE49-F238E27FC236}">
              <a16:creationId xmlns:a16="http://schemas.microsoft.com/office/drawing/2014/main" id="{C6AB8078-4633-4F23-BDDA-30CEBEEF43B0}"/>
            </a:ext>
          </a:extLst>
        </xdr:cNvPr>
        <xdr:cNvSpPr/>
      </xdr:nvSpPr>
      <xdr:spPr bwMode="auto">
        <a:xfrm>
          <a:off x="8834803" y="402981"/>
          <a:ext cx="2546019" cy="1732516"/>
        </a:xfrm>
        <a:prstGeom prst="borderCallout2">
          <a:avLst>
            <a:gd name="adj1" fmla="val 46557"/>
            <a:gd name="adj2" fmla="val -567"/>
            <a:gd name="adj3" fmla="val 18750"/>
            <a:gd name="adj4" fmla="val -16667"/>
            <a:gd name="adj5" fmla="val -1186"/>
            <a:gd name="adj6" fmla="val -56427"/>
          </a:avLst>
        </a:prstGeom>
        <a:solidFill>
          <a:srgbClr val="FFFF00"/>
        </a:solidFill>
        <a:ln w="57150">
          <a:solidFill>
            <a:srgbClr val="FF0000"/>
          </a:solidFill>
          <a:headEnd type="none" w="med" len="med"/>
          <a:tailEnd type="none" w="med" len="med"/>
        </a:ln>
        <a:ex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marL="0" indent="0" algn="ctr"/>
          <a:r>
            <a:rPr lang="es-PE" sz="1200" b="1">
              <a:solidFill>
                <a:srgbClr val="FF0000"/>
              </a:solidFill>
              <a:latin typeface="+mn-lt"/>
              <a:ea typeface="+mn-ea"/>
              <a:cs typeface="+mn-cs"/>
            </a:rPr>
            <a:t>CAMBIAR</a:t>
          </a:r>
          <a:r>
            <a:rPr lang="es-PE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 LA PERIORICIDAD</a:t>
          </a:r>
          <a:endParaRPr lang="es-PE" sz="12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1819275</xdr:colOff>
      <xdr:row>21</xdr:row>
      <xdr:rowOff>142875</xdr:rowOff>
    </xdr:from>
    <xdr:to>
      <xdr:col>4</xdr:col>
      <xdr:colOff>193344</xdr:colOff>
      <xdr:row>32</xdr:row>
      <xdr:rowOff>94216</xdr:rowOff>
    </xdr:to>
    <xdr:sp macro="" textlink="">
      <xdr:nvSpPr>
        <xdr:cNvPr id="2" name="Globo: línea doblada 1">
          <a:extLst>
            <a:ext uri="{FF2B5EF4-FFF2-40B4-BE49-F238E27FC236}">
              <a16:creationId xmlns:a16="http://schemas.microsoft.com/office/drawing/2014/main" id="{F2F2881E-7ED3-420E-B42D-BBCEDE3907D9}"/>
            </a:ext>
          </a:extLst>
        </xdr:cNvPr>
        <xdr:cNvSpPr/>
      </xdr:nvSpPr>
      <xdr:spPr bwMode="auto">
        <a:xfrm>
          <a:off x="1819275" y="3057525"/>
          <a:ext cx="2546019" cy="1732516"/>
        </a:xfrm>
        <a:prstGeom prst="borderCallout2">
          <a:avLst>
            <a:gd name="adj1" fmla="val 46557"/>
            <a:gd name="adj2" fmla="val -567"/>
            <a:gd name="adj3" fmla="val 18750"/>
            <a:gd name="adj4" fmla="val -16667"/>
            <a:gd name="adj5" fmla="val -100189"/>
            <a:gd name="adj6" fmla="val -32829"/>
          </a:avLst>
        </a:prstGeom>
        <a:solidFill>
          <a:srgbClr val="FFFF00"/>
        </a:solidFill>
        <a:ln w="57150">
          <a:solidFill>
            <a:srgbClr val="FF0000"/>
          </a:solidFill>
          <a:headEnd type="none" w="med" len="med"/>
          <a:tailEnd type="none" w="med" len="med"/>
        </a:ln>
        <a:ex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marL="0" indent="0" algn="ctr"/>
          <a:r>
            <a:rPr lang="es-PE" sz="1200" b="1">
              <a:solidFill>
                <a:srgbClr val="FF0000"/>
              </a:solidFill>
              <a:latin typeface="+mn-lt"/>
              <a:ea typeface="+mn-ea"/>
              <a:cs typeface="+mn-cs"/>
            </a:rPr>
            <a:t>COLOCAR</a:t>
          </a:r>
          <a:r>
            <a:rPr lang="es-PE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 LOS GASTOS POSIBLES DE MARKETING, TALES COMO FACEBOOK, ANUNCIOS PUBLICITARIOS, SPOTS PUBLICITARIOS, VOLANTES, RADIO TV, FERIAS ETC.</a:t>
          </a:r>
        </a:p>
        <a:p>
          <a:pPr marL="0" indent="0" algn="ctr"/>
          <a:endParaRPr lang="es-PE" sz="12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18</xdr:row>
      <xdr:rowOff>28575</xdr:rowOff>
    </xdr:from>
    <xdr:to>
      <xdr:col>6</xdr:col>
      <xdr:colOff>298119</xdr:colOff>
      <xdr:row>28</xdr:row>
      <xdr:rowOff>141841</xdr:rowOff>
    </xdr:to>
    <xdr:sp macro="" textlink="">
      <xdr:nvSpPr>
        <xdr:cNvPr id="2" name="Globo: línea doblada 1">
          <a:extLst>
            <a:ext uri="{FF2B5EF4-FFF2-40B4-BE49-F238E27FC236}">
              <a16:creationId xmlns:a16="http://schemas.microsoft.com/office/drawing/2014/main" id="{5D6E10B8-7211-4C00-A723-A08111341CF7}"/>
            </a:ext>
          </a:extLst>
        </xdr:cNvPr>
        <xdr:cNvSpPr/>
      </xdr:nvSpPr>
      <xdr:spPr bwMode="auto">
        <a:xfrm>
          <a:off x="2990850" y="2971800"/>
          <a:ext cx="2546019" cy="1732516"/>
        </a:xfrm>
        <a:prstGeom prst="borderCallout2">
          <a:avLst>
            <a:gd name="adj1" fmla="val 46557"/>
            <a:gd name="adj2" fmla="val -567"/>
            <a:gd name="adj3" fmla="val 18750"/>
            <a:gd name="adj4" fmla="val -16667"/>
            <a:gd name="adj5" fmla="val -92492"/>
            <a:gd name="adj6" fmla="val -67621"/>
          </a:avLst>
        </a:prstGeom>
        <a:solidFill>
          <a:srgbClr val="FFFF00"/>
        </a:solidFill>
        <a:ln w="57150">
          <a:solidFill>
            <a:srgbClr val="FF0000"/>
          </a:solidFill>
          <a:headEnd type="none" w="med" len="med"/>
          <a:tailEnd type="none" w="med" len="med"/>
        </a:ln>
        <a:ex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marL="0" indent="0" algn="ctr"/>
          <a:r>
            <a:rPr lang="es-PE" sz="1200" b="1">
              <a:solidFill>
                <a:srgbClr val="FF0000"/>
              </a:solidFill>
              <a:latin typeface="+mn-lt"/>
              <a:ea typeface="+mn-ea"/>
              <a:cs typeface="+mn-cs"/>
            </a:rPr>
            <a:t>COLOCAR</a:t>
          </a:r>
          <a:r>
            <a:rPr lang="es-PE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 LOS GASTOS POSIBLES DE TECNOLOGÍA DE LA INFORMACIÓN, TALES COMO DESARROLLO DE APLICACIONES, HOSTING, MANTENIMIENTO, ET, TENIENDO EN CUENTA LA NATURALEZA DE SU PROYECTO.</a:t>
          </a:r>
        </a:p>
        <a:p>
          <a:pPr marL="0" indent="0" algn="ctr"/>
          <a:endParaRPr lang="es-PE" sz="12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165652</xdr:colOff>
      <xdr:row>44</xdr:row>
      <xdr:rowOff>16565</xdr:rowOff>
    </xdr:from>
    <xdr:to>
      <xdr:col>15</xdr:col>
      <xdr:colOff>463826</xdr:colOff>
      <xdr:row>54</xdr:row>
      <xdr:rowOff>74543</xdr:rowOff>
    </xdr:to>
    <xdr:sp macro="" textlink="">
      <xdr:nvSpPr>
        <xdr:cNvPr id="2" name="Globo: línea doblada 1">
          <a:extLst>
            <a:ext uri="{FF2B5EF4-FFF2-40B4-BE49-F238E27FC236}">
              <a16:creationId xmlns:a16="http://schemas.microsoft.com/office/drawing/2014/main" id="{41220A6E-D67D-472C-AC62-7A2D0481CDFC}"/>
            </a:ext>
          </a:extLst>
        </xdr:cNvPr>
        <xdr:cNvSpPr/>
      </xdr:nvSpPr>
      <xdr:spPr bwMode="auto">
        <a:xfrm>
          <a:off x="9707217" y="8779565"/>
          <a:ext cx="4108174" cy="1714500"/>
        </a:xfrm>
        <a:prstGeom prst="borderCallout2">
          <a:avLst>
            <a:gd name="adj1" fmla="val 46557"/>
            <a:gd name="adj2" fmla="val -567"/>
            <a:gd name="adj3" fmla="val 18750"/>
            <a:gd name="adj4" fmla="val -16667"/>
            <a:gd name="adj5" fmla="val -166022"/>
            <a:gd name="adj6" fmla="val -126503"/>
          </a:avLst>
        </a:prstGeom>
        <a:solidFill>
          <a:srgbClr val="FFFF00"/>
        </a:solidFill>
        <a:ln w="57150">
          <a:solidFill>
            <a:srgbClr val="FF0000"/>
          </a:solidFill>
          <a:headEnd type="none" w="med" len="med"/>
          <a:tailEnd type="none" w="med" len="med"/>
        </a:ln>
        <a:ex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marL="0" indent="0" algn="l"/>
          <a:r>
            <a:rPr lang="es-PE" sz="1000" b="1">
              <a:solidFill>
                <a:srgbClr val="FF0000"/>
              </a:solidFill>
              <a:latin typeface="+mn-lt"/>
              <a:ea typeface="+mn-ea"/>
              <a:cs typeface="+mn-cs"/>
            </a:rPr>
            <a:t>COLOCAR</a:t>
          </a:r>
          <a:r>
            <a:rPr lang="es-PE" sz="10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 LOS GASTOS DE MANO DE OBRA, PERSONAL ADMINISTRATIVO, OPERATIVOS Y SERVICIOS EXTERNOS, HAY TRES FORMAS DE GENERAR ESE PAGO:</a:t>
          </a:r>
        </a:p>
        <a:p>
          <a:pPr marL="0" indent="0" algn="l"/>
          <a:r>
            <a:rPr lang="es-PE" sz="10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PAGO EN PLANILLA ( SE AUMENTA 45%), INCLUYE LAS GRATIFACIONES PAGOS DE ESSALUD Y CTS.</a:t>
          </a:r>
        </a:p>
        <a:p>
          <a:pPr marL="0" indent="0" algn="l"/>
          <a:endParaRPr lang="es-PE" sz="1000" b="1" baseline="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s-PE" sz="10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RECIBO POR HONORARIO, SE PAGA UN MONTO DETERMINADO, POR UN TIEMPO DETERMINADO (X MES) O POR PROYECTO.</a:t>
          </a:r>
        </a:p>
        <a:p>
          <a:pPr marL="0" indent="0" algn="l"/>
          <a:r>
            <a:rPr lang="es-PE" sz="10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/>
          </a:r>
          <a:br>
            <a:rPr lang="es-PE" sz="1000" b="1" baseline="0">
              <a:solidFill>
                <a:srgbClr val="FF0000"/>
              </a:solidFill>
              <a:latin typeface="+mn-lt"/>
              <a:ea typeface="+mn-ea"/>
              <a:cs typeface="+mn-cs"/>
            </a:rPr>
          </a:br>
          <a:r>
            <a:rPr lang="es-PE" sz="10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DESTAJO, PAGO EN FUNCIÓN A LA CANTIDAD DE PRODUCTOS REALIZADOS.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332765</xdr:colOff>
      <xdr:row>18</xdr:row>
      <xdr:rowOff>55054</xdr:rowOff>
    </xdr:from>
    <xdr:to>
      <xdr:col>8</xdr:col>
      <xdr:colOff>630939</xdr:colOff>
      <xdr:row>28</xdr:row>
      <xdr:rowOff>113032</xdr:rowOff>
    </xdr:to>
    <xdr:sp macro="" textlink="">
      <xdr:nvSpPr>
        <xdr:cNvPr id="2" name="Globo: línea doblada 1">
          <a:extLst>
            <a:ext uri="{FF2B5EF4-FFF2-40B4-BE49-F238E27FC236}">
              <a16:creationId xmlns:a16="http://schemas.microsoft.com/office/drawing/2014/main" id="{B318A101-BF7A-4E2E-A279-7049E11BC1ED}"/>
            </a:ext>
          </a:extLst>
        </xdr:cNvPr>
        <xdr:cNvSpPr/>
      </xdr:nvSpPr>
      <xdr:spPr bwMode="auto">
        <a:xfrm>
          <a:off x="4109147" y="2878936"/>
          <a:ext cx="4108174" cy="1626802"/>
        </a:xfrm>
        <a:prstGeom prst="borderCallout2">
          <a:avLst>
            <a:gd name="adj1" fmla="val 46557"/>
            <a:gd name="adj2" fmla="val -567"/>
            <a:gd name="adj3" fmla="val 18750"/>
            <a:gd name="adj4" fmla="val -16667"/>
            <a:gd name="adj5" fmla="val -53820"/>
            <a:gd name="adj6" fmla="val -31864"/>
          </a:avLst>
        </a:prstGeom>
        <a:solidFill>
          <a:srgbClr val="FFFF00"/>
        </a:solidFill>
        <a:ln w="57150">
          <a:solidFill>
            <a:srgbClr val="FF0000"/>
          </a:solidFill>
          <a:headEnd type="none" w="med" len="med"/>
          <a:tailEnd type="none" w="med" len="med"/>
        </a:ln>
        <a:ex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marL="0" indent="0" algn="ctr"/>
          <a:r>
            <a:rPr lang="es-PE" sz="1600" b="1" cap="all">
              <a:solidFill>
                <a:srgbClr val="FF0000"/>
              </a:solidFill>
              <a:latin typeface="+mn-lt"/>
              <a:ea typeface="+mn-ea"/>
              <a:cs typeface="+mn-cs"/>
            </a:rPr>
            <a:t>Se coloca los gastos administrativos por mes (ee, agua, telefono, etc.)</a:t>
          </a:r>
          <a:r>
            <a:rPr lang="es-PE" sz="1600" b="1" cap="all" baseline="0">
              <a:solidFill>
                <a:srgbClr val="FF0000"/>
              </a:solidFill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282087</xdr:colOff>
      <xdr:row>28</xdr:row>
      <xdr:rowOff>119063</xdr:rowOff>
    </xdr:from>
    <xdr:to>
      <xdr:col>13</xdr:col>
      <xdr:colOff>580261</xdr:colOff>
      <xdr:row>38</xdr:row>
      <xdr:rowOff>119288</xdr:rowOff>
    </xdr:to>
    <xdr:sp macro="" textlink="">
      <xdr:nvSpPr>
        <xdr:cNvPr id="3" name="Globo: línea doblada 2">
          <a:extLst>
            <a:ext uri="{FF2B5EF4-FFF2-40B4-BE49-F238E27FC236}">
              <a16:creationId xmlns:a16="http://schemas.microsoft.com/office/drawing/2014/main" id="{0C6E43DF-8377-4DA8-9E6D-9106E18B6BEC}"/>
            </a:ext>
          </a:extLst>
        </xdr:cNvPr>
        <xdr:cNvSpPr/>
      </xdr:nvSpPr>
      <xdr:spPr bwMode="auto">
        <a:xfrm>
          <a:off x="8640275" y="9453563"/>
          <a:ext cx="4108174" cy="1667100"/>
        </a:xfrm>
        <a:prstGeom prst="borderCallout2">
          <a:avLst>
            <a:gd name="adj1" fmla="val 46557"/>
            <a:gd name="adj2" fmla="val -567"/>
            <a:gd name="adj3" fmla="val 18750"/>
            <a:gd name="adj4" fmla="val -16667"/>
            <a:gd name="adj5" fmla="val -60708"/>
            <a:gd name="adj6" fmla="val -32955"/>
          </a:avLst>
        </a:prstGeom>
        <a:solidFill>
          <a:srgbClr val="FFFF00"/>
        </a:solidFill>
        <a:ln w="57150">
          <a:solidFill>
            <a:srgbClr val="FF0000"/>
          </a:solidFill>
          <a:headEnd type="none" w="med" len="med"/>
          <a:tailEnd type="none" w="med" len="med"/>
        </a:ln>
        <a:ex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marL="0" indent="0" algn="ctr"/>
          <a:r>
            <a:rPr lang="es-PE" sz="1600" b="1" cap="all">
              <a:solidFill>
                <a:srgbClr val="FF0000"/>
              </a:solidFill>
              <a:latin typeface="+mn-lt"/>
              <a:ea typeface="+mn-ea"/>
              <a:cs typeface="+mn-cs"/>
            </a:rPr>
            <a:t>COLOCAR LOS</a:t>
          </a:r>
          <a:r>
            <a:rPr lang="es-PE" sz="1600" b="1" cap="all" baseline="0">
              <a:solidFill>
                <a:srgbClr val="FF0000"/>
              </a:solidFill>
              <a:latin typeface="+mn-lt"/>
              <a:ea typeface="+mn-ea"/>
              <a:cs typeface="+mn-cs"/>
            </a:rPr>
            <a:t> INGREDIENTES, INSUMOS MATERIALES O CONSUMIBLES NECESARIOS PARA UN PRODUCTO, CANTIDAD Y COSTO UNITARIO SEGUN LA UNIDAD(KG, M3, METROS, UNIDADES,ETC)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771525</xdr:colOff>
      <xdr:row>43</xdr:row>
      <xdr:rowOff>85725</xdr:rowOff>
    </xdr:from>
    <xdr:to>
      <xdr:col>41</xdr:col>
      <xdr:colOff>400050</xdr:colOff>
      <xdr:row>58</xdr:row>
      <xdr:rowOff>76200</xdr:rowOff>
    </xdr:to>
    <xdr:graphicFrame macro="">
      <xdr:nvGraphicFramePr>
        <xdr:cNvPr id="33965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S-DCLCBA1-01/seio/WINDOWS/TEMP/EVAL-VEPM-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Startup" Target="file:///C:\rmunoz\Ofertas\TSM.Cluser-aplicaciones.500185\Oferta\home\htovar\prod\SunMicrosystems\Ofertas\tdp20_25225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file:///C:\TData%2520Internet%2520Center\Clientes\Carsa\TS%2520Net\T-EMPRESAS.carsa.content.1003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S-DCLCBA1-01/seio/PRODUCCION/PCrespo/Trabajos%20Especiales/Preciarios/final_ttd_cisco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file:///X:\INGCLIC\Equipos\CORRIDA%2520ALQUILER%2520(alquiler+mant-ABC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file:///C:\WINDOWS\TEMP\Temp\Temp\TTD010198%2520%2520NF%2520Precios%2520TTD%2520%2520Primer%2520Trimestre%2520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file:///C:\TDATA\Routers\Formatos\Proyectos\Nuevo%2520Formato%2520CorridaIPVPN2k1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Startup" Target="Luis/sunmicrosyst/home/Envios%20de%20Ofertas%20Clientes/tm14_cluster_amp_v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Startup" Target="Htovar/sunmicrosyst/home/htovar/prod/SunMicrosystems/Ofertas/tdp20_25225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Startup" Target="Htovar/sunmicrosyst/Ofertas/tdp64_252333-B00-Inktomi-II-v1.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Startup" Target="Htovar/sunmicrosyst/Ofertas/tdata08_websphere_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es"/>
      <sheetName val="hoja (9)"/>
      <sheetName val="tarifas"/>
      <sheetName val="4 PUERTAS"/>
      <sheetName val="PLAN DE DESCUENTOS"/>
      <sheetName val="inversion"/>
      <sheetName val="Instrucciones"/>
      <sheetName val="Documento SOC"/>
      <sheetName val="Financiero - Datos e Internet"/>
      <sheetName val="Detalle de Costos"/>
      <sheetName val="Propuesta Economica"/>
      <sheetName val="Equipos en Venta"/>
      <sheetName val="Detalle de mtto de venta equi"/>
      <sheetName val="Equipos en Alquiler"/>
      <sheetName val="Tarifas Nuevas"/>
      <sheetName val="Localidades"/>
      <sheetName val="Implantacion No Estándar"/>
      <sheetName val="Detalle de Equipos"/>
      <sheetName val="Implantación - RRHH TData"/>
      <sheetName val="Garantia Extendida"/>
      <sheetName val="Serv_Prof"/>
      <sheetName val="Tipo de Compra"/>
      <sheetName val="Parametros - Routers"/>
      <sheetName val="Implant_No_Stdar"/>
      <sheetName val="RRHH"/>
      <sheetName val="Training"/>
      <sheetName val="Sun"/>
      <sheetName val="Cisco"/>
      <sheetName val="VideoStreaming"/>
      <sheetName val="FC"/>
      <sheetName val="Routers"/>
      <sheetName val="Parametros Routers"/>
      <sheetName val="Precio-Costo"/>
      <sheetName val="Margenes"/>
      <sheetName val="Polycom"/>
      <sheetName val="RR.HH."/>
      <sheetName val="Soporte_TDP"/>
    </sheetNames>
    <sheetDataSet>
      <sheetData sheetId="0" refreshError="1">
        <row r="9">
          <cell r="E9">
            <v>3.08</v>
          </cell>
        </row>
        <row r="15">
          <cell r="B15">
            <v>7.8E-2</v>
          </cell>
        </row>
        <row r="17">
          <cell r="B17">
            <v>0.156</v>
          </cell>
        </row>
        <row r="18">
          <cell r="B18">
            <v>0.35142475247524751</v>
          </cell>
        </row>
        <row r="19">
          <cell r="B19">
            <v>0.43652970297029692</v>
          </cell>
        </row>
        <row r="21">
          <cell r="B21">
            <v>32</v>
          </cell>
        </row>
        <row r="25">
          <cell r="B25">
            <v>1</v>
          </cell>
        </row>
        <row r="26">
          <cell r="B26">
            <v>0.6</v>
          </cell>
        </row>
        <row r="27">
          <cell r="B27">
            <v>0.37</v>
          </cell>
        </row>
        <row r="28">
          <cell r="B28">
            <v>0.34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o"/>
      <sheetName val="Nuevos"/>
      <sheetName val="Interno9902"/>
      <sheetName val="Internamiento"/>
      <sheetName val="Hoja 1 (Datos Básicos)"/>
      <sheetName val="Hoja 2 (Recursos)"/>
      <sheetName val="Hoja 3 (Compras) "/>
      <sheetName val="TS a Td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Formato SOC"/>
      <sheetName val="Garantia Extendida "/>
      <sheetName val="Localidades"/>
      <sheetName val="Imp No Estándar"/>
      <sheetName val="Profesionales TData"/>
      <sheetName val="Serv_Prof"/>
      <sheetName val="Tipo de Compra"/>
      <sheetName val="Equipos"/>
      <sheetName val="Parametros - Rou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J6" t="str">
            <v>Cisco</v>
          </cell>
          <cell r="K6" t="str">
            <v>A0</v>
          </cell>
        </row>
        <row r="7">
          <cell r="B7" t="str">
            <v>Cisco</v>
          </cell>
          <cell r="J7" t="str">
            <v>Mitel</v>
          </cell>
          <cell r="K7" t="str">
            <v>A1</v>
          </cell>
          <cell r="L7" t="str">
            <v>A</v>
          </cell>
          <cell r="M7">
            <v>5.5E-2</v>
          </cell>
        </row>
        <row r="8">
          <cell r="B8" t="str">
            <v>Cisco</v>
          </cell>
          <cell r="J8" t="str">
            <v>Huawei</v>
          </cell>
          <cell r="K8" t="str">
            <v>A2</v>
          </cell>
          <cell r="L8" t="str">
            <v>B</v>
          </cell>
          <cell r="M8">
            <v>0.1</v>
          </cell>
        </row>
        <row r="9">
          <cell r="B9" t="str">
            <v>Cisco</v>
          </cell>
          <cell r="J9" t="str">
            <v>Otros</v>
          </cell>
          <cell r="K9" t="str">
            <v>A3</v>
          </cell>
          <cell r="L9" t="str">
            <v>C</v>
          </cell>
          <cell r="M9">
            <v>7.4999999999999997E-2</v>
          </cell>
        </row>
        <row r="10">
          <cell r="B10" t="str">
            <v>Cisco</v>
          </cell>
          <cell r="J10" t="str">
            <v>Tdata</v>
          </cell>
          <cell r="K10" t="str">
            <v>B0</v>
          </cell>
          <cell r="L10" t="str">
            <v>D</v>
          </cell>
          <cell r="M10">
            <v>0.02</v>
          </cell>
        </row>
        <row r="11">
          <cell r="B11" t="str">
            <v>Cisco</v>
          </cell>
          <cell r="J11" t="str">
            <v>OTF</v>
          </cell>
          <cell r="K11" t="str">
            <v>B1</v>
          </cell>
          <cell r="L11" t="str">
            <v>S</v>
          </cell>
          <cell r="M11">
            <v>2.5000000000000001E-2</v>
          </cell>
        </row>
        <row r="12">
          <cell r="B12" t="str">
            <v>Cisco</v>
          </cell>
          <cell r="K12" t="str">
            <v>B2</v>
          </cell>
          <cell r="L12" t="str">
            <v>N/A</v>
          </cell>
          <cell r="M12">
            <v>0</v>
          </cell>
        </row>
        <row r="13">
          <cell r="B13" t="str">
            <v>Cisco</v>
          </cell>
          <cell r="K13" t="str">
            <v>B3</v>
          </cell>
        </row>
        <row r="14">
          <cell r="B14" t="str">
            <v>Cisco</v>
          </cell>
          <cell r="K14" t="str">
            <v>B4</v>
          </cell>
        </row>
        <row r="15">
          <cell r="B15" t="str">
            <v>Cisco</v>
          </cell>
          <cell r="K15" t="str">
            <v>B5</v>
          </cell>
        </row>
        <row r="16">
          <cell r="B16" t="str">
            <v>Cisco</v>
          </cell>
          <cell r="K16" t="str">
            <v>B6</v>
          </cell>
        </row>
        <row r="17">
          <cell r="B17" t="str">
            <v>Cisco</v>
          </cell>
          <cell r="K17" t="str">
            <v>B7</v>
          </cell>
        </row>
        <row r="18">
          <cell r="B18" t="str">
            <v>Cisco</v>
          </cell>
          <cell r="K18" t="str">
            <v>B8</v>
          </cell>
        </row>
        <row r="19">
          <cell r="B19" t="str">
            <v>Cisco</v>
          </cell>
          <cell r="K19" t="str">
            <v>B9</v>
          </cell>
        </row>
        <row r="20">
          <cell r="B20" t="str">
            <v>Cisco</v>
          </cell>
          <cell r="K20" t="str">
            <v>C0</v>
          </cell>
        </row>
        <row r="21">
          <cell r="B21" t="str">
            <v>Cisco</v>
          </cell>
          <cell r="K21" t="str">
            <v>C1</v>
          </cell>
        </row>
        <row r="22">
          <cell r="B22" t="str">
            <v>Cisco</v>
          </cell>
          <cell r="K22" t="str">
            <v>C2</v>
          </cell>
        </row>
        <row r="23">
          <cell r="B23" t="str">
            <v>Cisco</v>
          </cell>
          <cell r="K23" t="str">
            <v>C3</v>
          </cell>
        </row>
        <row r="24">
          <cell r="B24" t="str">
            <v>Cisco</v>
          </cell>
          <cell r="K24" t="str">
            <v>C4</v>
          </cell>
        </row>
        <row r="25">
          <cell r="B25" t="str">
            <v>Cisco</v>
          </cell>
          <cell r="K25" t="str">
            <v>C5</v>
          </cell>
        </row>
        <row r="26">
          <cell r="B26" t="str">
            <v>Cisco</v>
          </cell>
          <cell r="K26" t="str">
            <v>C6</v>
          </cell>
        </row>
        <row r="27">
          <cell r="B27" t="str">
            <v>Mitel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gos TTD"/>
      <sheetName val="INSTALACION TTD"/>
      <sheetName val="INSTALACION TS"/>
      <sheetName val="NCR1T98"/>
      <sheetName val="Instrucciones"/>
      <sheetName val="Documento SOC"/>
      <sheetName val="Financiero - Datos e Internet"/>
      <sheetName val="Detalle de Costos"/>
      <sheetName val="Propuesta Economica"/>
      <sheetName val="Equipos en Venta"/>
      <sheetName val="Detalle de mtto de venta equi"/>
      <sheetName val="Equipos en Alquiler"/>
      <sheetName val="Tarifas Nuevas"/>
      <sheetName val="Localidades"/>
      <sheetName val="Implantacion No Estándar"/>
      <sheetName val="Detalle de Equipos"/>
      <sheetName val="Implantación - RRHH TData"/>
      <sheetName val="Garantia Extendida"/>
      <sheetName val="Serv_Prof"/>
      <sheetName val="Tipo de Compra"/>
      <sheetName val="Parametros - Routers"/>
      <sheetName val="Real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Alquiler Equipos sin recompra"/>
      <sheetName val="12 meses"/>
      <sheetName val="24 meses "/>
      <sheetName val="36 meses "/>
      <sheetName val="48 meses"/>
      <sheetName val="60 meses  "/>
      <sheetName val="Modelo Corrida"/>
      <sheetName val="Hoja6"/>
      <sheetName val="Corrida"/>
      <sheetName val="Corrida (2)"/>
      <sheetName val="Hoja7"/>
      <sheetName val="Hoja8"/>
      <sheetName val="Hoja9"/>
      <sheetName val="Hoja10"/>
      <sheetName val="Hoja11"/>
      <sheetName val="Hoja12"/>
      <sheetName val="Hoja13"/>
      <sheetName val="Hoja14"/>
      <sheetName val="Hoja15"/>
      <sheetName val="Hoja1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>
        <row r="28">
          <cell r="E28">
            <v>1</v>
          </cell>
          <cell r="F28">
            <v>2</v>
          </cell>
          <cell r="G28">
            <v>3</v>
          </cell>
          <cell r="H28">
            <v>4</v>
          </cell>
          <cell r="I28">
            <v>5</v>
          </cell>
          <cell r="J28">
            <v>6</v>
          </cell>
          <cell r="K28">
            <v>7</v>
          </cell>
          <cell r="L28">
            <v>8</v>
          </cell>
          <cell r="M28">
            <v>9</v>
          </cell>
          <cell r="N28">
            <v>10</v>
          </cell>
          <cell r="O28">
            <v>11</v>
          </cell>
          <cell r="P28">
            <v>12</v>
          </cell>
          <cell r="Q28">
            <v>13</v>
          </cell>
          <cell r="R28">
            <v>14</v>
          </cell>
          <cell r="S28">
            <v>15</v>
          </cell>
          <cell r="T28">
            <v>16</v>
          </cell>
          <cell r="U28">
            <v>17</v>
          </cell>
          <cell r="V28">
            <v>18</v>
          </cell>
          <cell r="W28">
            <v>19</v>
          </cell>
          <cell r="X28">
            <v>20</v>
          </cell>
          <cell r="Y28">
            <v>21</v>
          </cell>
          <cell r="Z28">
            <v>22</v>
          </cell>
          <cell r="AA28">
            <v>23</v>
          </cell>
          <cell r="AB28">
            <v>24</v>
          </cell>
          <cell r="AC28">
            <v>25</v>
          </cell>
          <cell r="AD28">
            <v>26</v>
          </cell>
          <cell r="AE28">
            <v>27</v>
          </cell>
          <cell r="AF28">
            <v>28</v>
          </cell>
          <cell r="AG28">
            <v>29</v>
          </cell>
          <cell r="AH28">
            <v>30</v>
          </cell>
          <cell r="AI28">
            <v>31</v>
          </cell>
          <cell r="AJ28">
            <v>32</v>
          </cell>
          <cell r="AK28">
            <v>33</v>
          </cell>
          <cell r="AL28">
            <v>34</v>
          </cell>
          <cell r="AM28">
            <v>35</v>
          </cell>
          <cell r="AN28">
            <v>36</v>
          </cell>
          <cell r="AO28">
            <v>37</v>
          </cell>
          <cell r="AP28">
            <v>38</v>
          </cell>
          <cell r="AQ28">
            <v>39</v>
          </cell>
          <cell r="AR28">
            <v>40</v>
          </cell>
          <cell r="AS28">
            <v>41</v>
          </cell>
          <cell r="AT28">
            <v>42</v>
          </cell>
          <cell r="AU28">
            <v>43</v>
          </cell>
          <cell r="AV28">
            <v>44</v>
          </cell>
          <cell r="AW28">
            <v>45</v>
          </cell>
          <cell r="AX28">
            <v>46</v>
          </cell>
          <cell r="AY28">
            <v>47</v>
          </cell>
          <cell r="AZ28">
            <v>48</v>
          </cell>
          <cell r="BA28">
            <v>49</v>
          </cell>
          <cell r="BB28">
            <v>50</v>
          </cell>
          <cell r="BC28">
            <v>51</v>
          </cell>
          <cell r="BD28">
            <v>52</v>
          </cell>
          <cell r="BE28">
            <v>53</v>
          </cell>
          <cell r="BF28">
            <v>54</v>
          </cell>
          <cell r="BG28">
            <v>55</v>
          </cell>
          <cell r="BH28">
            <v>56</v>
          </cell>
          <cell r="BI28">
            <v>57</v>
          </cell>
          <cell r="BJ28">
            <v>58</v>
          </cell>
          <cell r="BK28">
            <v>59</v>
          </cell>
          <cell r="BL28">
            <v>60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Documento SOC"/>
      <sheetName val="Financiero - Datos e Internet"/>
      <sheetName val="Detalle de Costos"/>
      <sheetName val="Propuesta Economica"/>
      <sheetName val="Equipos en Venta"/>
      <sheetName val="Detalle de mtto de venta equi"/>
      <sheetName val="Equipos en Alquiler"/>
      <sheetName val="Tarifas Nuevas"/>
      <sheetName val="Localidades"/>
      <sheetName val="Implantacion No Estándar"/>
      <sheetName val="Detalle de Equipos"/>
      <sheetName val="Implantación - RRHH TData"/>
      <sheetName val="Garantia Extendida"/>
      <sheetName val="Serv_Prof"/>
      <sheetName val="Tipo de Compra"/>
      <sheetName val="Parametros - Routers"/>
      <sheetName val="Resumen"/>
      <sheetName val="Implantacion"/>
      <sheetName val="RRHH TData"/>
      <sheetName val="Soporte"/>
      <sheetName val="Nokia"/>
      <sheetName val="Checkpoint"/>
      <sheetName val="Sun"/>
      <sheetName val="Cisco"/>
      <sheetName val="Conso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Demanda"/>
      <sheetName val="Inversión"/>
      <sheetName val="Detalle de Costos"/>
      <sheetName val="Flujo de Fondos"/>
      <sheetName val="Sensibilidad"/>
      <sheetName val="Ficha del Proyecto"/>
      <sheetName val="Costos"/>
      <sheetName val="Factores"/>
      <sheetName val="Accesos "/>
      <sheetName val="Transmis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1">
          <cell r="E11">
            <v>0.3</v>
          </cell>
        </row>
      </sheetData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"/>
      <sheetName val="Reniec_v1.0_25Jan03"/>
      <sheetName val="Support-Cisco"/>
      <sheetName val="Detalle_costos_CISCO"/>
      <sheetName val="Tipo de Compra"/>
      <sheetName val="Plantilla Implant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o"/>
      <sheetName val="Nuevos"/>
      <sheetName val="Interno9902"/>
      <sheetName val="Internamiento"/>
      <sheetName val="Hoja 1 (Datos Básicos)"/>
      <sheetName val="Hoja 2 (Recursos)"/>
      <sheetName val="Hoja 3 (Compras) "/>
      <sheetName val="TS a TdP"/>
      <sheetName val="Reniec_v1.0_25Jan03"/>
      <sheetName val="Support-Cisco"/>
      <sheetName val="Detalle_costos_CISCO"/>
      <sheetName val="Tipo de Compra"/>
      <sheetName val="Plantilla Implant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o"/>
      <sheetName val="Cliente"/>
      <sheetName val="SOC_TSP"/>
      <sheetName val="Internamiento"/>
      <sheetName val="Hoja1 (Datos Básicos)"/>
      <sheetName val="Hoja1 (2) (Recursos)"/>
      <sheetName val="Hoja1 (3) (Compras) "/>
      <sheetName val="Formato 1"/>
      <sheetName val="Formato 2"/>
      <sheetName val="Formato 3"/>
      <sheetName val="Formato 3A"/>
      <sheetName val="Formato 3B"/>
      <sheetName val="Reniec_v1.0_25Jan03"/>
      <sheetName val="Support-Cisco"/>
      <sheetName val="Detalle_costos_CISCO"/>
      <sheetName val="Tipo de Compra"/>
      <sheetName val="Plantilla Implantacion"/>
      <sheetName val="Precio de Instalación TDP"/>
      <sheetName val="Otros gastos para mtto"/>
      <sheetName val="Gestión tdp caso excepcional"/>
      <sheetName val="Soporte del Fabricante"/>
      <sheetName val="Mantenimiento "/>
      <sheetName val="Detalle 2"/>
      <sheetName val="Detalle 1"/>
      <sheetName val="Instalación y Configuración"/>
      <sheetName val="Soporte del Fabricante (2)"/>
      <sheetName val="Otros gastos para mtto (2)"/>
      <sheetName val="Gestión tdp caso excepciona (2)"/>
      <sheetName val="Soporte del Fabricante (3)"/>
      <sheetName val="Otros gastos para mtto (3)"/>
      <sheetName val="Gestión tdp caso excepciona (3)"/>
      <sheetName val="Alquiler c.pago unico 12 max"/>
      <sheetName val="Alquiler c.pago 24 max"/>
      <sheetName val="Alquiler c.pago 36 max."/>
      <sheetName val="Alquiler c.pago 48 max"/>
      <sheetName val="Alquiler c. pago 60 max"/>
      <sheetName val="Alquiler sin punico 12m max"/>
      <sheetName val="Alquiler sin punico 24m max"/>
      <sheetName val="Alquiler sin punico 36m max"/>
      <sheetName val="Alquiler sin unico 48m max "/>
      <sheetName val="Alquiler sin unico 60m m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1"/>
      <sheetName val="Interno1"/>
      <sheetName val="Interno2"/>
      <sheetName val="Soporte"/>
      <sheetName val="Formato 2"/>
      <sheetName val="Formato 3B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zoomScaleNormal="100" workbookViewId="0"/>
  </sheetViews>
  <sheetFormatPr baseColWidth="10" defaultRowHeight="12.75"/>
  <cols>
    <col min="1" max="1" width="31.28515625" customWidth="1"/>
    <col min="2" max="2" width="13.140625" style="159" customWidth="1"/>
    <col min="3" max="25" width="13.140625" customWidth="1"/>
    <col min="26" max="37" width="13.140625" bestFit="1" customWidth="1"/>
    <col min="38" max="38" width="14.7109375" bestFit="1" customWidth="1"/>
  </cols>
  <sheetData>
    <row r="1" spans="1:38" s="376" customFormat="1" ht="30" customHeight="1">
      <c r="A1" s="375" t="s">
        <v>77</v>
      </c>
    </row>
    <row r="2" spans="1:38">
      <c r="A2" s="367"/>
      <c r="B2" s="372">
        <v>1</v>
      </c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4"/>
      <c r="N2" s="372">
        <v>2</v>
      </c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4"/>
      <c r="Z2" s="372">
        <v>3</v>
      </c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4"/>
    </row>
    <row r="3" spans="1:38" s="174" customFormat="1">
      <c r="A3" s="172" t="s">
        <v>39</v>
      </c>
      <c r="B3" s="173">
        <v>43831</v>
      </c>
      <c r="C3" s="173">
        <v>43862</v>
      </c>
      <c r="D3" s="173">
        <v>43891</v>
      </c>
      <c r="E3" s="173">
        <v>43922</v>
      </c>
      <c r="F3" s="173">
        <v>43952</v>
      </c>
      <c r="G3" s="173">
        <v>43983</v>
      </c>
      <c r="H3" s="173">
        <v>44013</v>
      </c>
      <c r="I3" s="173">
        <v>44044</v>
      </c>
      <c r="J3" s="173">
        <v>44075</v>
      </c>
      <c r="K3" s="173">
        <v>44105</v>
      </c>
      <c r="L3" s="173">
        <v>44136</v>
      </c>
      <c r="M3" s="173">
        <v>44166</v>
      </c>
      <c r="N3" s="173">
        <v>44197</v>
      </c>
      <c r="O3" s="173">
        <v>44228</v>
      </c>
      <c r="P3" s="173">
        <v>44256</v>
      </c>
      <c r="Q3" s="173">
        <v>44287</v>
      </c>
      <c r="R3" s="173">
        <v>44317</v>
      </c>
      <c r="S3" s="173">
        <v>44348</v>
      </c>
      <c r="T3" s="173">
        <v>44378</v>
      </c>
      <c r="U3" s="173">
        <v>44409</v>
      </c>
      <c r="V3" s="173">
        <v>44440</v>
      </c>
      <c r="W3" s="173">
        <v>44470</v>
      </c>
      <c r="X3" s="173">
        <v>44501</v>
      </c>
      <c r="Y3" s="173">
        <v>44531</v>
      </c>
      <c r="Z3" s="173">
        <v>44562</v>
      </c>
      <c r="AA3" s="173">
        <v>44593</v>
      </c>
      <c r="AB3" s="173">
        <v>44621</v>
      </c>
      <c r="AC3" s="173">
        <v>44652</v>
      </c>
      <c r="AD3" s="173">
        <v>44682</v>
      </c>
      <c r="AE3" s="173">
        <v>44713</v>
      </c>
      <c r="AF3" s="173">
        <v>44743</v>
      </c>
      <c r="AG3" s="173">
        <v>44774</v>
      </c>
      <c r="AH3" s="173">
        <v>44805</v>
      </c>
      <c r="AI3" s="173">
        <v>44835</v>
      </c>
      <c r="AJ3" s="173">
        <v>44866</v>
      </c>
      <c r="AK3" s="173">
        <v>44896</v>
      </c>
    </row>
    <row r="4" spans="1:38">
      <c r="A4" s="118" t="s">
        <v>72</v>
      </c>
      <c r="B4" s="371">
        <f>B13*$D$17</f>
        <v>497.47499999999997</v>
      </c>
      <c r="C4" s="167">
        <f>C13*$D$17</f>
        <v>1989.8999999999999</v>
      </c>
      <c r="D4" s="167">
        <f t="shared" ref="D4:AK4" si="0">D13*$D$17</f>
        <v>3979.7999999999997</v>
      </c>
      <c r="E4" s="167">
        <f t="shared" si="0"/>
        <v>5969.7</v>
      </c>
      <c r="F4" s="167">
        <f t="shared" si="0"/>
        <v>7959.5999999999995</v>
      </c>
      <c r="G4" s="167">
        <f t="shared" si="0"/>
        <v>9949.4999999999982</v>
      </c>
      <c r="H4" s="167">
        <f t="shared" si="0"/>
        <v>11939.4</v>
      </c>
      <c r="I4" s="167">
        <f t="shared" si="0"/>
        <v>13929.3</v>
      </c>
      <c r="J4" s="167">
        <f t="shared" si="0"/>
        <v>15919.199999999999</v>
      </c>
      <c r="K4" s="167">
        <f t="shared" si="0"/>
        <v>17909.099999999999</v>
      </c>
      <c r="L4" s="167">
        <f t="shared" si="0"/>
        <v>19898.999999999996</v>
      </c>
      <c r="M4" s="167">
        <f t="shared" si="0"/>
        <v>21888.899999999998</v>
      </c>
      <c r="N4" s="167">
        <f t="shared" si="0"/>
        <v>23878.799999999999</v>
      </c>
      <c r="O4" s="167">
        <f t="shared" si="0"/>
        <v>25868.699999999997</v>
      </c>
      <c r="P4" s="167">
        <f t="shared" si="0"/>
        <v>27858.6</v>
      </c>
      <c r="Q4" s="167">
        <f t="shared" si="0"/>
        <v>29848.499999999996</v>
      </c>
      <c r="R4" s="167">
        <f t="shared" si="0"/>
        <v>31838.399999999998</v>
      </c>
      <c r="S4" s="167">
        <f t="shared" si="0"/>
        <v>33828.299999999996</v>
      </c>
      <c r="T4" s="167">
        <f t="shared" si="0"/>
        <v>35818.199999999997</v>
      </c>
      <c r="U4" s="167">
        <f t="shared" si="0"/>
        <v>37808.1</v>
      </c>
      <c r="V4" s="167">
        <f t="shared" si="0"/>
        <v>39797.999999999993</v>
      </c>
      <c r="W4" s="167">
        <f t="shared" si="0"/>
        <v>41787.899999999994</v>
      </c>
      <c r="X4" s="167">
        <f t="shared" si="0"/>
        <v>43777.799999999996</v>
      </c>
      <c r="Y4" s="167">
        <f t="shared" si="0"/>
        <v>45767.7</v>
      </c>
      <c r="Z4" s="167">
        <f t="shared" si="0"/>
        <v>47757.599999999999</v>
      </c>
      <c r="AA4" s="167">
        <f t="shared" si="0"/>
        <v>49747.499999999993</v>
      </c>
      <c r="AB4" s="167">
        <f t="shared" si="0"/>
        <v>51737.399999999994</v>
      </c>
      <c r="AC4" s="167">
        <f t="shared" si="0"/>
        <v>53727.299999999996</v>
      </c>
      <c r="AD4" s="167">
        <f t="shared" si="0"/>
        <v>55717.2</v>
      </c>
      <c r="AE4" s="167">
        <f t="shared" si="0"/>
        <v>57707.099999999991</v>
      </c>
      <c r="AF4" s="167">
        <f t="shared" si="0"/>
        <v>59696.999999999993</v>
      </c>
      <c r="AG4" s="167">
        <f t="shared" si="0"/>
        <v>61686.899999999994</v>
      </c>
      <c r="AH4" s="167">
        <f t="shared" si="0"/>
        <v>63676.799999999996</v>
      </c>
      <c r="AI4" s="167">
        <f t="shared" si="0"/>
        <v>65666.7</v>
      </c>
      <c r="AJ4" s="167">
        <f t="shared" si="0"/>
        <v>67656.599999999991</v>
      </c>
      <c r="AK4" s="167">
        <f t="shared" si="0"/>
        <v>69646.5</v>
      </c>
    </row>
    <row r="5" spans="1:38">
      <c r="A5" s="119" t="s">
        <v>33</v>
      </c>
      <c r="B5" s="169">
        <f>SUM(B4:B4)</f>
        <v>497.47499999999997</v>
      </c>
      <c r="C5" s="169">
        <f>SUM(C4:C4)</f>
        <v>1989.8999999999999</v>
      </c>
      <c r="D5" s="169">
        <f>SUM(D4:D4)</f>
        <v>3979.7999999999997</v>
      </c>
      <c r="E5" s="169">
        <f>SUM(E4:E4)</f>
        <v>5969.7</v>
      </c>
      <c r="F5" s="169">
        <f>SUM(F4:F4)</f>
        <v>7959.5999999999995</v>
      </c>
      <c r="G5" s="169">
        <f>SUM(G4:G4)</f>
        <v>9949.4999999999982</v>
      </c>
      <c r="H5" s="170">
        <f>SUM(H4:H4)</f>
        <v>11939.4</v>
      </c>
      <c r="I5" s="170">
        <f>SUM(I4:I4)</f>
        <v>13929.3</v>
      </c>
      <c r="J5" s="170">
        <f>SUM(J4:J4)</f>
        <v>15919.199999999999</v>
      </c>
      <c r="K5" s="170">
        <f>SUM(K4:K4)</f>
        <v>17909.099999999999</v>
      </c>
      <c r="L5" s="170">
        <f>SUM(L4:L4)</f>
        <v>19898.999999999996</v>
      </c>
      <c r="M5" s="170">
        <f>SUM(M4:M4)</f>
        <v>21888.899999999998</v>
      </c>
      <c r="N5" s="170">
        <f>SUM(N4:N4)</f>
        <v>23878.799999999999</v>
      </c>
      <c r="O5" s="170">
        <f>SUM(O4:O4)</f>
        <v>25868.699999999997</v>
      </c>
      <c r="P5" s="170">
        <f>SUM(P4:P4)</f>
        <v>27858.6</v>
      </c>
      <c r="Q5" s="170">
        <f>SUM(Q4:Q4)</f>
        <v>29848.499999999996</v>
      </c>
      <c r="R5" s="170">
        <f>SUM(R4:R4)</f>
        <v>31838.399999999998</v>
      </c>
      <c r="S5" s="170">
        <f>SUM(S4:S4)</f>
        <v>33828.299999999996</v>
      </c>
      <c r="T5" s="170">
        <f>SUM(T4:T4)</f>
        <v>35818.199999999997</v>
      </c>
      <c r="U5" s="170">
        <f>SUM(U4:U4)</f>
        <v>37808.1</v>
      </c>
      <c r="V5" s="170">
        <f>SUM(V4:V4)</f>
        <v>39797.999999999993</v>
      </c>
      <c r="W5" s="170">
        <f>SUM(W4:W4)</f>
        <v>41787.899999999994</v>
      </c>
      <c r="X5" s="170">
        <f>SUM(X4:X4)</f>
        <v>43777.799999999996</v>
      </c>
      <c r="Y5" s="170">
        <f>SUM(Y4:Y4)</f>
        <v>45767.7</v>
      </c>
      <c r="Z5" s="170">
        <f>SUM(Z4:Z4)</f>
        <v>47757.599999999999</v>
      </c>
      <c r="AA5" s="170">
        <f>SUM(AA4:AA4)</f>
        <v>49747.499999999993</v>
      </c>
      <c r="AB5" s="170">
        <f>SUM(AB4:AB4)</f>
        <v>51737.399999999994</v>
      </c>
      <c r="AC5" s="170">
        <f>SUM(AC4:AC4)</f>
        <v>53727.299999999996</v>
      </c>
      <c r="AD5" s="170">
        <f>SUM(AD4:AD4)</f>
        <v>55717.2</v>
      </c>
      <c r="AE5" s="170">
        <f>SUM(AE4:AE4)</f>
        <v>57707.099999999991</v>
      </c>
      <c r="AF5" s="170">
        <f>SUM(AF4:AF4)</f>
        <v>59696.999999999993</v>
      </c>
      <c r="AG5" s="170">
        <f>SUM(AG4:AG4)</f>
        <v>61686.899999999994</v>
      </c>
      <c r="AH5" s="170">
        <f>SUM(AH4:AH4)</f>
        <v>63676.799999999996</v>
      </c>
      <c r="AI5" s="170">
        <f>SUM(AI4:AI4)</f>
        <v>65666.7</v>
      </c>
      <c r="AJ5" s="170">
        <f>SUM(AJ4:AJ4)</f>
        <v>67656.599999999991</v>
      </c>
      <c r="AK5" s="170">
        <f>SUM(AK4:AK4)</f>
        <v>69646.5</v>
      </c>
      <c r="AL5" s="170">
        <f>SUM(B5:AK5)</f>
        <v>1254134.4750000001</v>
      </c>
    </row>
    <row r="6" spans="1:38">
      <c r="A6" s="367"/>
      <c r="B6" s="37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170">
        <f>SUM(B5:M5)</f>
        <v>131830.875</v>
      </c>
      <c r="N6" s="367"/>
      <c r="O6" s="367"/>
      <c r="P6" s="367"/>
      <c r="Q6" s="367"/>
      <c r="R6" s="367"/>
      <c r="S6" s="367"/>
      <c r="T6" s="367"/>
      <c r="U6" s="367"/>
      <c r="V6" s="367"/>
      <c r="W6" s="367"/>
      <c r="X6" s="367"/>
      <c r="Y6" s="170">
        <f>SUM(N5:Y5)</f>
        <v>417879</v>
      </c>
      <c r="Z6" s="367"/>
      <c r="AA6" s="367"/>
      <c r="AB6" s="367"/>
      <c r="AC6" s="367"/>
      <c r="AD6" s="367"/>
      <c r="AE6" s="367"/>
      <c r="AF6" s="367"/>
      <c r="AG6" s="367"/>
      <c r="AH6" s="367"/>
      <c r="AI6" s="367"/>
      <c r="AJ6" s="367"/>
      <c r="AK6" s="170">
        <f>SUM(Z5:AK5)</f>
        <v>704424.6</v>
      </c>
    </row>
    <row r="9" spans="1:38" ht="13.5" thickBot="1"/>
    <row r="10" spans="1:38" ht="13.5" thickBot="1">
      <c r="A10" s="319" t="s">
        <v>53</v>
      </c>
      <c r="B10" s="322">
        <v>1</v>
      </c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3"/>
      <c r="N10" s="323">
        <v>2</v>
      </c>
      <c r="O10" s="323"/>
      <c r="P10" s="323"/>
      <c r="Q10" s="323"/>
      <c r="R10" s="323"/>
      <c r="S10" s="323"/>
      <c r="T10" s="323"/>
      <c r="U10" s="323"/>
      <c r="V10" s="323"/>
      <c r="W10" s="323"/>
      <c r="X10" s="323"/>
      <c r="Y10" s="323"/>
      <c r="Z10" s="323">
        <v>3</v>
      </c>
      <c r="AA10" s="323"/>
      <c r="AB10" s="323"/>
      <c r="AC10" s="323"/>
      <c r="AD10" s="323"/>
      <c r="AE10" s="323"/>
      <c r="AF10" s="323"/>
      <c r="AG10" s="323"/>
      <c r="AH10" s="323"/>
      <c r="AI10" s="323"/>
      <c r="AJ10" s="323"/>
      <c r="AK10" s="323"/>
    </row>
    <row r="11" spans="1:38">
      <c r="B11" s="160">
        <f>+B3</f>
        <v>43831</v>
      </c>
      <c r="C11" s="158">
        <f>+C3</f>
        <v>43862</v>
      </c>
      <c r="D11" s="158">
        <f>+D3</f>
        <v>43891</v>
      </c>
      <c r="E11" s="158">
        <f>+E3</f>
        <v>43922</v>
      </c>
      <c r="F11" s="158">
        <f>+F3</f>
        <v>43952</v>
      </c>
      <c r="G11" s="158">
        <f>+G3</f>
        <v>43983</v>
      </c>
      <c r="H11" s="120">
        <f>+H3</f>
        <v>44013</v>
      </c>
      <c r="I11" s="120">
        <f>+I3</f>
        <v>44044</v>
      </c>
      <c r="J11" s="120">
        <f>+J3</f>
        <v>44075</v>
      </c>
      <c r="K11" s="120">
        <f>+K3</f>
        <v>44105</v>
      </c>
      <c r="L11" s="120">
        <f>+L3</f>
        <v>44136</v>
      </c>
      <c r="M11" s="120">
        <f>+M3</f>
        <v>44166</v>
      </c>
      <c r="N11" s="120">
        <f>+N3</f>
        <v>44197</v>
      </c>
      <c r="O11" s="120">
        <f>+O3</f>
        <v>44228</v>
      </c>
      <c r="P11" s="120">
        <f>+P3</f>
        <v>44256</v>
      </c>
      <c r="Q11" s="120">
        <f>+Q3</f>
        <v>44287</v>
      </c>
      <c r="R11" s="120">
        <f>+R3</f>
        <v>44317</v>
      </c>
      <c r="S11" s="120">
        <f>+S3</f>
        <v>44348</v>
      </c>
      <c r="T11" s="120">
        <f>+T3</f>
        <v>44378</v>
      </c>
      <c r="U11" s="120">
        <f>+U3</f>
        <v>44409</v>
      </c>
      <c r="V11" s="120">
        <f>+V3</f>
        <v>44440</v>
      </c>
      <c r="W11" s="120">
        <f>+W3</f>
        <v>44470</v>
      </c>
      <c r="X11" s="120">
        <f>+X3</f>
        <v>44501</v>
      </c>
      <c r="Y11" s="120">
        <f>+Y3</f>
        <v>44531</v>
      </c>
      <c r="Z11" s="120">
        <f>+Z3</f>
        <v>44562</v>
      </c>
      <c r="AA11" s="120">
        <f>+AA3</f>
        <v>44593</v>
      </c>
      <c r="AB11" s="120">
        <f>+AB3</f>
        <v>44621</v>
      </c>
      <c r="AC11" s="120">
        <f>+AC3</f>
        <v>44652</v>
      </c>
      <c r="AD11" s="120">
        <f>+AD3</f>
        <v>44682</v>
      </c>
      <c r="AE11" s="120">
        <f>+AE3</f>
        <v>44713</v>
      </c>
      <c r="AF11" s="120">
        <f>+AF3</f>
        <v>44743</v>
      </c>
      <c r="AG11" s="120">
        <f>+AG3</f>
        <v>44774</v>
      </c>
      <c r="AH11" s="120">
        <f>+AH3</f>
        <v>44805</v>
      </c>
      <c r="AI11" s="120">
        <f>+AI3</f>
        <v>44835</v>
      </c>
      <c r="AJ11" s="120">
        <f>+AJ3</f>
        <v>44866</v>
      </c>
      <c r="AK11" s="120">
        <f>+AK3</f>
        <v>44896</v>
      </c>
    </row>
    <row r="12" spans="1:38">
      <c r="A12" s="118" t="s">
        <v>72</v>
      </c>
      <c r="B12" s="321">
        <v>5</v>
      </c>
      <c r="C12" s="176">
        <v>20</v>
      </c>
      <c r="D12" s="176">
        <v>40</v>
      </c>
      <c r="E12" s="176">
        <v>60</v>
      </c>
      <c r="F12" s="176">
        <v>80</v>
      </c>
      <c r="G12" s="176">
        <v>100</v>
      </c>
      <c r="H12" s="177">
        <v>120</v>
      </c>
      <c r="I12" s="177">
        <v>140</v>
      </c>
      <c r="J12" s="177">
        <v>160</v>
      </c>
      <c r="K12" s="177">
        <v>180</v>
      </c>
      <c r="L12" s="177">
        <v>200</v>
      </c>
      <c r="M12" s="177">
        <v>220</v>
      </c>
      <c r="N12" s="177">
        <f>M12+20</f>
        <v>240</v>
      </c>
      <c r="O12" s="177">
        <f t="shared" ref="O12:AK12" si="1">N12+20</f>
        <v>260</v>
      </c>
      <c r="P12" s="177">
        <f t="shared" si="1"/>
        <v>280</v>
      </c>
      <c r="Q12" s="177">
        <f t="shared" si="1"/>
        <v>300</v>
      </c>
      <c r="R12" s="177">
        <f t="shared" si="1"/>
        <v>320</v>
      </c>
      <c r="S12" s="177">
        <f t="shared" si="1"/>
        <v>340</v>
      </c>
      <c r="T12" s="177">
        <f t="shared" si="1"/>
        <v>360</v>
      </c>
      <c r="U12" s="177">
        <f t="shared" si="1"/>
        <v>380</v>
      </c>
      <c r="V12" s="177">
        <f t="shared" si="1"/>
        <v>400</v>
      </c>
      <c r="W12" s="177">
        <f t="shared" si="1"/>
        <v>420</v>
      </c>
      <c r="X12" s="177">
        <f t="shared" si="1"/>
        <v>440</v>
      </c>
      <c r="Y12" s="177">
        <f t="shared" si="1"/>
        <v>460</v>
      </c>
      <c r="Z12" s="177">
        <f t="shared" si="1"/>
        <v>480</v>
      </c>
      <c r="AA12" s="177">
        <f t="shared" si="1"/>
        <v>500</v>
      </c>
      <c r="AB12" s="177">
        <f t="shared" si="1"/>
        <v>520</v>
      </c>
      <c r="AC12" s="177">
        <f t="shared" si="1"/>
        <v>540</v>
      </c>
      <c r="AD12" s="177">
        <f t="shared" si="1"/>
        <v>560</v>
      </c>
      <c r="AE12" s="177">
        <f t="shared" si="1"/>
        <v>580</v>
      </c>
      <c r="AF12" s="177">
        <f t="shared" si="1"/>
        <v>600</v>
      </c>
      <c r="AG12" s="177">
        <f t="shared" si="1"/>
        <v>620</v>
      </c>
      <c r="AH12" s="177">
        <f t="shared" si="1"/>
        <v>640</v>
      </c>
      <c r="AI12" s="177">
        <f t="shared" si="1"/>
        <v>660</v>
      </c>
      <c r="AJ12" s="177">
        <f t="shared" si="1"/>
        <v>680</v>
      </c>
      <c r="AK12" s="177">
        <f t="shared" si="1"/>
        <v>700</v>
      </c>
    </row>
    <row r="13" spans="1:38">
      <c r="A13" s="140" t="s">
        <v>33</v>
      </c>
      <c r="B13" s="140">
        <f>SUM(B12:B12)</f>
        <v>5</v>
      </c>
      <c r="C13" s="141">
        <f>SUM(C12:C12)</f>
        <v>20</v>
      </c>
      <c r="D13" s="141">
        <f>SUM(D12:D12)</f>
        <v>40</v>
      </c>
      <c r="E13" s="141">
        <f>SUM(E12:E12)</f>
        <v>60</v>
      </c>
      <c r="F13" s="141">
        <f>SUM(F12:F12)</f>
        <v>80</v>
      </c>
      <c r="G13" s="141">
        <f>SUM(G12:G12)</f>
        <v>100</v>
      </c>
      <c r="H13" s="141">
        <f>SUM(H12:H12)</f>
        <v>120</v>
      </c>
      <c r="I13" s="141">
        <f>SUM(I12:I12)</f>
        <v>140</v>
      </c>
      <c r="J13" s="141">
        <f>SUM(J12:J12)</f>
        <v>160</v>
      </c>
      <c r="K13" s="141">
        <f>SUM(K12:K12)</f>
        <v>180</v>
      </c>
      <c r="L13" s="141">
        <f>SUM(L12:L12)</f>
        <v>200</v>
      </c>
      <c r="M13" s="141">
        <f>SUM(M12:M12)</f>
        <v>220</v>
      </c>
      <c r="N13" s="141">
        <f>SUM(N12:N12)</f>
        <v>240</v>
      </c>
      <c r="O13" s="141">
        <f>SUM(O12:O12)</f>
        <v>260</v>
      </c>
      <c r="P13" s="141">
        <f>SUM(P12:P12)</f>
        <v>280</v>
      </c>
      <c r="Q13" s="141">
        <f>SUM(Q12:Q12)</f>
        <v>300</v>
      </c>
      <c r="R13" s="141">
        <f>SUM(R12:R12)</f>
        <v>320</v>
      </c>
      <c r="S13" s="141">
        <f>SUM(S12:S12)</f>
        <v>340</v>
      </c>
      <c r="T13" s="141">
        <f>SUM(T12:T12)</f>
        <v>360</v>
      </c>
      <c r="U13" s="141">
        <f>SUM(U12:U12)</f>
        <v>380</v>
      </c>
      <c r="V13" s="141">
        <f>SUM(V12:V12)</f>
        <v>400</v>
      </c>
      <c r="W13" s="141">
        <f>SUM(W12:W12)</f>
        <v>420</v>
      </c>
      <c r="X13" s="141">
        <f>SUM(X12:X12)</f>
        <v>440</v>
      </c>
      <c r="Y13" s="141">
        <f>SUM(Y12:Y12)</f>
        <v>460</v>
      </c>
      <c r="Z13" s="141">
        <f>SUM(Z12:Z12)</f>
        <v>480</v>
      </c>
      <c r="AA13" s="141">
        <f>SUM(AA12:AA12)</f>
        <v>500</v>
      </c>
      <c r="AB13" s="141">
        <f>SUM(AB12:AB12)</f>
        <v>520</v>
      </c>
      <c r="AC13" s="141">
        <f>SUM(AC12:AC12)</f>
        <v>540</v>
      </c>
      <c r="AD13" s="141">
        <f>SUM(AD12:AD12)</f>
        <v>560</v>
      </c>
      <c r="AE13" s="141">
        <f>SUM(AE12:AE12)</f>
        <v>580</v>
      </c>
      <c r="AF13" s="141">
        <f>SUM(AF12:AF12)</f>
        <v>600</v>
      </c>
      <c r="AG13" s="141">
        <f>SUM(AG12:AG12)</f>
        <v>620</v>
      </c>
      <c r="AH13" s="141">
        <f>SUM(AH12:AH12)</f>
        <v>640</v>
      </c>
      <c r="AI13" s="141">
        <f>SUM(AI12:AI12)</f>
        <v>660</v>
      </c>
      <c r="AJ13" s="141">
        <f>SUM(AJ12:AJ12)</f>
        <v>680</v>
      </c>
      <c r="AK13" s="141">
        <f>SUM(AK12:AK12)</f>
        <v>700</v>
      </c>
    </row>
    <row r="15" spans="1:38" ht="13.5" thickBot="1"/>
    <row r="16" spans="1:38" ht="27" customHeight="1">
      <c r="A16" s="165"/>
      <c r="B16" s="164" t="s">
        <v>52</v>
      </c>
      <c r="C16" s="166"/>
      <c r="D16" s="168" t="s">
        <v>64</v>
      </c>
    </row>
    <row r="17" spans="1:4">
      <c r="A17" s="118" t="s">
        <v>72</v>
      </c>
      <c r="B17" s="175">
        <v>99</v>
      </c>
      <c r="C17" s="370">
        <v>1.0049999999999999</v>
      </c>
      <c r="D17" s="320">
        <f>+B17*C17</f>
        <v>99.49499999999999</v>
      </c>
    </row>
    <row r="18" spans="1:4">
      <c r="A18" s="146"/>
      <c r="B18" s="161"/>
      <c r="C18" s="144"/>
      <c r="D18" s="145"/>
    </row>
    <row r="19" spans="1:4">
      <c r="A19" s="146" t="s">
        <v>105</v>
      </c>
      <c r="B19" s="162"/>
      <c r="C19" s="339">
        <v>0.15</v>
      </c>
      <c r="D19" s="145"/>
    </row>
    <row r="20" spans="1:4">
      <c r="A20" s="146"/>
      <c r="B20" s="161"/>
      <c r="C20" s="144"/>
      <c r="D20" s="145"/>
    </row>
    <row r="21" spans="1:4">
      <c r="A21" s="146"/>
      <c r="B21" s="161"/>
      <c r="C21" s="144"/>
      <c r="D21" s="145"/>
    </row>
    <row r="22" spans="1:4" ht="13.5" thickBot="1">
      <c r="A22" s="147"/>
      <c r="B22" s="163"/>
      <c r="C22" s="148"/>
      <c r="D22" s="149"/>
    </row>
  </sheetData>
  <mergeCells count="6">
    <mergeCell ref="B10:M10"/>
    <mergeCell ref="N10:Y10"/>
    <mergeCell ref="Z10:AK10"/>
    <mergeCell ref="B2:M2"/>
    <mergeCell ref="N2:Y2"/>
    <mergeCell ref="Z2:AK2"/>
  </mergeCells>
  <pageMargins left="0.25" right="0.25" top="0.75" bottom="0.75" header="0.3" footer="0.3"/>
  <pageSetup scale="60" orientation="landscape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2"/>
  <sheetViews>
    <sheetView topLeftCell="A23" zoomScale="70" zoomScaleNormal="70" workbookViewId="0">
      <selection activeCell="J49" sqref="J49"/>
    </sheetView>
  </sheetViews>
  <sheetFormatPr baseColWidth="10" defaultColWidth="14.42578125" defaultRowHeight="15"/>
  <cols>
    <col min="1" max="1" width="31.85546875" style="22" customWidth="1"/>
    <col min="2" max="2" width="19" style="22" customWidth="1"/>
    <col min="3" max="3" width="43.28515625" style="22" customWidth="1"/>
    <col min="4" max="4" width="22" style="30" customWidth="1"/>
    <col min="5" max="5" width="12.5703125" style="30" customWidth="1"/>
    <col min="6" max="6" width="7.7109375" style="73" bestFit="1" customWidth="1"/>
    <col min="7" max="7" width="17.28515625" style="73" customWidth="1"/>
    <col min="8" max="8" width="15.28515625" style="73" customWidth="1"/>
    <col min="9" max="9" width="14.42578125" style="73" customWidth="1"/>
    <col min="10" max="10" width="16.28515625" style="73" customWidth="1"/>
    <col min="11" max="18" width="14.42578125" style="73" customWidth="1"/>
    <col min="19" max="20" width="14.42578125" style="22"/>
    <col min="21" max="21" width="15.28515625" style="22" bestFit="1" customWidth="1"/>
    <col min="22" max="42" width="14.42578125" style="22"/>
    <col min="43" max="43" width="18.5703125" style="22" customWidth="1"/>
    <col min="44" max="16384" width="14.42578125" style="22"/>
  </cols>
  <sheetData>
    <row r="1" spans="1:43" ht="15.75" hidden="1">
      <c r="C1" s="1"/>
      <c r="D1" s="2"/>
      <c r="E1" s="2"/>
      <c r="F1" s="4"/>
      <c r="G1" s="4"/>
    </row>
    <row r="2" spans="1:43" ht="15.75">
      <c r="C2" s="1" t="s">
        <v>45</v>
      </c>
      <c r="D2" s="2">
        <v>2.8</v>
      </c>
      <c r="E2" s="2"/>
      <c r="F2" s="4"/>
      <c r="G2" s="4"/>
    </row>
    <row r="3" spans="1:43" ht="15.75">
      <c r="C3" s="22" t="s">
        <v>30</v>
      </c>
      <c r="D3" s="1">
        <v>36</v>
      </c>
      <c r="E3" s="2" t="s">
        <v>28</v>
      </c>
      <c r="F3" s="4"/>
      <c r="G3" s="100"/>
      <c r="H3" s="101"/>
      <c r="I3" s="101"/>
      <c r="J3" s="101"/>
    </row>
    <row r="4" spans="1:43" s="30" customFormat="1" ht="15.75">
      <c r="D4" s="102"/>
      <c r="E4" s="19"/>
      <c r="F4" s="103"/>
      <c r="G4" s="104"/>
      <c r="H4" s="104"/>
      <c r="I4" s="104"/>
      <c r="J4" s="104"/>
      <c r="K4" s="104"/>
      <c r="L4" s="104"/>
      <c r="M4" s="113"/>
      <c r="N4" s="104"/>
      <c r="O4" s="104"/>
      <c r="P4" s="104"/>
      <c r="Q4" s="104"/>
      <c r="R4" s="104"/>
      <c r="S4" s="113"/>
      <c r="T4" s="104"/>
      <c r="U4" s="104"/>
      <c r="V4" s="104"/>
      <c r="W4" s="104"/>
      <c r="X4" s="104"/>
      <c r="Y4" s="113"/>
      <c r="Z4" s="104"/>
      <c r="AA4" s="104"/>
      <c r="AB4" s="104"/>
      <c r="AC4" s="104"/>
      <c r="AD4" s="104"/>
      <c r="AE4" s="113"/>
      <c r="AF4" s="104"/>
      <c r="AG4" s="104"/>
      <c r="AH4" s="104"/>
      <c r="AI4" s="104"/>
      <c r="AJ4" s="104"/>
      <c r="AK4" s="113"/>
      <c r="AL4" s="104"/>
      <c r="AM4" s="104"/>
      <c r="AN4" s="104"/>
      <c r="AO4" s="104"/>
      <c r="AP4" s="104"/>
    </row>
    <row r="5" spans="1:43" s="74" customFormat="1" ht="15.75">
      <c r="A5" s="1"/>
      <c r="B5" s="1" t="s">
        <v>63</v>
      </c>
      <c r="C5" s="1"/>
      <c r="D5" s="5" t="s">
        <v>6</v>
      </c>
      <c r="E5" s="5"/>
      <c r="F5" s="5">
        <v>0</v>
      </c>
      <c r="G5" s="5">
        <v>1</v>
      </c>
      <c r="H5" s="5">
        <f t="shared" ref="H5:AP5" si="0">+G5+1</f>
        <v>2</v>
      </c>
      <c r="I5" s="5">
        <f t="shared" si="0"/>
        <v>3</v>
      </c>
      <c r="J5" s="5">
        <f t="shared" si="0"/>
        <v>4</v>
      </c>
      <c r="K5" s="5">
        <f t="shared" si="0"/>
        <v>5</v>
      </c>
      <c r="L5" s="5">
        <f t="shared" si="0"/>
        <v>6</v>
      </c>
      <c r="M5" s="5">
        <f t="shared" si="0"/>
        <v>7</v>
      </c>
      <c r="N5" s="5">
        <f t="shared" si="0"/>
        <v>8</v>
      </c>
      <c r="O5" s="5">
        <f t="shared" si="0"/>
        <v>9</v>
      </c>
      <c r="P5" s="5">
        <f t="shared" si="0"/>
        <v>10</v>
      </c>
      <c r="Q5" s="5">
        <f t="shared" si="0"/>
        <v>11</v>
      </c>
      <c r="R5" s="5">
        <f t="shared" si="0"/>
        <v>12</v>
      </c>
      <c r="S5" s="5">
        <f t="shared" si="0"/>
        <v>13</v>
      </c>
      <c r="T5" s="5">
        <f t="shared" si="0"/>
        <v>14</v>
      </c>
      <c r="U5" s="5">
        <f t="shared" si="0"/>
        <v>15</v>
      </c>
      <c r="V5" s="5">
        <f t="shared" si="0"/>
        <v>16</v>
      </c>
      <c r="W5" s="5">
        <f t="shared" si="0"/>
        <v>17</v>
      </c>
      <c r="X5" s="5">
        <f t="shared" si="0"/>
        <v>18</v>
      </c>
      <c r="Y5" s="5">
        <f t="shared" si="0"/>
        <v>19</v>
      </c>
      <c r="Z5" s="5">
        <f t="shared" si="0"/>
        <v>20</v>
      </c>
      <c r="AA5" s="5">
        <f t="shared" si="0"/>
        <v>21</v>
      </c>
      <c r="AB5" s="5">
        <f t="shared" si="0"/>
        <v>22</v>
      </c>
      <c r="AC5" s="5">
        <f t="shared" si="0"/>
        <v>23</v>
      </c>
      <c r="AD5" s="5">
        <f t="shared" si="0"/>
        <v>24</v>
      </c>
      <c r="AE5" s="5">
        <f t="shared" si="0"/>
        <v>25</v>
      </c>
      <c r="AF5" s="5">
        <f t="shared" si="0"/>
        <v>26</v>
      </c>
      <c r="AG5" s="5">
        <f t="shared" si="0"/>
        <v>27</v>
      </c>
      <c r="AH5" s="5">
        <f t="shared" si="0"/>
        <v>28</v>
      </c>
      <c r="AI5" s="5">
        <f t="shared" si="0"/>
        <v>29</v>
      </c>
      <c r="AJ5" s="5">
        <f t="shared" si="0"/>
        <v>30</v>
      </c>
      <c r="AK5" s="5">
        <f t="shared" si="0"/>
        <v>31</v>
      </c>
      <c r="AL5" s="5">
        <f t="shared" si="0"/>
        <v>32</v>
      </c>
      <c r="AM5" s="5">
        <f t="shared" si="0"/>
        <v>33</v>
      </c>
      <c r="AN5" s="5">
        <f t="shared" si="0"/>
        <v>34</v>
      </c>
      <c r="AO5" s="5">
        <f t="shared" si="0"/>
        <v>35</v>
      </c>
      <c r="AP5" s="5">
        <f t="shared" si="0"/>
        <v>36</v>
      </c>
      <c r="AQ5" s="74" t="s">
        <v>62</v>
      </c>
    </row>
    <row r="6" spans="1:43" s="74" customFormat="1" ht="15.75">
      <c r="A6" s="1"/>
      <c r="B6" s="1"/>
      <c r="C6" s="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3" s="74" customFormat="1" ht="15.75">
      <c r="A7" s="1"/>
      <c r="B7" s="1"/>
      <c r="C7" s="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3" s="74" customFormat="1" ht="15.75">
      <c r="A8" s="1"/>
      <c r="B8" s="1"/>
      <c r="C8" s="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3" s="74" customFormat="1" ht="15.75">
      <c r="A9" s="1"/>
      <c r="B9" s="1"/>
      <c r="C9" s="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3" s="74" customFormat="1" ht="15.75">
      <c r="A10" s="1"/>
      <c r="B10" s="1"/>
      <c r="C10" s="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3" ht="15.75">
      <c r="A11" s="6" t="s">
        <v>7</v>
      </c>
      <c r="B11" s="7">
        <f>+AQ11</f>
        <v>1258287</v>
      </c>
      <c r="C11" s="6" t="s">
        <v>7</v>
      </c>
      <c r="D11" s="75"/>
      <c r="E11" s="75"/>
      <c r="F11" s="76"/>
      <c r="G11" s="7">
        <f>SUM(G13:G13)</f>
        <v>4650</v>
      </c>
      <c r="H11" s="7">
        <f t="shared" ref="H11:AP11" si="1">SUM(H13:H13)</f>
        <v>1989.8999999999999</v>
      </c>
      <c r="I11" s="7">
        <f t="shared" si="1"/>
        <v>3979.7999999999997</v>
      </c>
      <c r="J11" s="7">
        <f t="shared" si="1"/>
        <v>5969.7</v>
      </c>
      <c r="K11" s="7">
        <f t="shared" si="1"/>
        <v>7959.5999999999995</v>
      </c>
      <c r="L11" s="7">
        <f t="shared" si="1"/>
        <v>9949.4999999999982</v>
      </c>
      <c r="M11" s="7">
        <f t="shared" si="1"/>
        <v>11939.4</v>
      </c>
      <c r="N11" s="7">
        <f t="shared" si="1"/>
        <v>13929.3</v>
      </c>
      <c r="O11" s="7">
        <f t="shared" si="1"/>
        <v>15919.199999999999</v>
      </c>
      <c r="P11" s="7">
        <f t="shared" si="1"/>
        <v>17909.099999999999</v>
      </c>
      <c r="Q11" s="7">
        <f t="shared" si="1"/>
        <v>19898.999999999996</v>
      </c>
      <c r="R11" s="7">
        <f t="shared" si="1"/>
        <v>21888.899999999998</v>
      </c>
      <c r="S11" s="7">
        <f t="shared" si="1"/>
        <v>23878.799999999999</v>
      </c>
      <c r="T11" s="7">
        <f t="shared" si="1"/>
        <v>25868.699999999997</v>
      </c>
      <c r="U11" s="7">
        <f t="shared" si="1"/>
        <v>27858.6</v>
      </c>
      <c r="V11" s="7">
        <f t="shared" si="1"/>
        <v>29848.499999999996</v>
      </c>
      <c r="W11" s="7">
        <f t="shared" si="1"/>
        <v>31838.399999999998</v>
      </c>
      <c r="X11" s="7">
        <f t="shared" si="1"/>
        <v>33828.299999999996</v>
      </c>
      <c r="Y11" s="7">
        <f t="shared" si="1"/>
        <v>35818.199999999997</v>
      </c>
      <c r="Z11" s="7">
        <f t="shared" si="1"/>
        <v>37808.1</v>
      </c>
      <c r="AA11" s="7">
        <f t="shared" si="1"/>
        <v>39797.999999999993</v>
      </c>
      <c r="AB11" s="7">
        <f t="shared" si="1"/>
        <v>41787.899999999994</v>
      </c>
      <c r="AC11" s="7">
        <f t="shared" si="1"/>
        <v>43777.799999999996</v>
      </c>
      <c r="AD11" s="7">
        <f t="shared" si="1"/>
        <v>45767.7</v>
      </c>
      <c r="AE11" s="7">
        <f t="shared" si="1"/>
        <v>47757.599999999999</v>
      </c>
      <c r="AF11" s="7">
        <f t="shared" si="1"/>
        <v>49747.499999999993</v>
      </c>
      <c r="AG11" s="7">
        <f t="shared" si="1"/>
        <v>51737.399999999994</v>
      </c>
      <c r="AH11" s="7">
        <f t="shared" si="1"/>
        <v>53727.299999999996</v>
      </c>
      <c r="AI11" s="7">
        <f t="shared" si="1"/>
        <v>55717.2</v>
      </c>
      <c r="AJ11" s="7">
        <f t="shared" si="1"/>
        <v>57707.099999999991</v>
      </c>
      <c r="AK11" s="7">
        <f t="shared" si="1"/>
        <v>59696.999999999993</v>
      </c>
      <c r="AL11" s="7">
        <f t="shared" si="1"/>
        <v>61686.899999999994</v>
      </c>
      <c r="AM11" s="7">
        <f t="shared" si="1"/>
        <v>63676.799999999996</v>
      </c>
      <c r="AN11" s="7">
        <f t="shared" si="1"/>
        <v>65666.7</v>
      </c>
      <c r="AO11" s="7">
        <f t="shared" si="1"/>
        <v>67656.599999999991</v>
      </c>
      <c r="AP11" s="7">
        <f t="shared" si="1"/>
        <v>69646.5</v>
      </c>
      <c r="AQ11" s="7">
        <f>SUM(G11:AP11)</f>
        <v>1258287</v>
      </c>
    </row>
    <row r="12" spans="1:43" ht="15.75">
      <c r="A12" s="8"/>
      <c r="B12" s="7">
        <f t="shared" ref="B12:B36" si="2">+AQ12</f>
        <v>0</v>
      </c>
      <c r="C12" s="8"/>
      <c r="D12" s="27"/>
      <c r="E12" s="27"/>
      <c r="F12" s="77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>
        <f t="shared" ref="AQ12:AQ35" si="3">SUM(G12:AP12)</f>
        <v>0</v>
      </c>
    </row>
    <row r="13" spans="1:43" ht="15.75">
      <c r="A13" s="10" t="s">
        <v>46</v>
      </c>
      <c r="B13" s="7">
        <f t="shared" si="2"/>
        <v>1258287</v>
      </c>
      <c r="C13" s="10" t="s">
        <v>46</v>
      </c>
      <c r="D13" s="27"/>
      <c r="E13" s="27"/>
      <c r="F13" s="77"/>
      <c r="G13" s="11">
        <v>4650</v>
      </c>
      <c r="H13" s="11">
        <f>+Ingresos!C5</f>
        <v>1989.8999999999999</v>
      </c>
      <c r="I13" s="11">
        <f>+Ingresos!D5</f>
        <v>3979.7999999999997</v>
      </c>
      <c r="J13" s="11">
        <f>+Ingresos!E5</f>
        <v>5969.7</v>
      </c>
      <c r="K13" s="11">
        <f>+Ingresos!F5</f>
        <v>7959.5999999999995</v>
      </c>
      <c r="L13" s="11">
        <f>+Ingresos!G5</f>
        <v>9949.4999999999982</v>
      </c>
      <c r="M13" s="11">
        <f>+Ingresos!H5</f>
        <v>11939.4</v>
      </c>
      <c r="N13" s="11">
        <f>+Ingresos!I5</f>
        <v>13929.3</v>
      </c>
      <c r="O13" s="11">
        <f>+Ingresos!J5</f>
        <v>15919.199999999999</v>
      </c>
      <c r="P13" s="11">
        <f>+Ingresos!K5</f>
        <v>17909.099999999999</v>
      </c>
      <c r="Q13" s="11">
        <f>+Ingresos!L5</f>
        <v>19898.999999999996</v>
      </c>
      <c r="R13" s="11">
        <f>+Ingresos!M5</f>
        <v>21888.899999999998</v>
      </c>
      <c r="S13" s="11">
        <f>+Ingresos!N5</f>
        <v>23878.799999999999</v>
      </c>
      <c r="T13" s="11">
        <f>+Ingresos!O5</f>
        <v>25868.699999999997</v>
      </c>
      <c r="U13" s="11">
        <f>+Ingresos!P5</f>
        <v>27858.6</v>
      </c>
      <c r="V13" s="11">
        <f>+Ingresos!Q5</f>
        <v>29848.499999999996</v>
      </c>
      <c r="W13" s="11">
        <f>+Ingresos!R5</f>
        <v>31838.399999999998</v>
      </c>
      <c r="X13" s="11">
        <f>+Ingresos!S5</f>
        <v>33828.299999999996</v>
      </c>
      <c r="Y13" s="11">
        <f>+Ingresos!T5</f>
        <v>35818.199999999997</v>
      </c>
      <c r="Z13" s="11">
        <f>+Ingresos!U5</f>
        <v>37808.1</v>
      </c>
      <c r="AA13" s="11">
        <f>+Ingresos!V5</f>
        <v>39797.999999999993</v>
      </c>
      <c r="AB13" s="11">
        <f>+Ingresos!W5</f>
        <v>41787.899999999994</v>
      </c>
      <c r="AC13" s="11">
        <f>+Ingresos!X5</f>
        <v>43777.799999999996</v>
      </c>
      <c r="AD13" s="11">
        <f>+Ingresos!Y5</f>
        <v>45767.7</v>
      </c>
      <c r="AE13" s="11">
        <f>+Ingresos!Z5</f>
        <v>47757.599999999999</v>
      </c>
      <c r="AF13" s="11">
        <f>+Ingresos!AA5</f>
        <v>49747.499999999993</v>
      </c>
      <c r="AG13" s="11">
        <f>+Ingresos!AB5</f>
        <v>51737.399999999994</v>
      </c>
      <c r="AH13" s="11">
        <f>+Ingresos!AC5</f>
        <v>53727.299999999996</v>
      </c>
      <c r="AI13" s="11">
        <f>+Ingresos!AD5</f>
        <v>55717.2</v>
      </c>
      <c r="AJ13" s="11">
        <f>+Ingresos!AE5</f>
        <v>57707.099999999991</v>
      </c>
      <c r="AK13" s="11">
        <f>+Ingresos!AF5</f>
        <v>59696.999999999993</v>
      </c>
      <c r="AL13" s="11">
        <f>+Ingresos!AG5</f>
        <v>61686.899999999994</v>
      </c>
      <c r="AM13" s="11">
        <f>+Ingresos!AH5</f>
        <v>63676.799999999996</v>
      </c>
      <c r="AN13" s="11">
        <f>+Ingresos!AI5</f>
        <v>65666.7</v>
      </c>
      <c r="AO13" s="11">
        <f>+Ingresos!AJ5</f>
        <v>67656.599999999991</v>
      </c>
      <c r="AP13" s="11">
        <f>+Ingresos!AK5</f>
        <v>69646.5</v>
      </c>
      <c r="AQ13" s="11">
        <f>SUM(G13:AP13)</f>
        <v>1258287</v>
      </c>
    </row>
    <row r="14" spans="1:43" ht="15.75">
      <c r="B14" s="7">
        <f t="shared" si="2"/>
        <v>0</v>
      </c>
      <c r="D14" s="27"/>
      <c r="E14" s="27"/>
      <c r="F14" s="77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>
        <f t="shared" si="3"/>
        <v>0</v>
      </c>
    </row>
    <row r="15" spans="1:43" ht="15.75">
      <c r="A15" s="6" t="s">
        <v>2</v>
      </c>
      <c r="B15" s="7">
        <f t="shared" si="2"/>
        <v>1718898.6422459998</v>
      </c>
      <c r="C15" s="6" t="s">
        <v>2</v>
      </c>
      <c r="D15" s="75"/>
      <c r="E15" s="75"/>
      <c r="F15" s="78">
        <f>SUM(F20:F24)</f>
        <v>0</v>
      </c>
      <c r="G15" s="78">
        <f>SUM(G17:G24)</f>
        <v>27861.223569333331</v>
      </c>
      <c r="H15" s="78">
        <f t="shared" ref="H15:AP15" si="4">SUM(H17:H24)</f>
        <v>26115.532944333332</v>
      </c>
      <c r="I15" s="78">
        <f t="shared" si="4"/>
        <v>27421.404819333333</v>
      </c>
      <c r="J15" s="78">
        <f t="shared" si="4"/>
        <v>28727.27669433333</v>
      </c>
      <c r="K15" s="78">
        <f t="shared" si="4"/>
        <v>30033.148569333331</v>
      </c>
      <c r="L15" s="78">
        <f t="shared" si="4"/>
        <v>31339.020444333331</v>
      </c>
      <c r="M15" s="78">
        <f t="shared" si="4"/>
        <v>32644.892319333332</v>
      </c>
      <c r="N15" s="78">
        <f t="shared" si="4"/>
        <v>33950.764194333329</v>
      </c>
      <c r="O15" s="78">
        <f t="shared" si="4"/>
        <v>35256.636069333334</v>
      </c>
      <c r="P15" s="78">
        <f t="shared" si="4"/>
        <v>36562.507944333331</v>
      </c>
      <c r="Q15" s="78">
        <f t="shared" si="4"/>
        <v>37868.379819333335</v>
      </c>
      <c r="R15" s="78">
        <f t="shared" si="4"/>
        <v>39174.251694333332</v>
      </c>
      <c r="S15" s="78">
        <f t="shared" si="4"/>
        <v>40480.123569333329</v>
      </c>
      <c r="T15" s="78">
        <f t="shared" si="4"/>
        <v>41785.995444333334</v>
      </c>
      <c r="U15" s="78">
        <f t="shared" si="4"/>
        <v>43091.867319333331</v>
      </c>
      <c r="V15" s="78">
        <f t="shared" si="4"/>
        <v>44397.739194333335</v>
      </c>
      <c r="W15" s="78">
        <f t="shared" si="4"/>
        <v>45703.611069333332</v>
      </c>
      <c r="X15" s="78">
        <f t="shared" si="4"/>
        <v>47009.482944333329</v>
      </c>
      <c r="Y15" s="78">
        <f t="shared" si="4"/>
        <v>48315.354819333334</v>
      </c>
      <c r="Z15" s="78">
        <f t="shared" si="4"/>
        <v>49621.226694333331</v>
      </c>
      <c r="AA15" s="78">
        <f t="shared" si="4"/>
        <v>50927.09856933332</v>
      </c>
      <c r="AB15" s="78">
        <f t="shared" si="4"/>
        <v>52232.970444333332</v>
      </c>
      <c r="AC15" s="78">
        <f t="shared" si="4"/>
        <v>53538.842319333329</v>
      </c>
      <c r="AD15" s="78">
        <f t="shared" si="4"/>
        <v>54844.714194333334</v>
      </c>
      <c r="AE15" s="78">
        <f t="shared" si="4"/>
        <v>56150.586069333331</v>
      </c>
      <c r="AF15" s="78">
        <f t="shared" si="4"/>
        <v>57456.45794433332</v>
      </c>
      <c r="AG15" s="78">
        <f t="shared" si="4"/>
        <v>58762.329819333332</v>
      </c>
      <c r="AH15" s="78">
        <f t="shared" si="4"/>
        <v>60068.201694333322</v>
      </c>
      <c r="AI15" s="78">
        <f t="shared" si="4"/>
        <v>61374.073569333326</v>
      </c>
      <c r="AJ15" s="78">
        <f t="shared" si="4"/>
        <v>62679.945444333323</v>
      </c>
      <c r="AK15" s="78">
        <f t="shared" si="4"/>
        <v>63985.81731933332</v>
      </c>
      <c r="AL15" s="78">
        <f t="shared" si="4"/>
        <v>65291.689194333325</v>
      </c>
      <c r="AM15" s="78">
        <f t="shared" si="4"/>
        <v>66597.561069333329</v>
      </c>
      <c r="AN15" s="78">
        <f t="shared" si="4"/>
        <v>67903.432944333326</v>
      </c>
      <c r="AO15" s="78">
        <f t="shared" si="4"/>
        <v>69209.304819333323</v>
      </c>
      <c r="AP15" s="78">
        <f t="shared" si="4"/>
        <v>70515.176694333335</v>
      </c>
      <c r="AQ15" s="78">
        <f>SUM(G15:AP15)</f>
        <v>1718898.6422459998</v>
      </c>
    </row>
    <row r="16" spans="1:43">
      <c r="B16" s="153">
        <f t="shared" si="2"/>
        <v>0</v>
      </c>
      <c r="D16" s="79"/>
      <c r="E16" s="79"/>
      <c r="F16" s="77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>
        <f t="shared" si="3"/>
        <v>0</v>
      </c>
    </row>
    <row r="17" spans="1:43">
      <c r="A17" s="10" t="s">
        <v>48</v>
      </c>
      <c r="B17" s="153">
        <f t="shared" si="2"/>
        <v>102600</v>
      </c>
      <c r="C17" s="10" t="s">
        <v>48</v>
      </c>
      <c r="D17" s="79"/>
      <c r="E17" s="79"/>
      <c r="F17" s="77"/>
      <c r="G17" s="11">
        <f>+'Marketing y Ventas'!B12</f>
        <v>2850</v>
      </c>
      <c r="H17" s="11">
        <f>+'Marketing y Ventas'!C12</f>
        <v>2850</v>
      </c>
      <c r="I17" s="11">
        <f>+'Marketing y Ventas'!D12</f>
        <v>2850</v>
      </c>
      <c r="J17" s="11">
        <f>+'Marketing y Ventas'!E12</f>
        <v>2850</v>
      </c>
      <c r="K17" s="11">
        <f>+'Marketing y Ventas'!F12</f>
        <v>2850</v>
      </c>
      <c r="L17" s="11">
        <f>+'Marketing y Ventas'!G12</f>
        <v>2850</v>
      </c>
      <c r="M17" s="11">
        <f>+'Marketing y Ventas'!H12</f>
        <v>2850</v>
      </c>
      <c r="N17" s="11">
        <f>+'Marketing y Ventas'!I12</f>
        <v>2850</v>
      </c>
      <c r="O17" s="11">
        <f>+'Marketing y Ventas'!J12</f>
        <v>2850</v>
      </c>
      <c r="P17" s="11">
        <f>+'Marketing y Ventas'!K12</f>
        <v>2850</v>
      </c>
      <c r="Q17" s="11">
        <f>+'Marketing y Ventas'!L12</f>
        <v>2850</v>
      </c>
      <c r="R17" s="11">
        <f>+'Marketing y Ventas'!M12</f>
        <v>2850</v>
      </c>
      <c r="S17" s="11">
        <f>+'Marketing y Ventas'!N12</f>
        <v>2850</v>
      </c>
      <c r="T17" s="11">
        <f>+'Marketing y Ventas'!O12</f>
        <v>2850</v>
      </c>
      <c r="U17" s="11">
        <f>+'Marketing y Ventas'!P12</f>
        <v>2850</v>
      </c>
      <c r="V17" s="11">
        <f>+'Marketing y Ventas'!Q12</f>
        <v>2850</v>
      </c>
      <c r="W17" s="11">
        <f>+'Marketing y Ventas'!R12</f>
        <v>2850</v>
      </c>
      <c r="X17" s="11">
        <f>+'Marketing y Ventas'!S12</f>
        <v>2850</v>
      </c>
      <c r="Y17" s="11">
        <f>+'Marketing y Ventas'!T12</f>
        <v>2850</v>
      </c>
      <c r="Z17" s="11">
        <f>+'Marketing y Ventas'!U12</f>
        <v>2850</v>
      </c>
      <c r="AA17" s="11">
        <f>+'Marketing y Ventas'!V12</f>
        <v>2850</v>
      </c>
      <c r="AB17" s="11">
        <f>+'Marketing y Ventas'!W12</f>
        <v>2850</v>
      </c>
      <c r="AC17" s="11">
        <f>+'Marketing y Ventas'!X12</f>
        <v>2850</v>
      </c>
      <c r="AD17" s="11">
        <f>+'Marketing y Ventas'!Y12</f>
        <v>2850</v>
      </c>
      <c r="AE17" s="11">
        <f>+'Marketing y Ventas'!Z12</f>
        <v>2850</v>
      </c>
      <c r="AF17" s="11">
        <f>+'Marketing y Ventas'!AA12</f>
        <v>2850</v>
      </c>
      <c r="AG17" s="11">
        <f>+'Marketing y Ventas'!AB12</f>
        <v>2850</v>
      </c>
      <c r="AH17" s="11">
        <f>+'Marketing y Ventas'!AC12</f>
        <v>2850</v>
      </c>
      <c r="AI17" s="11">
        <f>+'Marketing y Ventas'!AD12</f>
        <v>2850</v>
      </c>
      <c r="AJ17" s="11">
        <f>+'Marketing y Ventas'!AE12</f>
        <v>2850</v>
      </c>
      <c r="AK17" s="11">
        <f>+'Marketing y Ventas'!AF12</f>
        <v>2850</v>
      </c>
      <c r="AL17" s="11">
        <f>+'Marketing y Ventas'!AG12</f>
        <v>2850</v>
      </c>
      <c r="AM17" s="11">
        <f>+'Marketing y Ventas'!AH12</f>
        <v>2850</v>
      </c>
      <c r="AN17" s="11">
        <f>+'Marketing y Ventas'!AI12</f>
        <v>2850</v>
      </c>
      <c r="AO17" s="11">
        <f>+'Marketing y Ventas'!AJ12</f>
        <v>2850</v>
      </c>
      <c r="AP17" s="11">
        <f>+'Marketing y Ventas'!AK12</f>
        <v>2850</v>
      </c>
      <c r="AQ17" s="11">
        <f>SUM(G17:AP17)</f>
        <v>102600</v>
      </c>
    </row>
    <row r="18" spans="1:43">
      <c r="A18" s="10" t="s">
        <v>41</v>
      </c>
      <c r="B18" s="153">
        <f t="shared" si="2"/>
        <v>92031.684839999958</v>
      </c>
      <c r="C18" s="10" t="s">
        <v>41</v>
      </c>
      <c r="D18" s="79"/>
      <c r="E18" s="79"/>
      <c r="F18" s="77"/>
      <c r="G18" s="11">
        <f>+Tecnología!B7</f>
        <v>2556.4356899999998</v>
      </c>
      <c r="H18" s="11">
        <f>+Tecnología!C7</f>
        <v>2556.4356899999998</v>
      </c>
      <c r="I18" s="11">
        <f>+Tecnología!D7</f>
        <v>2556.4356899999998</v>
      </c>
      <c r="J18" s="11">
        <f>+Tecnología!E7</f>
        <v>2556.4356899999998</v>
      </c>
      <c r="K18" s="11">
        <f>+Tecnología!F7</f>
        <v>2556.4356899999998</v>
      </c>
      <c r="L18" s="11">
        <f>+Tecnología!G7</f>
        <v>2556.4356899999998</v>
      </c>
      <c r="M18" s="11">
        <f>+Tecnología!H7</f>
        <v>2556.4356899999998</v>
      </c>
      <c r="N18" s="11">
        <f>+Tecnología!I7</f>
        <v>2556.4356899999998</v>
      </c>
      <c r="O18" s="11">
        <f>+Tecnología!J7</f>
        <v>2556.4356899999998</v>
      </c>
      <c r="P18" s="11">
        <f>+Tecnología!K7</f>
        <v>2556.4356899999998</v>
      </c>
      <c r="Q18" s="11">
        <f>+Tecnología!L7</f>
        <v>2556.4356899999998</v>
      </c>
      <c r="R18" s="11">
        <f>+Tecnología!M7</f>
        <v>2556.4356899999998</v>
      </c>
      <c r="S18" s="11">
        <f>+Tecnología!N7</f>
        <v>2556.4356899999998</v>
      </c>
      <c r="T18" s="11">
        <f>+Tecnología!O7</f>
        <v>2556.4356899999998</v>
      </c>
      <c r="U18" s="11">
        <f>+Tecnología!P7</f>
        <v>2556.4356899999998</v>
      </c>
      <c r="V18" s="11">
        <f>+Tecnología!Q7</f>
        <v>2556.4356899999998</v>
      </c>
      <c r="W18" s="11">
        <f>+Tecnología!R7</f>
        <v>2556.4356899999998</v>
      </c>
      <c r="X18" s="11">
        <f>+Tecnología!S7</f>
        <v>2556.4356899999998</v>
      </c>
      <c r="Y18" s="11">
        <f>+Tecnología!T7</f>
        <v>2556.4356899999998</v>
      </c>
      <c r="Z18" s="11">
        <f>+Tecnología!U7</f>
        <v>2556.4356899999998</v>
      </c>
      <c r="AA18" s="11">
        <f>+Tecnología!V7</f>
        <v>2556.4356899999998</v>
      </c>
      <c r="AB18" s="11">
        <f>+Tecnología!W7</f>
        <v>2556.4356899999998</v>
      </c>
      <c r="AC18" s="11">
        <f>+Tecnología!X7</f>
        <v>2556.4356899999998</v>
      </c>
      <c r="AD18" s="11">
        <f>+Tecnología!Y7</f>
        <v>2556.4356899999998</v>
      </c>
      <c r="AE18" s="11">
        <f>+Tecnología!Z7</f>
        <v>2556.4356899999998</v>
      </c>
      <c r="AF18" s="11">
        <f>+Tecnología!AA7</f>
        <v>2556.4356899999998</v>
      </c>
      <c r="AG18" s="11">
        <f>+Tecnología!AB7</f>
        <v>2556.4356899999998</v>
      </c>
      <c r="AH18" s="11">
        <f>+Tecnología!AC7</f>
        <v>2556.4356899999998</v>
      </c>
      <c r="AI18" s="11">
        <f>+Tecnología!AD7</f>
        <v>2556.4356899999998</v>
      </c>
      <c r="AJ18" s="11">
        <f>+Tecnología!AE7</f>
        <v>2556.4356899999998</v>
      </c>
      <c r="AK18" s="11">
        <f>+Tecnología!AF7</f>
        <v>2556.4356899999998</v>
      </c>
      <c r="AL18" s="11">
        <f>+Tecnología!AG7</f>
        <v>2556.4356899999998</v>
      </c>
      <c r="AM18" s="11">
        <f>+Tecnología!AH7</f>
        <v>2556.4356899999998</v>
      </c>
      <c r="AN18" s="11">
        <f>+Tecnología!AI7</f>
        <v>2556.4356899999998</v>
      </c>
      <c r="AO18" s="11">
        <f>+Tecnología!AJ7</f>
        <v>2556.4356899999998</v>
      </c>
      <c r="AP18" s="11">
        <f>+Tecnología!AK7</f>
        <v>2556.4356899999998</v>
      </c>
      <c r="AQ18" s="11">
        <f>SUM(G18:AP18)</f>
        <v>92031.684839999958</v>
      </c>
    </row>
    <row r="19" spans="1:43">
      <c r="A19" s="10" t="s">
        <v>42</v>
      </c>
      <c r="B19" s="153">
        <f t="shared" si="2"/>
        <v>600300</v>
      </c>
      <c r="C19" s="10" t="s">
        <v>42</v>
      </c>
      <c r="D19" s="79"/>
      <c r="E19" s="79"/>
      <c r="F19" s="77"/>
      <c r="G19" s="11">
        <f>+RRHH!B8</f>
        <v>16675</v>
      </c>
      <c r="H19" s="11">
        <f>+RRHH!C8</f>
        <v>16675</v>
      </c>
      <c r="I19" s="11">
        <f>+RRHH!D8</f>
        <v>16675</v>
      </c>
      <c r="J19" s="11">
        <f>+RRHH!E8</f>
        <v>16675</v>
      </c>
      <c r="K19" s="11">
        <f>+RRHH!F8</f>
        <v>16675</v>
      </c>
      <c r="L19" s="11">
        <f>+RRHH!G8</f>
        <v>16675</v>
      </c>
      <c r="M19" s="11">
        <f>+RRHH!H8</f>
        <v>16675</v>
      </c>
      <c r="N19" s="11">
        <f>+RRHH!I8</f>
        <v>16675</v>
      </c>
      <c r="O19" s="11">
        <f>+RRHH!J8</f>
        <v>16675</v>
      </c>
      <c r="P19" s="11">
        <f>+RRHH!K8</f>
        <v>16675</v>
      </c>
      <c r="Q19" s="11">
        <f>+RRHH!L8</f>
        <v>16675</v>
      </c>
      <c r="R19" s="11">
        <f>+RRHH!M8</f>
        <v>16675</v>
      </c>
      <c r="S19" s="11">
        <f>+RRHH!N8</f>
        <v>16675</v>
      </c>
      <c r="T19" s="11">
        <f>+RRHH!O8</f>
        <v>16675</v>
      </c>
      <c r="U19" s="11">
        <f>+RRHH!P8</f>
        <v>16675</v>
      </c>
      <c r="V19" s="11">
        <f>+RRHH!Q8</f>
        <v>16675</v>
      </c>
      <c r="W19" s="11">
        <f>+RRHH!R8</f>
        <v>16675</v>
      </c>
      <c r="X19" s="11">
        <f>+RRHH!S8</f>
        <v>16675</v>
      </c>
      <c r="Y19" s="11">
        <f>+RRHH!T8</f>
        <v>16675</v>
      </c>
      <c r="Z19" s="11">
        <f>+RRHH!U8</f>
        <v>16675</v>
      </c>
      <c r="AA19" s="11">
        <f>+RRHH!V8</f>
        <v>16675</v>
      </c>
      <c r="AB19" s="11">
        <f>+RRHH!W8</f>
        <v>16675</v>
      </c>
      <c r="AC19" s="11">
        <f>+RRHH!X8</f>
        <v>16675</v>
      </c>
      <c r="AD19" s="11">
        <f>+RRHH!Y8</f>
        <v>16675</v>
      </c>
      <c r="AE19" s="11">
        <f>+RRHH!Z8</f>
        <v>16675</v>
      </c>
      <c r="AF19" s="11">
        <f>+RRHH!AA8</f>
        <v>16675</v>
      </c>
      <c r="AG19" s="11">
        <f>+RRHH!AB8</f>
        <v>16675</v>
      </c>
      <c r="AH19" s="11">
        <f>+RRHH!AC8</f>
        <v>16675</v>
      </c>
      <c r="AI19" s="11">
        <f>+RRHH!AD8</f>
        <v>16675</v>
      </c>
      <c r="AJ19" s="11">
        <f>+RRHH!AE8</f>
        <v>16675</v>
      </c>
      <c r="AK19" s="11">
        <f>+RRHH!AF8</f>
        <v>16675</v>
      </c>
      <c r="AL19" s="11">
        <f>+RRHH!AG8</f>
        <v>16675</v>
      </c>
      <c r="AM19" s="11">
        <f>+RRHH!AH8</f>
        <v>16675</v>
      </c>
      <c r="AN19" s="11">
        <f>+RRHH!AI8</f>
        <v>16675</v>
      </c>
      <c r="AO19" s="11">
        <f>+RRHH!AJ8</f>
        <v>16675</v>
      </c>
      <c r="AP19" s="11">
        <f>+RRHH!AK8</f>
        <v>16675</v>
      </c>
      <c r="AQ19" s="11">
        <f>SUM(G19:AP19)</f>
        <v>600300</v>
      </c>
    </row>
    <row r="20" spans="1:43">
      <c r="A20" s="10" t="s">
        <v>40</v>
      </c>
      <c r="B20" s="153">
        <f t="shared" si="2"/>
        <v>58680</v>
      </c>
      <c r="C20" s="10" t="s">
        <v>40</v>
      </c>
      <c r="D20" s="79"/>
      <c r="E20" s="79"/>
      <c r="F20" s="77"/>
      <c r="G20" s="11">
        <f>+CIF!B12</f>
        <v>1630</v>
      </c>
      <c r="H20" s="11">
        <f>+CIF!C12</f>
        <v>1630</v>
      </c>
      <c r="I20" s="11">
        <f>+CIF!D12</f>
        <v>1630</v>
      </c>
      <c r="J20" s="11">
        <f>+CIF!E12</f>
        <v>1630</v>
      </c>
      <c r="K20" s="11">
        <f>+CIF!F12</f>
        <v>1630</v>
      </c>
      <c r="L20" s="11">
        <f>+CIF!G12</f>
        <v>1630</v>
      </c>
      <c r="M20" s="11">
        <f>+CIF!H12</f>
        <v>1630</v>
      </c>
      <c r="N20" s="11">
        <f>+CIF!I12</f>
        <v>1630</v>
      </c>
      <c r="O20" s="11">
        <f>+CIF!J12</f>
        <v>1630</v>
      </c>
      <c r="P20" s="11">
        <f>+CIF!K12</f>
        <v>1630</v>
      </c>
      <c r="Q20" s="11">
        <f>+CIF!L12</f>
        <v>1630</v>
      </c>
      <c r="R20" s="11">
        <f>+CIF!M12</f>
        <v>1630</v>
      </c>
      <c r="S20" s="11">
        <f>+CIF!N12</f>
        <v>1630</v>
      </c>
      <c r="T20" s="11">
        <f>+CIF!O12</f>
        <v>1630</v>
      </c>
      <c r="U20" s="11">
        <f>+CIF!P12</f>
        <v>1630</v>
      </c>
      <c r="V20" s="11">
        <f>+CIF!Q12</f>
        <v>1630</v>
      </c>
      <c r="W20" s="11">
        <f>+CIF!R12</f>
        <v>1630</v>
      </c>
      <c r="X20" s="11">
        <f>+CIF!S12</f>
        <v>1630</v>
      </c>
      <c r="Y20" s="11">
        <f>+CIF!T12</f>
        <v>1630</v>
      </c>
      <c r="Z20" s="11">
        <f>+CIF!U12</f>
        <v>1630</v>
      </c>
      <c r="AA20" s="11">
        <f>+CIF!V12</f>
        <v>1630</v>
      </c>
      <c r="AB20" s="11">
        <f>+CIF!W12</f>
        <v>1630</v>
      </c>
      <c r="AC20" s="11">
        <f>+CIF!X12</f>
        <v>1630</v>
      </c>
      <c r="AD20" s="11">
        <f>+CIF!Y12</f>
        <v>1630</v>
      </c>
      <c r="AE20" s="11">
        <f>+CIF!Z12</f>
        <v>1630</v>
      </c>
      <c r="AF20" s="11">
        <f>+CIF!AA12</f>
        <v>1630</v>
      </c>
      <c r="AG20" s="11">
        <f>+CIF!AB12</f>
        <v>1630</v>
      </c>
      <c r="AH20" s="11">
        <f>+CIF!AC12</f>
        <v>1630</v>
      </c>
      <c r="AI20" s="11">
        <f>+CIF!AD12</f>
        <v>1630</v>
      </c>
      <c r="AJ20" s="11">
        <f>+CIF!AE12</f>
        <v>1630</v>
      </c>
      <c r="AK20" s="11">
        <f>+CIF!AF12</f>
        <v>1630</v>
      </c>
      <c r="AL20" s="11">
        <f>+CIF!AG12</f>
        <v>1630</v>
      </c>
      <c r="AM20" s="11">
        <f>+CIF!AH12</f>
        <v>1630</v>
      </c>
      <c r="AN20" s="11">
        <f>+CIF!AI12</f>
        <v>1630</v>
      </c>
      <c r="AO20" s="11">
        <f>+CIF!AJ12</f>
        <v>1630</v>
      </c>
      <c r="AP20" s="11">
        <f>+CIF!AK12</f>
        <v>1630</v>
      </c>
      <c r="AQ20" s="11">
        <f>SUM(G20:AP20)</f>
        <v>58680</v>
      </c>
    </row>
    <row r="21" spans="1:43">
      <c r="A21" s="10" t="s">
        <v>47</v>
      </c>
      <c r="B21" s="153">
        <f t="shared" si="2"/>
        <v>786429.375</v>
      </c>
      <c r="C21" s="10" t="s">
        <v>47</v>
      </c>
      <c r="D21" s="79"/>
      <c r="E21" s="79"/>
      <c r="F21" s="77"/>
      <c r="G21" s="11">
        <f>+G13/1.6</f>
        <v>2906.25</v>
      </c>
      <c r="H21" s="11">
        <f t="shared" ref="H21:AP21" si="5">+H13/1.6</f>
        <v>1243.6874999999998</v>
      </c>
      <c r="I21" s="11">
        <f t="shared" si="5"/>
        <v>2487.3749999999995</v>
      </c>
      <c r="J21" s="11">
        <f t="shared" si="5"/>
        <v>3731.0624999999995</v>
      </c>
      <c r="K21" s="11">
        <f t="shared" si="5"/>
        <v>4974.7499999999991</v>
      </c>
      <c r="L21" s="11">
        <f t="shared" si="5"/>
        <v>6218.4374999999982</v>
      </c>
      <c r="M21" s="11">
        <f t="shared" si="5"/>
        <v>7462.1249999999991</v>
      </c>
      <c r="N21" s="11">
        <f t="shared" si="5"/>
        <v>8705.8124999999982</v>
      </c>
      <c r="O21" s="11">
        <f t="shared" si="5"/>
        <v>9949.4999999999982</v>
      </c>
      <c r="P21" s="11">
        <f t="shared" si="5"/>
        <v>11193.187499999998</v>
      </c>
      <c r="Q21" s="11">
        <f t="shared" si="5"/>
        <v>12436.874999999996</v>
      </c>
      <c r="R21" s="11">
        <f t="shared" si="5"/>
        <v>13680.562499999998</v>
      </c>
      <c r="S21" s="11">
        <f t="shared" si="5"/>
        <v>14924.249999999998</v>
      </c>
      <c r="T21" s="11">
        <f t="shared" si="5"/>
        <v>16167.937499999998</v>
      </c>
      <c r="U21" s="11">
        <f t="shared" si="5"/>
        <v>17411.624999999996</v>
      </c>
      <c r="V21" s="11">
        <f t="shared" si="5"/>
        <v>18655.312499999996</v>
      </c>
      <c r="W21" s="11">
        <f t="shared" si="5"/>
        <v>19898.999999999996</v>
      </c>
      <c r="X21" s="11">
        <f t="shared" si="5"/>
        <v>21142.687499999996</v>
      </c>
      <c r="Y21" s="11">
        <f t="shared" si="5"/>
        <v>22386.374999999996</v>
      </c>
      <c r="Z21" s="11">
        <f t="shared" si="5"/>
        <v>23630.062499999996</v>
      </c>
      <c r="AA21" s="11">
        <f t="shared" si="5"/>
        <v>24873.749999999993</v>
      </c>
      <c r="AB21" s="11">
        <f t="shared" si="5"/>
        <v>26117.437499999996</v>
      </c>
      <c r="AC21" s="11">
        <f t="shared" si="5"/>
        <v>27361.124999999996</v>
      </c>
      <c r="AD21" s="11">
        <f t="shared" si="5"/>
        <v>28604.812499999996</v>
      </c>
      <c r="AE21" s="11">
        <f t="shared" si="5"/>
        <v>29848.499999999996</v>
      </c>
      <c r="AF21" s="11">
        <f t="shared" si="5"/>
        <v>31092.187499999993</v>
      </c>
      <c r="AG21" s="11">
        <f t="shared" si="5"/>
        <v>32335.874999999996</v>
      </c>
      <c r="AH21" s="11">
        <f t="shared" si="5"/>
        <v>33579.562499999993</v>
      </c>
      <c r="AI21" s="11">
        <f t="shared" si="5"/>
        <v>34823.249999999993</v>
      </c>
      <c r="AJ21" s="11">
        <f t="shared" si="5"/>
        <v>36066.937499999993</v>
      </c>
      <c r="AK21" s="11">
        <f t="shared" si="5"/>
        <v>37310.624999999993</v>
      </c>
      <c r="AL21" s="11">
        <f t="shared" si="5"/>
        <v>38554.312499999993</v>
      </c>
      <c r="AM21" s="11">
        <f t="shared" si="5"/>
        <v>39797.999999999993</v>
      </c>
      <c r="AN21" s="11">
        <f t="shared" si="5"/>
        <v>41041.687499999993</v>
      </c>
      <c r="AO21" s="11">
        <f t="shared" si="5"/>
        <v>42285.374999999993</v>
      </c>
      <c r="AP21" s="11">
        <f t="shared" si="5"/>
        <v>43529.0625</v>
      </c>
      <c r="AQ21" s="11">
        <f>SUM(G21:AP21)</f>
        <v>786429.375</v>
      </c>
    </row>
    <row r="22" spans="1:43">
      <c r="B22" s="153">
        <f t="shared" si="2"/>
        <v>0</v>
      </c>
      <c r="D22" s="99"/>
      <c r="F22" s="80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>
        <f t="shared" si="3"/>
        <v>0</v>
      </c>
    </row>
    <row r="23" spans="1:43" ht="15.75">
      <c r="A23" s="10" t="s">
        <v>18</v>
      </c>
      <c r="B23" s="153">
        <f t="shared" si="2"/>
        <v>76872.052991999997</v>
      </c>
      <c r="C23" s="10" t="s">
        <v>18</v>
      </c>
      <c r="D23" s="81">
        <v>0.05</v>
      </c>
      <c r="E23" s="81"/>
      <c r="F23" s="11">
        <f t="shared" ref="F23:AP23" si="6">$D$23*SUM(F18:F22)</f>
        <v>0</v>
      </c>
      <c r="G23" s="11">
        <f t="shared" si="6"/>
        <v>1188.3842844999999</v>
      </c>
      <c r="H23" s="11">
        <f t="shared" si="6"/>
        <v>1105.2561595</v>
      </c>
      <c r="I23" s="11">
        <f t="shared" si="6"/>
        <v>1167.4405345</v>
      </c>
      <c r="J23" s="11">
        <f t="shared" si="6"/>
        <v>1229.6249095000001</v>
      </c>
      <c r="K23" s="11">
        <f t="shared" si="6"/>
        <v>1291.8092845000001</v>
      </c>
      <c r="L23" s="11">
        <f t="shared" si="6"/>
        <v>1353.9936594999999</v>
      </c>
      <c r="M23" s="11">
        <f t="shared" si="6"/>
        <v>1416.1780345</v>
      </c>
      <c r="N23" s="11">
        <f t="shared" si="6"/>
        <v>1478.3624095</v>
      </c>
      <c r="O23" s="11">
        <f t="shared" si="6"/>
        <v>1540.5467845000001</v>
      </c>
      <c r="P23" s="11">
        <f t="shared" si="6"/>
        <v>1602.7311595000001</v>
      </c>
      <c r="Q23" s="11">
        <f t="shared" si="6"/>
        <v>1664.9155344999999</v>
      </c>
      <c r="R23" s="11">
        <f t="shared" si="6"/>
        <v>1727.0999095</v>
      </c>
      <c r="S23" s="11">
        <f t="shared" si="6"/>
        <v>1789.2842845</v>
      </c>
      <c r="T23" s="11">
        <f t="shared" si="6"/>
        <v>1851.4686595000001</v>
      </c>
      <c r="U23" s="11">
        <f t="shared" si="6"/>
        <v>1913.6530345000001</v>
      </c>
      <c r="V23" s="11">
        <f t="shared" si="6"/>
        <v>1975.8374094999999</v>
      </c>
      <c r="W23" s="11">
        <f t="shared" si="6"/>
        <v>2038.0217845</v>
      </c>
      <c r="X23" s="11">
        <f t="shared" si="6"/>
        <v>2100.2061595</v>
      </c>
      <c r="Y23" s="11">
        <f t="shared" si="6"/>
        <v>2162.3905344999998</v>
      </c>
      <c r="Z23" s="11">
        <f t="shared" si="6"/>
        <v>2224.5749095000001</v>
      </c>
      <c r="AA23" s="11">
        <f t="shared" si="6"/>
        <v>2286.7592844999995</v>
      </c>
      <c r="AB23" s="11">
        <f t="shared" si="6"/>
        <v>2348.9436595000002</v>
      </c>
      <c r="AC23" s="11">
        <f t="shared" si="6"/>
        <v>2411.1280345</v>
      </c>
      <c r="AD23" s="11">
        <f t="shared" si="6"/>
        <v>2473.3124095000003</v>
      </c>
      <c r="AE23" s="11">
        <f t="shared" si="6"/>
        <v>2535.4967845000001</v>
      </c>
      <c r="AF23" s="11">
        <f t="shared" si="6"/>
        <v>2597.6811594999999</v>
      </c>
      <c r="AG23" s="11">
        <f t="shared" si="6"/>
        <v>2659.8655345000002</v>
      </c>
      <c r="AH23" s="11">
        <f t="shared" si="6"/>
        <v>2722.0499094999996</v>
      </c>
      <c r="AI23" s="11">
        <f t="shared" si="6"/>
        <v>2784.2342844999998</v>
      </c>
      <c r="AJ23" s="11">
        <f t="shared" si="6"/>
        <v>2846.4186594999996</v>
      </c>
      <c r="AK23" s="11">
        <f t="shared" si="6"/>
        <v>2908.6030344999999</v>
      </c>
      <c r="AL23" s="11">
        <f t="shared" si="6"/>
        <v>2970.7874094999997</v>
      </c>
      <c r="AM23" s="11">
        <f t="shared" si="6"/>
        <v>3032.9717844999996</v>
      </c>
      <c r="AN23" s="11">
        <f t="shared" si="6"/>
        <v>3095.1561594999998</v>
      </c>
      <c r="AO23" s="11">
        <f t="shared" si="6"/>
        <v>3157.3405344999996</v>
      </c>
      <c r="AP23" s="11">
        <f t="shared" si="6"/>
        <v>3219.5249094999999</v>
      </c>
      <c r="AQ23" s="11">
        <f>SUM(G23:AP23)</f>
        <v>76872.052991999997</v>
      </c>
    </row>
    <row r="24" spans="1:43">
      <c r="A24" s="10" t="s">
        <v>0</v>
      </c>
      <c r="B24" s="153">
        <f t="shared" si="2"/>
        <v>1985.5294139999983</v>
      </c>
      <c r="C24" s="10" t="s">
        <v>0</v>
      </c>
      <c r="F24" s="80"/>
      <c r="G24" s="11">
        <f>F44/60</f>
        <v>55.153594833333322</v>
      </c>
      <c r="H24" s="11">
        <f t="shared" ref="H24:AP24" si="7">G24</f>
        <v>55.153594833333322</v>
      </c>
      <c r="I24" s="11">
        <f t="shared" si="7"/>
        <v>55.153594833333322</v>
      </c>
      <c r="J24" s="11">
        <f t="shared" si="7"/>
        <v>55.153594833333322</v>
      </c>
      <c r="K24" s="11">
        <f t="shared" si="7"/>
        <v>55.153594833333322</v>
      </c>
      <c r="L24" s="11">
        <f t="shared" si="7"/>
        <v>55.153594833333322</v>
      </c>
      <c r="M24" s="11">
        <f t="shared" si="7"/>
        <v>55.153594833333322</v>
      </c>
      <c r="N24" s="11">
        <f t="shared" si="7"/>
        <v>55.153594833333322</v>
      </c>
      <c r="O24" s="11">
        <f t="shared" si="7"/>
        <v>55.153594833333322</v>
      </c>
      <c r="P24" s="11">
        <f t="shared" si="7"/>
        <v>55.153594833333322</v>
      </c>
      <c r="Q24" s="11">
        <f t="shared" si="7"/>
        <v>55.153594833333322</v>
      </c>
      <c r="R24" s="11">
        <f t="shared" si="7"/>
        <v>55.153594833333322</v>
      </c>
      <c r="S24" s="11">
        <f t="shared" si="7"/>
        <v>55.153594833333322</v>
      </c>
      <c r="T24" s="11">
        <f t="shared" si="7"/>
        <v>55.153594833333322</v>
      </c>
      <c r="U24" s="11">
        <f t="shared" si="7"/>
        <v>55.153594833333322</v>
      </c>
      <c r="V24" s="11">
        <f t="shared" si="7"/>
        <v>55.153594833333322</v>
      </c>
      <c r="W24" s="11">
        <f t="shared" si="7"/>
        <v>55.153594833333322</v>
      </c>
      <c r="X24" s="11">
        <f t="shared" si="7"/>
        <v>55.153594833333322</v>
      </c>
      <c r="Y24" s="11">
        <f t="shared" si="7"/>
        <v>55.153594833333322</v>
      </c>
      <c r="Z24" s="11">
        <f t="shared" si="7"/>
        <v>55.153594833333322</v>
      </c>
      <c r="AA24" s="11">
        <f t="shared" si="7"/>
        <v>55.153594833333322</v>
      </c>
      <c r="AB24" s="11">
        <f t="shared" si="7"/>
        <v>55.153594833333322</v>
      </c>
      <c r="AC24" s="11">
        <f t="shared" si="7"/>
        <v>55.153594833333322</v>
      </c>
      <c r="AD24" s="11">
        <f t="shared" si="7"/>
        <v>55.153594833333322</v>
      </c>
      <c r="AE24" s="11">
        <f t="shared" si="7"/>
        <v>55.153594833333322</v>
      </c>
      <c r="AF24" s="11">
        <f t="shared" si="7"/>
        <v>55.153594833333322</v>
      </c>
      <c r="AG24" s="11">
        <f t="shared" si="7"/>
        <v>55.153594833333322</v>
      </c>
      <c r="AH24" s="11">
        <f t="shared" si="7"/>
        <v>55.153594833333322</v>
      </c>
      <c r="AI24" s="11">
        <f t="shared" si="7"/>
        <v>55.153594833333322</v>
      </c>
      <c r="AJ24" s="11">
        <f t="shared" si="7"/>
        <v>55.153594833333322</v>
      </c>
      <c r="AK24" s="11">
        <f t="shared" si="7"/>
        <v>55.153594833333322</v>
      </c>
      <c r="AL24" s="11">
        <f t="shared" si="7"/>
        <v>55.153594833333322</v>
      </c>
      <c r="AM24" s="11">
        <f t="shared" si="7"/>
        <v>55.153594833333322</v>
      </c>
      <c r="AN24" s="11">
        <f t="shared" si="7"/>
        <v>55.153594833333322</v>
      </c>
      <c r="AO24" s="11">
        <f t="shared" si="7"/>
        <v>55.153594833333322</v>
      </c>
      <c r="AP24" s="11">
        <f t="shared" si="7"/>
        <v>55.153594833333322</v>
      </c>
      <c r="AQ24" s="11">
        <f>SUM(G24:AP24)</f>
        <v>1985.5294139999983</v>
      </c>
    </row>
    <row r="25" spans="1:43" ht="15.75">
      <c r="A25" s="17"/>
      <c r="B25" s="153">
        <f t="shared" si="2"/>
        <v>0</v>
      </c>
      <c r="C25" s="12"/>
      <c r="F25" s="80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>
        <f t="shared" si="3"/>
        <v>0</v>
      </c>
    </row>
    <row r="26" spans="1:43" ht="15.75">
      <c r="A26" s="13" t="s">
        <v>8</v>
      </c>
      <c r="B26" s="7">
        <f t="shared" si="2"/>
        <v>-460611.642246</v>
      </c>
      <c r="C26" s="13" t="s">
        <v>8</v>
      </c>
      <c r="D26" s="14"/>
      <c r="E26" s="14"/>
      <c r="F26" s="15">
        <f t="shared" ref="F26:AP26" si="8">+F11-F15</f>
        <v>0</v>
      </c>
      <c r="G26" s="7">
        <f>+G11-G15</f>
        <v>-23211.223569333331</v>
      </c>
      <c r="H26" s="7">
        <f t="shared" si="8"/>
        <v>-24125.632944333331</v>
      </c>
      <c r="I26" s="7">
        <f t="shared" si="8"/>
        <v>-23441.604819333334</v>
      </c>
      <c r="J26" s="7">
        <f t="shared" si="8"/>
        <v>-22757.576694333329</v>
      </c>
      <c r="K26" s="7">
        <f t="shared" si="8"/>
        <v>-22073.548569333332</v>
      </c>
      <c r="L26" s="7">
        <f t="shared" si="8"/>
        <v>-21389.520444333335</v>
      </c>
      <c r="M26" s="7">
        <f t="shared" si="8"/>
        <v>-20705.492319333331</v>
      </c>
      <c r="N26" s="7">
        <f t="shared" si="8"/>
        <v>-20021.46419433333</v>
      </c>
      <c r="O26" s="7">
        <f t="shared" si="8"/>
        <v>-19337.436069333336</v>
      </c>
      <c r="P26" s="7">
        <f t="shared" si="8"/>
        <v>-18653.407944333332</v>
      </c>
      <c r="Q26" s="7">
        <f t="shared" si="8"/>
        <v>-17969.379819333339</v>
      </c>
      <c r="R26" s="7">
        <f t="shared" si="8"/>
        <v>-17285.351694333334</v>
      </c>
      <c r="S26" s="7">
        <f t="shared" si="8"/>
        <v>-16601.32356933333</v>
      </c>
      <c r="T26" s="7">
        <f t="shared" si="8"/>
        <v>-15917.295444333336</v>
      </c>
      <c r="U26" s="7">
        <f t="shared" si="8"/>
        <v>-15233.267319333332</v>
      </c>
      <c r="V26" s="7">
        <f t="shared" si="8"/>
        <v>-14549.239194333339</v>
      </c>
      <c r="W26" s="7">
        <f t="shared" si="8"/>
        <v>-13865.211069333334</v>
      </c>
      <c r="X26" s="7">
        <f t="shared" si="8"/>
        <v>-13181.182944333334</v>
      </c>
      <c r="Y26" s="7">
        <f t="shared" si="8"/>
        <v>-12497.154819333336</v>
      </c>
      <c r="Z26" s="7">
        <f t="shared" si="8"/>
        <v>-11813.126694333332</v>
      </c>
      <c r="AA26" s="7">
        <f t="shared" si="8"/>
        <v>-11129.098569333328</v>
      </c>
      <c r="AB26" s="7">
        <f t="shared" si="8"/>
        <v>-10445.070444333338</v>
      </c>
      <c r="AC26" s="7">
        <f t="shared" si="8"/>
        <v>-9761.0423193333336</v>
      </c>
      <c r="AD26" s="7">
        <f t="shared" si="8"/>
        <v>-9077.0141943333365</v>
      </c>
      <c r="AE26" s="7">
        <f t="shared" si="8"/>
        <v>-8392.9860693333321</v>
      </c>
      <c r="AF26" s="7">
        <f t="shared" si="8"/>
        <v>-7708.9579443333278</v>
      </c>
      <c r="AG26" s="7">
        <f t="shared" si="8"/>
        <v>-7024.9298193333379</v>
      </c>
      <c r="AH26" s="7">
        <f t="shared" si="8"/>
        <v>-6340.9016943333263</v>
      </c>
      <c r="AI26" s="7">
        <f t="shared" si="8"/>
        <v>-5656.8735693333292</v>
      </c>
      <c r="AJ26" s="7">
        <f t="shared" si="8"/>
        <v>-4972.8454443333321</v>
      </c>
      <c r="AK26" s="7">
        <f t="shared" si="8"/>
        <v>-4288.8173193333278</v>
      </c>
      <c r="AL26" s="7">
        <f t="shared" si="8"/>
        <v>-3604.7891943333307</v>
      </c>
      <c r="AM26" s="7">
        <f t="shared" si="8"/>
        <v>-2920.7610693333336</v>
      </c>
      <c r="AN26" s="7">
        <f t="shared" si="8"/>
        <v>-2236.7329443333292</v>
      </c>
      <c r="AO26" s="7">
        <f t="shared" si="8"/>
        <v>-1552.7048193333321</v>
      </c>
      <c r="AP26" s="7">
        <f t="shared" si="8"/>
        <v>-868.67669433333504</v>
      </c>
      <c r="AQ26" s="7">
        <f>SUM(G26:AP26)</f>
        <v>-460611.642246</v>
      </c>
    </row>
    <row r="27" spans="1:43" ht="15.75">
      <c r="A27" s="16"/>
      <c r="B27" s="7">
        <f t="shared" si="2"/>
        <v>0</v>
      </c>
      <c r="C27" s="16"/>
      <c r="F27" s="80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>
        <f t="shared" si="3"/>
        <v>0</v>
      </c>
    </row>
    <row r="28" spans="1:43" ht="15.75">
      <c r="A28" s="6" t="s">
        <v>3</v>
      </c>
      <c r="B28" s="7">
        <f t="shared" si="2"/>
        <v>12582.869999999999</v>
      </c>
      <c r="C28" s="6" t="s">
        <v>3</v>
      </c>
      <c r="D28" s="82"/>
      <c r="E28" s="82"/>
      <c r="F28" s="7">
        <f t="shared" ref="F28:AP28" si="9">SUM(F30:F30)</f>
        <v>0</v>
      </c>
      <c r="G28" s="7">
        <f>SUM(G30:G30)</f>
        <v>46.5</v>
      </c>
      <c r="H28" s="7">
        <f t="shared" si="9"/>
        <v>19.898999999999997</v>
      </c>
      <c r="I28" s="7">
        <f t="shared" si="9"/>
        <v>39.797999999999995</v>
      </c>
      <c r="J28" s="7">
        <f t="shared" si="9"/>
        <v>59.697000000000003</v>
      </c>
      <c r="K28" s="7">
        <f t="shared" si="9"/>
        <v>79.595999999999989</v>
      </c>
      <c r="L28" s="7">
        <f t="shared" si="9"/>
        <v>99.49499999999999</v>
      </c>
      <c r="M28" s="7">
        <f t="shared" si="9"/>
        <v>119.39400000000001</v>
      </c>
      <c r="N28" s="7">
        <f t="shared" si="9"/>
        <v>139.29300000000001</v>
      </c>
      <c r="O28" s="7">
        <f t="shared" si="9"/>
        <v>159.19199999999998</v>
      </c>
      <c r="P28" s="7">
        <f t="shared" si="9"/>
        <v>179.09099999999998</v>
      </c>
      <c r="Q28" s="7">
        <f t="shared" si="9"/>
        <v>198.98999999999998</v>
      </c>
      <c r="R28" s="7">
        <f t="shared" si="9"/>
        <v>218.88899999999998</v>
      </c>
      <c r="S28" s="7">
        <f t="shared" si="9"/>
        <v>238.78800000000001</v>
      </c>
      <c r="T28" s="7">
        <f t="shared" si="9"/>
        <v>258.68699999999995</v>
      </c>
      <c r="U28" s="7">
        <f t="shared" si="9"/>
        <v>278.58600000000001</v>
      </c>
      <c r="V28" s="7">
        <f t="shared" si="9"/>
        <v>298.48499999999996</v>
      </c>
      <c r="W28" s="7">
        <f t="shared" si="9"/>
        <v>318.38399999999996</v>
      </c>
      <c r="X28" s="7">
        <f t="shared" si="9"/>
        <v>338.28299999999996</v>
      </c>
      <c r="Y28" s="7">
        <f t="shared" si="9"/>
        <v>358.18199999999996</v>
      </c>
      <c r="Z28" s="7">
        <f t="shared" si="9"/>
        <v>378.08100000000002</v>
      </c>
      <c r="AA28" s="7">
        <f t="shared" si="9"/>
        <v>397.97999999999996</v>
      </c>
      <c r="AB28" s="7">
        <f t="shared" si="9"/>
        <v>417.87899999999996</v>
      </c>
      <c r="AC28" s="7">
        <f t="shared" si="9"/>
        <v>437.77799999999996</v>
      </c>
      <c r="AD28" s="7">
        <f t="shared" si="9"/>
        <v>457.67699999999996</v>
      </c>
      <c r="AE28" s="7">
        <f t="shared" si="9"/>
        <v>477.57600000000002</v>
      </c>
      <c r="AF28" s="7">
        <f t="shared" si="9"/>
        <v>497.47499999999997</v>
      </c>
      <c r="AG28" s="7">
        <f t="shared" si="9"/>
        <v>517.37399999999991</v>
      </c>
      <c r="AH28" s="7">
        <f t="shared" si="9"/>
        <v>537.27299999999991</v>
      </c>
      <c r="AI28" s="7">
        <f t="shared" si="9"/>
        <v>557.17200000000003</v>
      </c>
      <c r="AJ28" s="7">
        <f t="shared" si="9"/>
        <v>577.07099999999991</v>
      </c>
      <c r="AK28" s="7">
        <f t="shared" si="9"/>
        <v>596.96999999999991</v>
      </c>
      <c r="AL28" s="7">
        <f t="shared" si="9"/>
        <v>616.86899999999991</v>
      </c>
      <c r="AM28" s="7">
        <f t="shared" si="9"/>
        <v>636.76799999999992</v>
      </c>
      <c r="AN28" s="7">
        <f t="shared" si="9"/>
        <v>656.66700000000003</v>
      </c>
      <c r="AO28" s="7">
        <f t="shared" si="9"/>
        <v>676.56599999999992</v>
      </c>
      <c r="AP28" s="7">
        <f t="shared" si="9"/>
        <v>696.46500000000003</v>
      </c>
      <c r="AQ28" s="7">
        <f>SUM(G28:AP28)</f>
        <v>12582.869999999999</v>
      </c>
    </row>
    <row r="29" spans="1:43" ht="15.75">
      <c r="A29" s="16"/>
      <c r="B29" s="7">
        <f t="shared" si="2"/>
        <v>0</v>
      </c>
      <c r="C29" s="16"/>
      <c r="F29" s="80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>
        <f t="shared" si="3"/>
        <v>0</v>
      </c>
    </row>
    <row r="30" spans="1:43" ht="15.75">
      <c r="A30" s="17" t="s">
        <v>19</v>
      </c>
      <c r="B30" s="7">
        <f t="shared" si="2"/>
        <v>12582.869999999999</v>
      </c>
      <c r="C30" s="17" t="s">
        <v>19</v>
      </c>
      <c r="D30" s="83">
        <v>0.01</v>
      </c>
      <c r="E30" s="83"/>
      <c r="F30" s="11">
        <f t="shared" ref="F30:AP30" si="10">+$D$30*F11</f>
        <v>0</v>
      </c>
      <c r="G30" s="11">
        <f>+$D$30*G11</f>
        <v>46.5</v>
      </c>
      <c r="H30" s="11">
        <f t="shared" si="10"/>
        <v>19.898999999999997</v>
      </c>
      <c r="I30" s="11">
        <f t="shared" si="10"/>
        <v>39.797999999999995</v>
      </c>
      <c r="J30" s="11">
        <f t="shared" si="10"/>
        <v>59.697000000000003</v>
      </c>
      <c r="K30" s="11">
        <f t="shared" si="10"/>
        <v>79.595999999999989</v>
      </c>
      <c r="L30" s="11">
        <f t="shared" si="10"/>
        <v>99.49499999999999</v>
      </c>
      <c r="M30" s="11">
        <f t="shared" si="10"/>
        <v>119.39400000000001</v>
      </c>
      <c r="N30" s="11">
        <f t="shared" si="10"/>
        <v>139.29300000000001</v>
      </c>
      <c r="O30" s="11">
        <f t="shared" si="10"/>
        <v>159.19199999999998</v>
      </c>
      <c r="P30" s="11">
        <f t="shared" si="10"/>
        <v>179.09099999999998</v>
      </c>
      <c r="Q30" s="11">
        <f t="shared" si="10"/>
        <v>198.98999999999998</v>
      </c>
      <c r="R30" s="11">
        <f t="shared" si="10"/>
        <v>218.88899999999998</v>
      </c>
      <c r="S30" s="11">
        <f t="shared" si="10"/>
        <v>238.78800000000001</v>
      </c>
      <c r="T30" s="11">
        <f t="shared" si="10"/>
        <v>258.68699999999995</v>
      </c>
      <c r="U30" s="11">
        <f t="shared" si="10"/>
        <v>278.58600000000001</v>
      </c>
      <c r="V30" s="11">
        <f t="shared" si="10"/>
        <v>298.48499999999996</v>
      </c>
      <c r="W30" s="11">
        <f t="shared" si="10"/>
        <v>318.38399999999996</v>
      </c>
      <c r="X30" s="11">
        <f t="shared" si="10"/>
        <v>338.28299999999996</v>
      </c>
      <c r="Y30" s="11">
        <f t="shared" si="10"/>
        <v>358.18199999999996</v>
      </c>
      <c r="Z30" s="11">
        <f t="shared" si="10"/>
        <v>378.08100000000002</v>
      </c>
      <c r="AA30" s="11">
        <f t="shared" si="10"/>
        <v>397.97999999999996</v>
      </c>
      <c r="AB30" s="11">
        <f t="shared" si="10"/>
        <v>417.87899999999996</v>
      </c>
      <c r="AC30" s="11">
        <f t="shared" si="10"/>
        <v>437.77799999999996</v>
      </c>
      <c r="AD30" s="11">
        <f t="shared" si="10"/>
        <v>457.67699999999996</v>
      </c>
      <c r="AE30" s="11">
        <f t="shared" si="10"/>
        <v>477.57600000000002</v>
      </c>
      <c r="AF30" s="11">
        <f t="shared" si="10"/>
        <v>497.47499999999997</v>
      </c>
      <c r="AG30" s="11">
        <f t="shared" si="10"/>
        <v>517.37399999999991</v>
      </c>
      <c r="AH30" s="11">
        <f t="shared" si="10"/>
        <v>537.27299999999991</v>
      </c>
      <c r="AI30" s="11">
        <f t="shared" si="10"/>
        <v>557.17200000000003</v>
      </c>
      <c r="AJ30" s="11">
        <f t="shared" si="10"/>
        <v>577.07099999999991</v>
      </c>
      <c r="AK30" s="11">
        <f t="shared" si="10"/>
        <v>596.96999999999991</v>
      </c>
      <c r="AL30" s="11">
        <f t="shared" si="10"/>
        <v>616.86899999999991</v>
      </c>
      <c r="AM30" s="11">
        <f t="shared" si="10"/>
        <v>636.76799999999992</v>
      </c>
      <c r="AN30" s="11">
        <f t="shared" si="10"/>
        <v>656.66700000000003</v>
      </c>
      <c r="AO30" s="11">
        <f t="shared" si="10"/>
        <v>676.56599999999992</v>
      </c>
      <c r="AP30" s="11">
        <f t="shared" si="10"/>
        <v>696.46500000000003</v>
      </c>
      <c r="AQ30" s="11">
        <f t="shared" si="3"/>
        <v>12582.869999999999</v>
      </c>
    </row>
    <row r="31" spans="1:43" ht="15.75">
      <c r="A31" s="17"/>
      <c r="B31" s="7">
        <f t="shared" si="2"/>
        <v>0</v>
      </c>
      <c r="C31" s="17"/>
      <c r="F31" s="80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>
        <f t="shared" si="3"/>
        <v>0</v>
      </c>
    </row>
    <row r="32" spans="1:43" ht="15.75">
      <c r="A32" s="13" t="s">
        <v>9</v>
      </c>
      <c r="B32" s="7">
        <f t="shared" si="2"/>
        <v>-473194.51224599994</v>
      </c>
      <c r="C32" s="13" t="s">
        <v>9</v>
      </c>
      <c r="D32" s="82"/>
      <c r="E32" s="82"/>
      <c r="F32" s="7">
        <f t="shared" ref="F32:AP32" si="11">+F11-F15-F28</f>
        <v>0</v>
      </c>
      <c r="G32" s="7">
        <f>+G11-G15-G28</f>
        <v>-23257.723569333331</v>
      </c>
      <c r="H32" s="7">
        <f t="shared" si="11"/>
        <v>-24145.531944333332</v>
      </c>
      <c r="I32" s="7">
        <f t="shared" si="11"/>
        <v>-23481.402819333332</v>
      </c>
      <c r="J32" s="7">
        <f t="shared" si="11"/>
        <v>-22817.273694333329</v>
      </c>
      <c r="K32" s="7">
        <f t="shared" si="11"/>
        <v>-22153.144569333333</v>
      </c>
      <c r="L32" s="7">
        <f t="shared" si="11"/>
        <v>-21489.015444333334</v>
      </c>
      <c r="M32" s="7">
        <f t="shared" si="11"/>
        <v>-20824.886319333331</v>
      </c>
      <c r="N32" s="7">
        <f t="shared" si="11"/>
        <v>-20160.757194333331</v>
      </c>
      <c r="O32" s="7">
        <f t="shared" si="11"/>
        <v>-19496.628069333336</v>
      </c>
      <c r="P32" s="7">
        <f t="shared" si="11"/>
        <v>-18832.498944333332</v>
      </c>
      <c r="Q32" s="7">
        <f t="shared" si="11"/>
        <v>-18168.36981933334</v>
      </c>
      <c r="R32" s="7">
        <f t="shared" si="11"/>
        <v>-17504.240694333334</v>
      </c>
      <c r="S32" s="7">
        <f t="shared" si="11"/>
        <v>-16840.11156933333</v>
      </c>
      <c r="T32" s="7">
        <f t="shared" si="11"/>
        <v>-16175.982444333336</v>
      </c>
      <c r="U32" s="7">
        <f t="shared" si="11"/>
        <v>-15511.853319333331</v>
      </c>
      <c r="V32" s="7">
        <f t="shared" si="11"/>
        <v>-14847.724194333339</v>
      </c>
      <c r="W32" s="7">
        <f t="shared" si="11"/>
        <v>-14183.595069333334</v>
      </c>
      <c r="X32" s="7">
        <f t="shared" si="11"/>
        <v>-13519.465944333333</v>
      </c>
      <c r="Y32" s="7">
        <f t="shared" si="11"/>
        <v>-12855.336819333337</v>
      </c>
      <c r="Z32" s="7">
        <f t="shared" si="11"/>
        <v>-12191.207694333332</v>
      </c>
      <c r="AA32" s="7">
        <f t="shared" si="11"/>
        <v>-11527.078569333327</v>
      </c>
      <c r="AB32" s="7">
        <f t="shared" si="11"/>
        <v>-10862.949444333339</v>
      </c>
      <c r="AC32" s="7">
        <f t="shared" si="11"/>
        <v>-10198.820319333334</v>
      </c>
      <c r="AD32" s="7">
        <f t="shared" si="11"/>
        <v>-9534.6911943333362</v>
      </c>
      <c r="AE32" s="7">
        <f t="shared" si="11"/>
        <v>-8870.5620693333331</v>
      </c>
      <c r="AF32" s="7">
        <f t="shared" si="11"/>
        <v>-8206.4329443333281</v>
      </c>
      <c r="AG32" s="7">
        <f t="shared" si="11"/>
        <v>-7542.3038193333377</v>
      </c>
      <c r="AH32" s="7">
        <f t="shared" si="11"/>
        <v>-6878.1746943333264</v>
      </c>
      <c r="AI32" s="7">
        <f t="shared" si="11"/>
        <v>-6214.0455693333297</v>
      </c>
      <c r="AJ32" s="7">
        <f t="shared" si="11"/>
        <v>-5549.916444333332</v>
      </c>
      <c r="AK32" s="7">
        <f t="shared" si="11"/>
        <v>-4885.787319333328</v>
      </c>
      <c r="AL32" s="7">
        <f t="shared" si="11"/>
        <v>-4221.6581943333304</v>
      </c>
      <c r="AM32" s="7">
        <f t="shared" si="11"/>
        <v>-3557.5290693333336</v>
      </c>
      <c r="AN32" s="7">
        <f t="shared" si="11"/>
        <v>-2893.3999443333291</v>
      </c>
      <c r="AO32" s="7">
        <f t="shared" si="11"/>
        <v>-2229.2708193333319</v>
      </c>
      <c r="AP32" s="7">
        <f t="shared" si="11"/>
        <v>-1565.1416943333352</v>
      </c>
      <c r="AQ32" s="7">
        <f>SUM(G32:AP32)</f>
        <v>-473194.51224599994</v>
      </c>
    </row>
    <row r="33" spans="1:43" ht="15.75">
      <c r="A33" s="16"/>
      <c r="B33" s="7">
        <f t="shared" si="2"/>
        <v>0</v>
      </c>
      <c r="C33" s="16"/>
      <c r="F33" s="80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>
        <f t="shared" si="3"/>
        <v>0</v>
      </c>
    </row>
    <row r="34" spans="1:43" ht="15.75">
      <c r="A34" s="17" t="s">
        <v>10</v>
      </c>
      <c r="B34" s="7">
        <f t="shared" si="2"/>
        <v>0</v>
      </c>
      <c r="C34" s="17" t="s">
        <v>10</v>
      </c>
      <c r="D34" s="83">
        <v>0.37</v>
      </c>
      <c r="E34" s="83"/>
      <c r="F34" s="11">
        <f>MAX(F32*$D$34,0)</f>
        <v>0</v>
      </c>
      <c r="G34" s="11">
        <f>MAX(SUM($F32:G$32)*$D$34-SUM(F34),0)</f>
        <v>0</v>
      </c>
      <c r="H34" s="11">
        <f>MAX(SUM($F32:H$32)*$D$34-SUM($F34:G$34),0)</f>
        <v>0</v>
      </c>
      <c r="I34" s="11">
        <f>MAX(SUM($F32:I$32)*$D$34-SUM($F34:H$34),0)</f>
        <v>0</v>
      </c>
      <c r="J34" s="11">
        <f>MAX(SUM($F32:J$32)*$D$34-SUM($F34:I$34),0)</f>
        <v>0</v>
      </c>
      <c r="K34" s="11">
        <f>MAX(SUM($F32:K$32)*$D$34-SUM($F34:J$34),0)</f>
        <v>0</v>
      </c>
      <c r="L34" s="11">
        <f>MAX(SUM($F32:L$32)*$D$34-SUM($F34:K$34),0)</f>
        <v>0</v>
      </c>
      <c r="M34" s="11">
        <f>MAX(SUM($F32:M$32)*$D$34-SUM($F34:L$34),0)</f>
        <v>0</v>
      </c>
      <c r="N34" s="11">
        <f>MAX(SUM($F32:N$32)*$D$34-SUM($F34:M$34),0)</f>
        <v>0</v>
      </c>
      <c r="O34" s="11">
        <f>MAX(SUM($F32:O$32)*$D$34-SUM($F34:N$34),0)</f>
        <v>0</v>
      </c>
      <c r="P34" s="11">
        <f>MAX(SUM($F32:P$32)*$D$34-SUM($F34:O$34),0)</f>
        <v>0</v>
      </c>
      <c r="Q34" s="11">
        <f>MAX(SUM($F32:Q$32)*$D$34-SUM($F34:P$34),0)</f>
        <v>0</v>
      </c>
      <c r="R34" s="11">
        <f>MAX(SUM($F32:R$32)*$D$34-SUM($F34:Q$34),0)</f>
        <v>0</v>
      </c>
      <c r="S34" s="11">
        <f>MAX(SUM($F32:S$32)*$D$34-SUM($F34:R$34),0)</f>
        <v>0</v>
      </c>
      <c r="T34" s="11">
        <f>MAX(SUM($F32:T$32)*$D$34-SUM($F34:S$34),0)</f>
        <v>0</v>
      </c>
      <c r="U34" s="11">
        <f>MAX(SUM($F32:U$32)*$D$34-SUM($F34:T$34),0)</f>
        <v>0</v>
      </c>
      <c r="V34" s="11">
        <f>MAX(SUM($F32:V$32)*$D$34-SUM($F34:U$34),0)</f>
        <v>0</v>
      </c>
      <c r="W34" s="11">
        <f>MAX(SUM($F32:W$32)*$D$34-SUM($F34:V$34),0)</f>
        <v>0</v>
      </c>
      <c r="X34" s="11">
        <f>MAX(SUM($F32:X$32)*$D$34-SUM($F34:W$34),0)</f>
        <v>0</v>
      </c>
      <c r="Y34" s="11">
        <f>MAX(SUM($F32:Y$32)*$D$34-SUM($F34:X$34),0)</f>
        <v>0</v>
      </c>
      <c r="Z34" s="11">
        <f>MAX(SUM($F32:Z$32)*$D$34-SUM($F34:Y$34),0)</f>
        <v>0</v>
      </c>
      <c r="AA34" s="11">
        <f>MAX(SUM($F32:AA$32)*$D$34-SUM($F34:Z$34),0)</f>
        <v>0</v>
      </c>
      <c r="AB34" s="11">
        <f>MAX(SUM($F32:AB$32)*$D$34-SUM($F34:AA$34),0)</f>
        <v>0</v>
      </c>
      <c r="AC34" s="11">
        <f>MAX(SUM($F32:AC$32)*$D$34-SUM($F34:AB$34),0)</f>
        <v>0</v>
      </c>
      <c r="AD34" s="11">
        <f>MAX(SUM($F32:AD$32)*$D$34-SUM($F34:AC$34),0)</f>
        <v>0</v>
      </c>
      <c r="AE34" s="11">
        <f>MAX(SUM($F32:AE$32)*$D$34-SUM($F34:AD$34),0)</f>
        <v>0</v>
      </c>
      <c r="AF34" s="11">
        <f>MAX(SUM($F32:AF$32)*$D$34-SUM($F34:AE$34),0)</f>
        <v>0</v>
      </c>
      <c r="AG34" s="11">
        <f>MAX(SUM($F32:AG$32)*$D$34-SUM($F34:AF$34),0)</f>
        <v>0</v>
      </c>
      <c r="AH34" s="11">
        <f>MAX(SUM($F32:AH$32)*$D$34-SUM($F34:AG$34),0)</f>
        <v>0</v>
      </c>
      <c r="AI34" s="11">
        <f>MAX(SUM($F32:AI$32)*$D$34-SUM($F34:AH$34),0)</f>
        <v>0</v>
      </c>
      <c r="AJ34" s="11">
        <f>MAX(SUM($F32:AJ$32)*$D$34-SUM($F34:AI$34),0)</f>
        <v>0</v>
      </c>
      <c r="AK34" s="11">
        <f>MAX(SUM($F32:AK$32)*$D$34-SUM($F34:AJ$34),0)</f>
        <v>0</v>
      </c>
      <c r="AL34" s="11">
        <f>MAX(SUM($F32:AL$32)*$D$34-SUM($F34:AK$34),0)</f>
        <v>0</v>
      </c>
      <c r="AM34" s="11">
        <f>MAX(SUM($F32:AM$32)*$D$34-SUM($F34:AL$34),0)</f>
        <v>0</v>
      </c>
      <c r="AN34" s="11">
        <f>MAX(SUM($F32:AN$32)*$D$34-SUM($F34:AM$34),0)</f>
        <v>0</v>
      </c>
      <c r="AO34" s="11">
        <f>MAX(SUM($F32:AO$32)*$D$34-SUM($F34:AN$34),0)</f>
        <v>0</v>
      </c>
      <c r="AP34" s="11">
        <f>MAX(SUM($F32:AP$32)*$D$34-SUM($F34:AO$34),0)</f>
        <v>0</v>
      </c>
      <c r="AQ34" s="11">
        <f t="shared" si="3"/>
        <v>0</v>
      </c>
    </row>
    <row r="35" spans="1:43" ht="15.75">
      <c r="A35" s="18"/>
      <c r="B35" s="7">
        <f t="shared" si="2"/>
        <v>0</v>
      </c>
      <c r="C35" s="18"/>
      <c r="F35" s="80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>
        <f t="shared" si="3"/>
        <v>0</v>
      </c>
    </row>
    <row r="36" spans="1:43" ht="15.75">
      <c r="A36" s="6" t="s">
        <v>11</v>
      </c>
      <c r="B36" s="7">
        <f t="shared" si="2"/>
        <v>-473194.51224599994</v>
      </c>
      <c r="C36" s="6" t="s">
        <v>11</v>
      </c>
      <c r="D36" s="82"/>
      <c r="E36" s="82"/>
      <c r="F36" s="7">
        <f t="shared" ref="F36:AP36" si="12">+F32-F34</f>
        <v>0</v>
      </c>
      <c r="G36" s="7">
        <f t="shared" si="12"/>
        <v>-23257.723569333331</v>
      </c>
      <c r="H36" s="7">
        <f t="shared" si="12"/>
        <v>-24145.531944333332</v>
      </c>
      <c r="I36" s="7">
        <f t="shared" si="12"/>
        <v>-23481.402819333332</v>
      </c>
      <c r="J36" s="7">
        <f t="shared" si="12"/>
        <v>-22817.273694333329</v>
      </c>
      <c r="K36" s="7">
        <f t="shared" si="12"/>
        <v>-22153.144569333333</v>
      </c>
      <c r="L36" s="7">
        <f t="shared" si="12"/>
        <v>-21489.015444333334</v>
      </c>
      <c r="M36" s="7">
        <f t="shared" si="12"/>
        <v>-20824.886319333331</v>
      </c>
      <c r="N36" s="7">
        <f t="shared" si="12"/>
        <v>-20160.757194333331</v>
      </c>
      <c r="O36" s="7">
        <f t="shared" si="12"/>
        <v>-19496.628069333336</v>
      </c>
      <c r="P36" s="7">
        <f t="shared" si="12"/>
        <v>-18832.498944333332</v>
      </c>
      <c r="Q36" s="7">
        <f t="shared" si="12"/>
        <v>-18168.36981933334</v>
      </c>
      <c r="R36" s="7">
        <f t="shared" si="12"/>
        <v>-17504.240694333334</v>
      </c>
      <c r="S36" s="7">
        <f t="shared" si="12"/>
        <v>-16840.11156933333</v>
      </c>
      <c r="T36" s="7">
        <f t="shared" si="12"/>
        <v>-16175.982444333336</v>
      </c>
      <c r="U36" s="7">
        <f t="shared" si="12"/>
        <v>-15511.853319333331</v>
      </c>
      <c r="V36" s="7">
        <f t="shared" si="12"/>
        <v>-14847.724194333339</v>
      </c>
      <c r="W36" s="7">
        <f t="shared" si="12"/>
        <v>-14183.595069333334</v>
      </c>
      <c r="X36" s="7">
        <f t="shared" si="12"/>
        <v>-13519.465944333333</v>
      </c>
      <c r="Y36" s="7">
        <f t="shared" si="12"/>
        <v>-12855.336819333337</v>
      </c>
      <c r="Z36" s="7">
        <f t="shared" si="12"/>
        <v>-12191.207694333332</v>
      </c>
      <c r="AA36" s="7">
        <f t="shared" si="12"/>
        <v>-11527.078569333327</v>
      </c>
      <c r="AB36" s="7">
        <f t="shared" si="12"/>
        <v>-10862.949444333339</v>
      </c>
      <c r="AC36" s="7">
        <f t="shared" si="12"/>
        <v>-10198.820319333334</v>
      </c>
      <c r="AD36" s="7">
        <f t="shared" si="12"/>
        <v>-9534.6911943333362</v>
      </c>
      <c r="AE36" s="7">
        <f t="shared" si="12"/>
        <v>-8870.5620693333331</v>
      </c>
      <c r="AF36" s="7">
        <f t="shared" si="12"/>
        <v>-8206.4329443333281</v>
      </c>
      <c r="AG36" s="7">
        <f t="shared" si="12"/>
        <v>-7542.3038193333377</v>
      </c>
      <c r="AH36" s="7">
        <f t="shared" si="12"/>
        <v>-6878.1746943333264</v>
      </c>
      <c r="AI36" s="7">
        <f t="shared" si="12"/>
        <v>-6214.0455693333297</v>
      </c>
      <c r="AJ36" s="7">
        <f t="shared" si="12"/>
        <v>-5549.916444333332</v>
      </c>
      <c r="AK36" s="7">
        <f t="shared" si="12"/>
        <v>-4885.787319333328</v>
      </c>
      <c r="AL36" s="7">
        <f t="shared" si="12"/>
        <v>-4221.6581943333304</v>
      </c>
      <c r="AM36" s="7">
        <f t="shared" si="12"/>
        <v>-3557.5290693333336</v>
      </c>
      <c r="AN36" s="7">
        <f t="shared" si="12"/>
        <v>-2893.3999443333291</v>
      </c>
      <c r="AO36" s="7">
        <f t="shared" si="12"/>
        <v>-2229.2708193333319</v>
      </c>
      <c r="AP36" s="7">
        <f t="shared" si="12"/>
        <v>-1565.1416943333352</v>
      </c>
      <c r="AQ36" s="7">
        <f>SUM(G36:AP36)</f>
        <v>-473194.51224599994</v>
      </c>
    </row>
    <row r="37" spans="1:43" ht="15.75">
      <c r="C37" s="8"/>
      <c r="D37" s="19"/>
      <c r="E37" s="19"/>
      <c r="F37" s="20"/>
      <c r="G37" s="2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3" ht="15.75">
      <c r="C38" s="23"/>
      <c r="D38" s="23"/>
      <c r="E38" s="23"/>
      <c r="F38" s="24"/>
      <c r="G38" s="25"/>
      <c r="H38" s="25"/>
      <c r="I38" s="25"/>
      <c r="J38" s="25"/>
      <c r="K38" s="25"/>
      <c r="L38" s="26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</row>
    <row r="39" spans="1:43" ht="15.75">
      <c r="C39" s="329" t="s">
        <v>12</v>
      </c>
      <c r="D39" s="329"/>
      <c r="E39" s="329"/>
      <c r="F39" s="329"/>
      <c r="G39" s="329"/>
      <c r="H39" s="329"/>
      <c r="I39" s="329"/>
      <c r="J39" s="28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</row>
    <row r="40" spans="1:43" s="30" customFormat="1" ht="15.75">
      <c r="D40" s="19" t="s">
        <v>6</v>
      </c>
      <c r="E40" s="19"/>
      <c r="F40" s="19">
        <v>0</v>
      </c>
      <c r="G40" s="31">
        <v>1</v>
      </c>
      <c r="H40" s="19">
        <v>2</v>
      </c>
      <c r="I40" s="19">
        <v>3</v>
      </c>
      <c r="J40" s="31">
        <v>4</v>
      </c>
      <c r="K40" s="19">
        <v>5</v>
      </c>
      <c r="L40" s="31">
        <v>6</v>
      </c>
      <c r="M40" s="31">
        <v>7</v>
      </c>
      <c r="N40" s="19">
        <v>8</v>
      </c>
      <c r="O40" s="19">
        <v>9</v>
      </c>
      <c r="P40" s="31">
        <v>10</v>
      </c>
      <c r="Q40" s="19">
        <v>11</v>
      </c>
      <c r="R40" s="31">
        <v>12</v>
      </c>
      <c r="S40" s="31">
        <v>13</v>
      </c>
      <c r="T40" s="31">
        <v>14</v>
      </c>
      <c r="U40" s="31">
        <v>15</v>
      </c>
      <c r="V40" s="31">
        <v>16</v>
      </c>
      <c r="W40" s="31">
        <v>17</v>
      </c>
      <c r="X40" s="31">
        <v>18</v>
      </c>
      <c r="Y40" s="31">
        <v>19</v>
      </c>
      <c r="Z40" s="31">
        <v>20</v>
      </c>
      <c r="AA40" s="31">
        <v>21</v>
      </c>
      <c r="AB40" s="31">
        <v>22</v>
      </c>
      <c r="AC40" s="31">
        <v>23</v>
      </c>
      <c r="AD40" s="31">
        <v>24</v>
      </c>
      <c r="AE40" s="31">
        <v>25</v>
      </c>
      <c r="AF40" s="31">
        <v>26</v>
      </c>
      <c r="AG40" s="31">
        <v>27</v>
      </c>
      <c r="AH40" s="31">
        <v>28</v>
      </c>
      <c r="AI40" s="31">
        <v>29</v>
      </c>
      <c r="AJ40" s="31">
        <v>30</v>
      </c>
      <c r="AK40" s="31">
        <v>31</v>
      </c>
      <c r="AL40" s="31">
        <v>32</v>
      </c>
      <c r="AM40" s="31">
        <v>33</v>
      </c>
      <c r="AN40" s="31">
        <v>34</v>
      </c>
      <c r="AO40" s="31">
        <v>35</v>
      </c>
      <c r="AP40" s="31">
        <v>36</v>
      </c>
    </row>
    <row r="41" spans="1:43" s="30" customFormat="1" ht="15.75">
      <c r="D41" s="19"/>
      <c r="E41" s="19"/>
      <c r="F41" s="19"/>
      <c r="G41" s="31"/>
      <c r="H41" s="19"/>
      <c r="I41" s="19"/>
      <c r="J41" s="31"/>
      <c r="K41" s="19"/>
      <c r="L41" s="31"/>
      <c r="M41" s="31"/>
      <c r="N41" s="19"/>
      <c r="O41" s="19"/>
      <c r="P41" s="31"/>
      <c r="Q41" s="19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</row>
    <row r="42" spans="1:43">
      <c r="C42" s="17" t="s">
        <v>13</v>
      </c>
      <c r="D42" s="32"/>
      <c r="E42" s="32"/>
      <c r="F42" s="33">
        <f t="shared" ref="F42:AP42" si="13">+F36+F24</f>
        <v>0</v>
      </c>
      <c r="G42" s="34">
        <f>+G36+G24</f>
        <v>-23202.569974499998</v>
      </c>
      <c r="H42" s="34">
        <f t="shared" si="13"/>
        <v>-24090.378349499999</v>
      </c>
      <c r="I42" s="34">
        <f t="shared" si="13"/>
        <v>-23426.249224499999</v>
      </c>
      <c r="J42" s="34">
        <f t="shared" si="13"/>
        <v>-22762.120099499996</v>
      </c>
      <c r="K42" s="34">
        <f t="shared" si="13"/>
        <v>-22097.9909745</v>
      </c>
      <c r="L42" s="34">
        <f t="shared" si="13"/>
        <v>-21433.861849500001</v>
      </c>
      <c r="M42" s="34">
        <f t="shared" si="13"/>
        <v>-20769.732724499998</v>
      </c>
      <c r="N42" s="34">
        <f t="shared" si="13"/>
        <v>-20105.603599499998</v>
      </c>
      <c r="O42" s="34">
        <f t="shared" si="13"/>
        <v>-19441.474474500003</v>
      </c>
      <c r="P42" s="34">
        <f t="shared" si="13"/>
        <v>-18777.345349499999</v>
      </c>
      <c r="Q42" s="34">
        <f t="shared" si="13"/>
        <v>-18113.216224500007</v>
      </c>
      <c r="R42" s="34">
        <f t="shared" si="13"/>
        <v>-17449.0870995</v>
      </c>
      <c r="S42" s="34">
        <f t="shared" si="13"/>
        <v>-16784.957974499997</v>
      </c>
      <c r="T42" s="34">
        <f t="shared" si="13"/>
        <v>-16120.828849500003</v>
      </c>
      <c r="U42" s="34">
        <f t="shared" si="13"/>
        <v>-15456.699724499998</v>
      </c>
      <c r="V42" s="34">
        <f t="shared" si="13"/>
        <v>-14792.570599500006</v>
      </c>
      <c r="W42" s="34">
        <f t="shared" si="13"/>
        <v>-14128.441474500001</v>
      </c>
      <c r="X42" s="34">
        <f t="shared" si="13"/>
        <v>-13464.3123495</v>
      </c>
      <c r="Y42" s="34">
        <f t="shared" si="13"/>
        <v>-12800.183224500004</v>
      </c>
      <c r="Z42" s="34">
        <f t="shared" si="13"/>
        <v>-12136.054099499999</v>
      </c>
      <c r="AA42" s="34">
        <f t="shared" si="13"/>
        <v>-11471.924974499994</v>
      </c>
      <c r="AB42" s="34">
        <f t="shared" si="13"/>
        <v>-10807.795849500006</v>
      </c>
      <c r="AC42" s="34">
        <f t="shared" si="13"/>
        <v>-10143.666724500001</v>
      </c>
      <c r="AD42" s="34">
        <f t="shared" si="13"/>
        <v>-9479.5375995000031</v>
      </c>
      <c r="AE42" s="34">
        <f t="shared" si="13"/>
        <v>-8815.4084745</v>
      </c>
      <c r="AF42" s="34">
        <f t="shared" si="13"/>
        <v>-8151.2793494999951</v>
      </c>
      <c r="AG42" s="34">
        <f t="shared" si="13"/>
        <v>-7487.1502245000047</v>
      </c>
      <c r="AH42" s="34">
        <f t="shared" si="13"/>
        <v>-6823.0210994999934</v>
      </c>
      <c r="AI42" s="34">
        <f t="shared" si="13"/>
        <v>-6158.8919744999966</v>
      </c>
      <c r="AJ42" s="34">
        <f t="shared" si="13"/>
        <v>-5494.762849499999</v>
      </c>
      <c r="AK42" s="34">
        <f t="shared" si="13"/>
        <v>-4830.633724499995</v>
      </c>
      <c r="AL42" s="34">
        <f t="shared" si="13"/>
        <v>-4166.5045994999973</v>
      </c>
      <c r="AM42" s="34">
        <f t="shared" si="13"/>
        <v>-3502.3754745000001</v>
      </c>
      <c r="AN42" s="34">
        <f t="shared" si="13"/>
        <v>-2838.2463494999956</v>
      </c>
      <c r="AO42" s="34">
        <f t="shared" si="13"/>
        <v>-2174.1172244999984</v>
      </c>
      <c r="AP42" s="34">
        <f t="shared" si="13"/>
        <v>-1509.9880995000019</v>
      </c>
    </row>
    <row r="43" spans="1:43">
      <c r="C43" s="17"/>
      <c r="D43" s="32"/>
      <c r="E43" s="32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</row>
    <row r="44" spans="1:43">
      <c r="C44" s="17" t="s">
        <v>1</v>
      </c>
      <c r="D44" s="111">
        <f>+'Inversión-Gastos preopera'!D13</f>
        <v>3309.2156899999995</v>
      </c>
      <c r="E44" s="32"/>
      <c r="F44" s="33">
        <f>+D44</f>
        <v>3309.2156899999995</v>
      </c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</row>
    <row r="45" spans="1:43">
      <c r="C45" s="30"/>
      <c r="F45" s="33"/>
      <c r="G45" s="34"/>
      <c r="H45" s="35"/>
      <c r="I45" s="35"/>
      <c r="J45" s="36"/>
      <c r="K45" s="22"/>
      <c r="L45" s="22"/>
      <c r="M45" s="22"/>
      <c r="N45" s="22"/>
      <c r="O45" s="22"/>
      <c r="P45" s="22"/>
      <c r="Q45" s="22"/>
      <c r="R45" s="22"/>
    </row>
    <row r="46" spans="1:43" ht="15.75">
      <c r="C46" s="37" t="s">
        <v>14</v>
      </c>
      <c r="D46" s="37"/>
      <c r="E46" s="37"/>
      <c r="F46" s="38">
        <f t="shared" ref="F46:AP46" si="14">+F42-F44</f>
        <v>-3309.2156899999995</v>
      </c>
      <c r="G46" s="38">
        <f t="shared" si="14"/>
        <v>-23202.569974499998</v>
      </c>
      <c r="H46" s="38">
        <f t="shared" si="14"/>
        <v>-24090.378349499999</v>
      </c>
      <c r="I46" s="38">
        <f t="shared" si="14"/>
        <v>-23426.249224499999</v>
      </c>
      <c r="J46" s="38">
        <f t="shared" si="14"/>
        <v>-22762.120099499996</v>
      </c>
      <c r="K46" s="38">
        <f t="shared" si="14"/>
        <v>-22097.9909745</v>
      </c>
      <c r="L46" s="38">
        <f t="shared" si="14"/>
        <v>-21433.861849500001</v>
      </c>
      <c r="M46" s="38">
        <f t="shared" si="14"/>
        <v>-20769.732724499998</v>
      </c>
      <c r="N46" s="38">
        <f t="shared" si="14"/>
        <v>-20105.603599499998</v>
      </c>
      <c r="O46" s="38">
        <f t="shared" si="14"/>
        <v>-19441.474474500003</v>
      </c>
      <c r="P46" s="38">
        <f t="shared" si="14"/>
        <v>-18777.345349499999</v>
      </c>
      <c r="Q46" s="38">
        <f t="shared" si="14"/>
        <v>-18113.216224500007</v>
      </c>
      <c r="R46" s="38">
        <f t="shared" si="14"/>
        <v>-17449.0870995</v>
      </c>
      <c r="S46" s="38">
        <f t="shared" si="14"/>
        <v>-16784.957974499997</v>
      </c>
      <c r="T46" s="38">
        <f t="shared" si="14"/>
        <v>-16120.828849500003</v>
      </c>
      <c r="U46" s="38">
        <f t="shared" si="14"/>
        <v>-15456.699724499998</v>
      </c>
      <c r="V46" s="38">
        <f t="shared" si="14"/>
        <v>-14792.570599500006</v>
      </c>
      <c r="W46" s="38">
        <f t="shared" si="14"/>
        <v>-14128.441474500001</v>
      </c>
      <c r="X46" s="38">
        <f t="shared" si="14"/>
        <v>-13464.3123495</v>
      </c>
      <c r="Y46" s="38">
        <f t="shared" si="14"/>
        <v>-12800.183224500004</v>
      </c>
      <c r="Z46" s="38">
        <f t="shared" si="14"/>
        <v>-12136.054099499999</v>
      </c>
      <c r="AA46" s="38">
        <f t="shared" si="14"/>
        <v>-11471.924974499994</v>
      </c>
      <c r="AB46" s="38">
        <f t="shared" si="14"/>
        <v>-10807.795849500006</v>
      </c>
      <c r="AC46" s="38">
        <f t="shared" si="14"/>
        <v>-10143.666724500001</v>
      </c>
      <c r="AD46" s="38">
        <f t="shared" si="14"/>
        <v>-9479.5375995000031</v>
      </c>
      <c r="AE46" s="38">
        <f t="shared" si="14"/>
        <v>-8815.4084745</v>
      </c>
      <c r="AF46" s="38">
        <f t="shared" si="14"/>
        <v>-8151.2793494999951</v>
      </c>
      <c r="AG46" s="38">
        <f t="shared" si="14"/>
        <v>-7487.1502245000047</v>
      </c>
      <c r="AH46" s="38">
        <f t="shared" si="14"/>
        <v>-6823.0210994999934</v>
      </c>
      <c r="AI46" s="38">
        <f t="shared" si="14"/>
        <v>-6158.8919744999966</v>
      </c>
      <c r="AJ46" s="38">
        <f t="shared" si="14"/>
        <v>-5494.762849499999</v>
      </c>
      <c r="AK46" s="38">
        <f t="shared" si="14"/>
        <v>-4830.633724499995</v>
      </c>
      <c r="AL46" s="38">
        <f t="shared" si="14"/>
        <v>-4166.5045994999973</v>
      </c>
      <c r="AM46" s="38">
        <f t="shared" si="14"/>
        <v>-3502.3754745000001</v>
      </c>
      <c r="AN46" s="38">
        <f t="shared" si="14"/>
        <v>-2838.2463494999956</v>
      </c>
      <c r="AO46" s="38">
        <f t="shared" si="14"/>
        <v>-2174.1172244999984</v>
      </c>
      <c r="AP46" s="38">
        <f t="shared" si="14"/>
        <v>-1509.9880995000019</v>
      </c>
    </row>
    <row r="47" spans="1:43" ht="15.75">
      <c r="C47" s="39"/>
      <c r="D47" s="39"/>
      <c r="E47" s="39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</row>
    <row r="48" spans="1:43" ht="16.5" thickBot="1">
      <c r="C48" s="39"/>
      <c r="D48" s="39"/>
      <c r="E48" s="39"/>
      <c r="F48" s="40"/>
      <c r="G48" s="30" t="s">
        <v>15</v>
      </c>
      <c r="H48" s="41" t="s">
        <v>4</v>
      </c>
      <c r="I48" s="40"/>
      <c r="J48" s="40"/>
      <c r="K48" s="40"/>
      <c r="L48" s="40"/>
      <c r="M48" s="40"/>
      <c r="N48" s="40"/>
      <c r="O48" s="40"/>
      <c r="P48" s="40"/>
      <c r="Q48" s="40"/>
      <c r="R48" s="40"/>
    </row>
    <row r="49" spans="3:43" ht="16.5" thickBot="1">
      <c r="C49" s="43" t="s">
        <v>20</v>
      </c>
      <c r="D49" s="42"/>
      <c r="E49" s="96"/>
      <c r="F49" s="22"/>
      <c r="G49" s="44">
        <v>0.1</v>
      </c>
      <c r="H49" s="45">
        <f>(1+G49)^(1/12)-1</f>
        <v>7.9741404289037643E-3</v>
      </c>
      <c r="J49" s="112" t="e">
        <f>IRR(F46:AP46)</f>
        <v>#NUM!</v>
      </c>
      <c r="K49" s="40" t="s">
        <v>36</v>
      </c>
      <c r="L49" s="40"/>
      <c r="M49" s="40"/>
      <c r="N49" s="40"/>
      <c r="O49" s="40"/>
      <c r="P49" s="40"/>
      <c r="Q49" s="40"/>
      <c r="R49" s="40"/>
    </row>
    <row r="50" spans="3:43" ht="16.5" thickBot="1">
      <c r="C50" s="39"/>
      <c r="D50" s="39"/>
      <c r="E50" s="39"/>
      <c r="F50" s="40"/>
      <c r="G50" s="40"/>
      <c r="H50" s="40"/>
      <c r="I50" s="40"/>
      <c r="J50" s="112" t="e">
        <f>+(1+J49)^12-1</f>
        <v>#NUM!</v>
      </c>
      <c r="K50" s="40" t="s">
        <v>37</v>
      </c>
      <c r="L50" s="40"/>
      <c r="M50" s="40"/>
      <c r="N50" s="40"/>
      <c r="O50" s="40"/>
      <c r="P50" s="40"/>
      <c r="Q50" s="40"/>
      <c r="R50" s="40"/>
    </row>
    <row r="51" spans="3:43" ht="15.75">
      <c r="C51" s="46" t="s">
        <v>16</v>
      </c>
      <c r="D51" s="84"/>
      <c r="E51" s="84"/>
      <c r="F51" s="47"/>
      <c r="G51" s="47"/>
      <c r="H51" s="48">
        <f>NPV(H49,F11:AP11)</f>
        <v>1037507.7461451225</v>
      </c>
      <c r="I51" s="22"/>
      <c r="J51" s="49"/>
      <c r="K51" s="50"/>
      <c r="L51" s="22"/>
      <c r="M51" s="22"/>
      <c r="N51" s="22"/>
      <c r="O51" s="22"/>
      <c r="P51" s="22"/>
      <c r="Q51" s="22"/>
      <c r="R51" s="22"/>
    </row>
    <row r="52" spans="3:43" ht="0.6" customHeight="1" thickBot="1">
      <c r="C52" s="51"/>
      <c r="D52" s="52"/>
      <c r="E52" s="52"/>
      <c r="F52" s="53"/>
      <c r="G52" s="54"/>
      <c r="H52" s="55"/>
      <c r="I52" s="80"/>
      <c r="J52" s="117"/>
      <c r="K52" s="116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</row>
    <row r="53" spans="3:43" ht="16.5" thickBot="1">
      <c r="C53" s="56"/>
      <c r="D53" s="56"/>
      <c r="E53" s="56"/>
      <c r="F53" s="57"/>
      <c r="G53" s="58"/>
      <c r="H53" s="59"/>
      <c r="I53" s="80"/>
      <c r="J53" s="80"/>
      <c r="K53" s="80"/>
      <c r="L53" s="80"/>
      <c r="M53" s="80"/>
      <c r="N53" s="22"/>
      <c r="O53" s="22"/>
      <c r="P53" s="22"/>
      <c r="Q53" s="22"/>
      <c r="R53" s="22"/>
    </row>
    <row r="54" spans="3:43" ht="16.5" thickBot="1">
      <c r="C54" s="85" t="s">
        <v>17</v>
      </c>
      <c r="D54" s="105"/>
      <c r="E54" s="105"/>
      <c r="F54" s="106"/>
      <c r="G54" s="107"/>
      <c r="H54" s="60">
        <f>NPV(+H49,G46:AP46)+F46</f>
        <v>-429046.42402515042</v>
      </c>
      <c r="I54" s="80"/>
      <c r="J54" s="80"/>
      <c r="K54" s="80"/>
      <c r="L54" s="80"/>
      <c r="M54" s="80"/>
      <c r="N54" s="22"/>
      <c r="O54" s="22"/>
      <c r="P54" s="22"/>
      <c r="Q54" s="22"/>
      <c r="R54" s="22"/>
    </row>
    <row r="55" spans="3:43" ht="15.75" thickBot="1">
      <c r="N55" s="22"/>
      <c r="O55" s="22"/>
      <c r="P55" s="22"/>
      <c r="Q55" s="22"/>
      <c r="R55" s="22"/>
    </row>
    <row r="56" spans="3:43" ht="16.5" thickBot="1">
      <c r="C56" s="85" t="s">
        <v>21</v>
      </c>
      <c r="D56" s="86"/>
      <c r="E56" s="86"/>
      <c r="F56" s="87"/>
      <c r="G56" s="87"/>
      <c r="H56" s="60">
        <f>SUM(H61:AP61)</f>
        <v>0</v>
      </c>
      <c r="N56" s="22"/>
      <c r="O56" s="22"/>
      <c r="P56" s="22"/>
      <c r="Q56" s="22"/>
      <c r="R56" s="22"/>
    </row>
    <row r="57" spans="3:43" s="88" customFormat="1" ht="12.75">
      <c r="D57" s="61"/>
      <c r="E57" s="61"/>
      <c r="F57" s="62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1"/>
      <c r="AN57" s="61"/>
      <c r="AO57" s="61"/>
      <c r="AP57" s="61"/>
    </row>
    <row r="58" spans="3:43" s="88" customFormat="1" ht="12.75">
      <c r="D58" s="64" t="s">
        <v>22</v>
      </c>
      <c r="E58" s="64"/>
      <c r="F58" s="3" t="s">
        <v>6</v>
      </c>
      <c r="G58" s="3">
        <v>0</v>
      </c>
      <c r="H58" s="65">
        <v>1</v>
      </c>
      <c r="I58" s="3">
        <v>2</v>
      </c>
      <c r="J58" s="3">
        <v>3</v>
      </c>
      <c r="K58" s="65">
        <v>4</v>
      </c>
      <c r="L58" s="3">
        <v>5</v>
      </c>
      <c r="M58" s="65">
        <v>6</v>
      </c>
      <c r="N58" s="65">
        <v>7</v>
      </c>
      <c r="O58" s="3">
        <v>8</v>
      </c>
      <c r="P58" s="3">
        <v>9</v>
      </c>
      <c r="Q58" s="65">
        <v>10</v>
      </c>
      <c r="R58" s="3">
        <v>11</v>
      </c>
      <c r="S58" s="65">
        <v>12</v>
      </c>
      <c r="T58" s="66">
        <f t="shared" ref="T58:AP58" si="15">+S58+1</f>
        <v>13</v>
      </c>
      <c r="U58" s="66">
        <f t="shared" si="15"/>
        <v>14</v>
      </c>
      <c r="V58" s="66">
        <f t="shared" si="15"/>
        <v>15</v>
      </c>
      <c r="W58" s="66">
        <f t="shared" si="15"/>
        <v>16</v>
      </c>
      <c r="X58" s="66">
        <f t="shared" si="15"/>
        <v>17</v>
      </c>
      <c r="Y58" s="66">
        <f t="shared" si="15"/>
        <v>18</v>
      </c>
      <c r="Z58" s="66">
        <f t="shared" si="15"/>
        <v>19</v>
      </c>
      <c r="AA58" s="66">
        <f t="shared" si="15"/>
        <v>20</v>
      </c>
      <c r="AB58" s="66">
        <f t="shared" si="15"/>
        <v>21</v>
      </c>
      <c r="AC58" s="66">
        <f t="shared" si="15"/>
        <v>22</v>
      </c>
      <c r="AD58" s="66">
        <f t="shared" si="15"/>
        <v>23</v>
      </c>
      <c r="AE58" s="66">
        <f t="shared" si="15"/>
        <v>24</v>
      </c>
      <c r="AF58" s="66">
        <f t="shared" si="15"/>
        <v>25</v>
      </c>
      <c r="AG58" s="66">
        <f t="shared" si="15"/>
        <v>26</v>
      </c>
      <c r="AH58" s="66">
        <f t="shared" si="15"/>
        <v>27</v>
      </c>
      <c r="AI58" s="66">
        <f t="shared" si="15"/>
        <v>28</v>
      </c>
      <c r="AJ58" s="66">
        <f t="shared" si="15"/>
        <v>29</v>
      </c>
      <c r="AK58" s="66">
        <f t="shared" si="15"/>
        <v>30</v>
      </c>
      <c r="AL58" s="66">
        <f t="shared" si="15"/>
        <v>31</v>
      </c>
      <c r="AM58" s="66">
        <f t="shared" si="15"/>
        <v>32</v>
      </c>
      <c r="AN58" s="66">
        <f t="shared" si="15"/>
        <v>33</v>
      </c>
      <c r="AO58" s="66">
        <f t="shared" si="15"/>
        <v>34</v>
      </c>
      <c r="AP58" s="66">
        <f t="shared" si="15"/>
        <v>35</v>
      </c>
      <c r="AQ58" s="66"/>
    </row>
    <row r="59" spans="3:43" s="89" customFormat="1" ht="12.75">
      <c r="F59" s="67"/>
      <c r="G59" s="68">
        <f t="shared" ref="G59:AP59" si="16">+F46</f>
        <v>-3309.2156899999995</v>
      </c>
      <c r="H59" s="68">
        <f t="shared" si="16"/>
        <v>-23202.569974499998</v>
      </c>
      <c r="I59" s="68">
        <f t="shared" si="16"/>
        <v>-24090.378349499999</v>
      </c>
      <c r="J59" s="68">
        <f t="shared" si="16"/>
        <v>-23426.249224499999</v>
      </c>
      <c r="K59" s="68">
        <f t="shared" si="16"/>
        <v>-22762.120099499996</v>
      </c>
      <c r="L59" s="68">
        <f t="shared" si="16"/>
        <v>-22097.9909745</v>
      </c>
      <c r="M59" s="68">
        <f t="shared" si="16"/>
        <v>-21433.861849500001</v>
      </c>
      <c r="N59" s="68">
        <f t="shared" si="16"/>
        <v>-20769.732724499998</v>
      </c>
      <c r="O59" s="68">
        <f t="shared" si="16"/>
        <v>-20105.603599499998</v>
      </c>
      <c r="P59" s="68">
        <f t="shared" si="16"/>
        <v>-19441.474474500003</v>
      </c>
      <c r="Q59" s="68">
        <f t="shared" si="16"/>
        <v>-18777.345349499999</v>
      </c>
      <c r="R59" s="68">
        <f t="shared" si="16"/>
        <v>-18113.216224500007</v>
      </c>
      <c r="S59" s="68">
        <f t="shared" si="16"/>
        <v>-17449.0870995</v>
      </c>
      <c r="T59" s="68">
        <f t="shared" si="16"/>
        <v>-16784.957974499997</v>
      </c>
      <c r="U59" s="68">
        <f t="shared" si="16"/>
        <v>-16120.828849500003</v>
      </c>
      <c r="V59" s="68">
        <f t="shared" si="16"/>
        <v>-15456.699724499998</v>
      </c>
      <c r="W59" s="68">
        <f t="shared" si="16"/>
        <v>-14792.570599500006</v>
      </c>
      <c r="X59" s="68">
        <f t="shared" si="16"/>
        <v>-14128.441474500001</v>
      </c>
      <c r="Y59" s="68">
        <f t="shared" si="16"/>
        <v>-13464.3123495</v>
      </c>
      <c r="Z59" s="68">
        <f t="shared" si="16"/>
        <v>-12800.183224500004</v>
      </c>
      <c r="AA59" s="68">
        <f t="shared" si="16"/>
        <v>-12136.054099499999</v>
      </c>
      <c r="AB59" s="68">
        <f t="shared" si="16"/>
        <v>-11471.924974499994</v>
      </c>
      <c r="AC59" s="68">
        <f t="shared" si="16"/>
        <v>-10807.795849500006</v>
      </c>
      <c r="AD59" s="68">
        <f t="shared" si="16"/>
        <v>-10143.666724500001</v>
      </c>
      <c r="AE59" s="68">
        <f t="shared" si="16"/>
        <v>-9479.5375995000031</v>
      </c>
      <c r="AF59" s="68">
        <f t="shared" si="16"/>
        <v>-8815.4084745</v>
      </c>
      <c r="AG59" s="68">
        <f t="shared" si="16"/>
        <v>-8151.2793494999951</v>
      </c>
      <c r="AH59" s="68">
        <f t="shared" si="16"/>
        <v>-7487.1502245000047</v>
      </c>
      <c r="AI59" s="68">
        <f t="shared" si="16"/>
        <v>-6823.0210994999934</v>
      </c>
      <c r="AJ59" s="68">
        <f t="shared" si="16"/>
        <v>-6158.8919744999966</v>
      </c>
      <c r="AK59" s="68">
        <f t="shared" si="16"/>
        <v>-5494.762849499999</v>
      </c>
      <c r="AL59" s="68">
        <f t="shared" si="16"/>
        <v>-4830.633724499995</v>
      </c>
      <c r="AM59" s="68">
        <f t="shared" si="16"/>
        <v>-4166.5045994999973</v>
      </c>
      <c r="AN59" s="68">
        <f t="shared" si="16"/>
        <v>-3502.3754745000001</v>
      </c>
      <c r="AO59" s="68">
        <f t="shared" si="16"/>
        <v>-2838.2463494999956</v>
      </c>
      <c r="AP59" s="68">
        <f t="shared" si="16"/>
        <v>-2174.1172244999984</v>
      </c>
      <c r="AQ59" s="68"/>
    </row>
    <row r="60" spans="3:43" s="61" customFormat="1" ht="12.75">
      <c r="C60" s="72"/>
      <c r="D60" s="69"/>
      <c r="E60" s="69"/>
      <c r="F60" s="70"/>
      <c r="G60" s="71"/>
      <c r="H60" s="71">
        <f>+H59+G59</f>
        <v>-26511.785664499999</v>
      </c>
      <c r="I60" s="71">
        <f t="shared" ref="I60:AP60" si="17">+I59+H60</f>
        <v>-50602.164013999994</v>
      </c>
      <c r="J60" s="71">
        <f t="shared" si="17"/>
        <v>-74028.413238499998</v>
      </c>
      <c r="K60" s="71">
        <f t="shared" si="17"/>
        <v>-96790.533337999994</v>
      </c>
      <c r="L60" s="71">
        <f t="shared" si="17"/>
        <v>-118888.5243125</v>
      </c>
      <c r="M60" s="71">
        <f t="shared" si="17"/>
        <v>-140322.38616200001</v>
      </c>
      <c r="N60" s="71">
        <f t="shared" si="17"/>
        <v>-161092.11888650001</v>
      </c>
      <c r="O60" s="71">
        <f t="shared" si="17"/>
        <v>-181197.72248600001</v>
      </c>
      <c r="P60" s="71">
        <f t="shared" si="17"/>
        <v>-200639.1969605</v>
      </c>
      <c r="Q60" s="71">
        <f t="shared" si="17"/>
        <v>-219416.54230999999</v>
      </c>
      <c r="R60" s="71">
        <f t="shared" si="17"/>
        <v>-237529.7585345</v>
      </c>
      <c r="S60" s="71">
        <f t="shared" si="17"/>
        <v>-254978.845634</v>
      </c>
      <c r="T60" s="71">
        <f t="shared" si="17"/>
        <v>-271763.80360849999</v>
      </c>
      <c r="U60" s="71">
        <f t="shared" si="17"/>
        <v>-287884.63245799998</v>
      </c>
      <c r="V60" s="71">
        <f t="shared" si="17"/>
        <v>-303341.33218249999</v>
      </c>
      <c r="W60" s="71">
        <f t="shared" si="17"/>
        <v>-318133.90278200002</v>
      </c>
      <c r="X60" s="71">
        <f t="shared" si="17"/>
        <v>-332262.34425650002</v>
      </c>
      <c r="Y60" s="71">
        <f t="shared" si="17"/>
        <v>-345726.65660600003</v>
      </c>
      <c r="Z60" s="71">
        <f t="shared" si="17"/>
        <v>-358526.83983050002</v>
      </c>
      <c r="AA60" s="71">
        <f t="shared" si="17"/>
        <v>-370662.89393000002</v>
      </c>
      <c r="AB60" s="71">
        <f t="shared" si="17"/>
        <v>-382134.81890449999</v>
      </c>
      <c r="AC60" s="71">
        <f t="shared" si="17"/>
        <v>-392942.61475399998</v>
      </c>
      <c r="AD60" s="71">
        <f t="shared" si="17"/>
        <v>-403086.28147849999</v>
      </c>
      <c r="AE60" s="71">
        <f t="shared" si="17"/>
        <v>-412565.81907799997</v>
      </c>
      <c r="AF60" s="71">
        <f t="shared" si="17"/>
        <v>-421381.22755249997</v>
      </c>
      <c r="AG60" s="71">
        <f t="shared" si="17"/>
        <v>-429532.50690199999</v>
      </c>
      <c r="AH60" s="71">
        <f t="shared" si="17"/>
        <v>-437019.65712649998</v>
      </c>
      <c r="AI60" s="71">
        <f t="shared" si="17"/>
        <v>-443842.67822599999</v>
      </c>
      <c r="AJ60" s="71">
        <f t="shared" si="17"/>
        <v>-450001.57020049996</v>
      </c>
      <c r="AK60" s="71">
        <f t="shared" si="17"/>
        <v>-455496.33304999996</v>
      </c>
      <c r="AL60" s="71">
        <f t="shared" si="17"/>
        <v>-460326.96677449998</v>
      </c>
      <c r="AM60" s="71">
        <f t="shared" si="17"/>
        <v>-464493.47137399996</v>
      </c>
      <c r="AN60" s="71">
        <f t="shared" si="17"/>
        <v>-467995.84684849996</v>
      </c>
      <c r="AO60" s="71">
        <f t="shared" si="17"/>
        <v>-470834.09319799993</v>
      </c>
      <c r="AP60" s="71">
        <f t="shared" si="17"/>
        <v>-473008.21042249992</v>
      </c>
      <c r="AQ60" s="71"/>
    </row>
    <row r="61" spans="3:43" s="88" customFormat="1" ht="12.75">
      <c r="C61" s="89"/>
      <c r="D61" s="72"/>
      <c r="E61" s="72"/>
      <c r="F61" s="67"/>
      <c r="G61" s="68"/>
      <c r="H61" s="68">
        <f t="shared" ref="H61:AP61" si="18">IF(AND(H60&gt;=0,G60&lt;0),H58,0)</f>
        <v>0</v>
      </c>
      <c r="I61" s="68">
        <f t="shared" si="18"/>
        <v>0</v>
      </c>
      <c r="J61" s="68">
        <f t="shared" si="18"/>
        <v>0</v>
      </c>
      <c r="K61" s="68">
        <f t="shared" si="18"/>
        <v>0</v>
      </c>
      <c r="L61" s="68">
        <f t="shared" si="18"/>
        <v>0</v>
      </c>
      <c r="M61" s="68">
        <f t="shared" si="18"/>
        <v>0</v>
      </c>
      <c r="N61" s="68">
        <f t="shared" si="18"/>
        <v>0</v>
      </c>
      <c r="O61" s="68">
        <f t="shared" si="18"/>
        <v>0</v>
      </c>
      <c r="P61" s="68">
        <f t="shared" si="18"/>
        <v>0</v>
      </c>
      <c r="Q61" s="68">
        <f t="shared" si="18"/>
        <v>0</v>
      </c>
      <c r="R61" s="68">
        <f t="shared" si="18"/>
        <v>0</v>
      </c>
      <c r="S61" s="68">
        <f t="shared" si="18"/>
        <v>0</v>
      </c>
      <c r="T61" s="68">
        <f t="shared" si="18"/>
        <v>0</v>
      </c>
      <c r="U61" s="68">
        <f t="shared" si="18"/>
        <v>0</v>
      </c>
      <c r="V61" s="68">
        <f t="shared" si="18"/>
        <v>0</v>
      </c>
      <c r="W61" s="68">
        <f t="shared" si="18"/>
        <v>0</v>
      </c>
      <c r="X61" s="68">
        <f t="shared" si="18"/>
        <v>0</v>
      </c>
      <c r="Y61" s="68">
        <f t="shared" si="18"/>
        <v>0</v>
      </c>
      <c r="Z61" s="68">
        <f t="shared" si="18"/>
        <v>0</v>
      </c>
      <c r="AA61" s="68">
        <f t="shared" si="18"/>
        <v>0</v>
      </c>
      <c r="AB61" s="68">
        <f t="shared" si="18"/>
        <v>0</v>
      </c>
      <c r="AC61" s="68">
        <f t="shared" si="18"/>
        <v>0</v>
      </c>
      <c r="AD61" s="68">
        <f t="shared" si="18"/>
        <v>0</v>
      </c>
      <c r="AE61" s="68">
        <f t="shared" si="18"/>
        <v>0</v>
      </c>
      <c r="AF61" s="68">
        <f t="shared" si="18"/>
        <v>0</v>
      </c>
      <c r="AG61" s="68">
        <f t="shared" si="18"/>
        <v>0</v>
      </c>
      <c r="AH61" s="68">
        <f t="shared" si="18"/>
        <v>0</v>
      </c>
      <c r="AI61" s="68">
        <f t="shared" si="18"/>
        <v>0</v>
      </c>
      <c r="AJ61" s="68">
        <f t="shared" si="18"/>
        <v>0</v>
      </c>
      <c r="AK61" s="68">
        <f t="shared" si="18"/>
        <v>0</v>
      </c>
      <c r="AL61" s="68">
        <f t="shared" si="18"/>
        <v>0</v>
      </c>
      <c r="AM61" s="68">
        <f t="shared" si="18"/>
        <v>0</v>
      </c>
      <c r="AN61" s="68">
        <f t="shared" si="18"/>
        <v>0</v>
      </c>
      <c r="AO61" s="68">
        <f t="shared" si="18"/>
        <v>0</v>
      </c>
      <c r="AP61" s="68">
        <f t="shared" si="18"/>
        <v>0</v>
      </c>
      <c r="AQ61" s="68"/>
    </row>
    <row r="63" spans="3:43" s="88" customFormat="1" ht="12.75">
      <c r="C63" s="89"/>
      <c r="D63" s="72"/>
      <c r="E63" s="72"/>
      <c r="F63" s="67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</row>
    <row r="64" spans="3:43" ht="18">
      <c r="C64" s="90" t="s">
        <v>23</v>
      </c>
      <c r="D64" s="91"/>
      <c r="E64" s="91"/>
    </row>
    <row r="65" spans="3:7" ht="18">
      <c r="C65" s="92" t="s">
        <v>24</v>
      </c>
      <c r="D65" s="93">
        <f>SUM(F11:AP11)</f>
        <v>1258287</v>
      </c>
      <c r="E65" s="97"/>
      <c r="G65" s="73">
        <f>+SUM(G11:AP11)</f>
        <v>1258287</v>
      </c>
    </row>
    <row r="66" spans="3:7" ht="18">
      <c r="C66" s="92" t="s">
        <v>25</v>
      </c>
      <c r="D66" s="93">
        <f>-SUM(F15:AP15)</f>
        <v>-1718898.6422459998</v>
      </c>
      <c r="E66" s="98"/>
      <c r="G66" s="73">
        <f>+SUM(G15:AP15)</f>
        <v>1718898.6422459998</v>
      </c>
    </row>
    <row r="67" spans="3:7" ht="18">
      <c r="C67" s="92" t="s">
        <v>26</v>
      </c>
      <c r="D67" s="93">
        <f>+D65+D66</f>
        <v>-460611.64224599977</v>
      </c>
      <c r="E67" s="97"/>
      <c r="G67" s="73">
        <f>+G65-G66</f>
        <v>-460611.64224599977</v>
      </c>
    </row>
    <row r="68" spans="3:7" ht="18">
      <c r="C68" s="94" t="s">
        <v>8</v>
      </c>
      <c r="D68" s="143">
        <f>+D67/D65</f>
        <v>-0.36606246607173065</v>
      </c>
      <c r="E68" s="95"/>
      <c r="G68" s="73">
        <f>+G65/G66-1</f>
        <v>-0.26796905351216138</v>
      </c>
    </row>
    <row r="69" spans="3:7" ht="18">
      <c r="C69" s="94" t="s">
        <v>27</v>
      </c>
      <c r="D69" s="143">
        <f>+((D65+D66)+(SUM(G24:AP24)))/D65</f>
        <v>-0.36448450379921254</v>
      </c>
      <c r="E69" s="95"/>
      <c r="G69" s="73">
        <f>+B36+B34+B24</f>
        <v>-471208.98283199995</v>
      </c>
    </row>
    <row r="71" spans="3:7" ht="15.75">
      <c r="C71" s="8" t="s">
        <v>56</v>
      </c>
    </row>
    <row r="72" spans="3:7" ht="18">
      <c r="C72" s="92" t="s">
        <v>57</v>
      </c>
      <c r="D72" s="93">
        <f>+H54</f>
        <v>-429046.42402515042</v>
      </c>
      <c r="G72" s="73">
        <f>+H51</f>
        <v>1037507.7461451225</v>
      </c>
    </row>
    <row r="73" spans="3:7" ht="18">
      <c r="C73" s="92" t="s">
        <v>58</v>
      </c>
      <c r="D73" s="93">
        <f>+H56</f>
        <v>0</v>
      </c>
      <c r="G73" s="73">
        <f>+H56</f>
        <v>0</v>
      </c>
    </row>
    <row r="74" spans="3:7" ht="18">
      <c r="C74" s="92" t="s">
        <v>59</v>
      </c>
      <c r="D74" s="150" t="e">
        <f>+IRR(F46:AP46)</f>
        <v>#NUM!</v>
      </c>
      <c r="G74" s="154">
        <v>6.7310000070647816E-2</v>
      </c>
    </row>
    <row r="75" spans="3:7" ht="18">
      <c r="C75" s="94" t="s">
        <v>60</v>
      </c>
      <c r="D75" s="150">
        <f>+D67/D65</f>
        <v>-0.36606246607173065</v>
      </c>
      <c r="G75" s="154">
        <v>0.10045744918716239</v>
      </c>
    </row>
    <row r="79" spans="3:7">
      <c r="C79" s="22" t="s">
        <v>61</v>
      </c>
    </row>
    <row r="81" spans="1:2">
      <c r="B81" s="30"/>
    </row>
    <row r="82" spans="1:2">
      <c r="A82" s="22" t="s">
        <v>61</v>
      </c>
      <c r="B82" s="30"/>
    </row>
  </sheetData>
  <mergeCells count="1">
    <mergeCell ref="C39:I39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zoomScale="115" zoomScaleNormal="115" workbookViewId="0">
      <selection activeCell="D13" sqref="D13"/>
    </sheetView>
  </sheetViews>
  <sheetFormatPr baseColWidth="10" defaultRowHeight="12.75"/>
  <cols>
    <col min="1" max="1" width="60.42578125" style="108" customWidth="1"/>
    <col min="2" max="2" width="9.28515625" style="108" bestFit="1" customWidth="1"/>
    <col min="3" max="3" width="13.5703125" style="108" customWidth="1"/>
    <col min="4" max="4" width="14.42578125" style="108" bestFit="1" customWidth="1"/>
    <col min="5" max="5" width="12.85546875" bestFit="1" customWidth="1"/>
    <col min="8" max="8" width="0" hidden="1" customWidth="1"/>
  </cols>
  <sheetData>
    <row r="1" spans="1:8" ht="15.75">
      <c r="A1" s="368" t="s">
        <v>135</v>
      </c>
      <c r="B1" s="381"/>
      <c r="C1" s="381"/>
      <c r="D1" s="381"/>
      <c r="E1" s="366"/>
    </row>
    <row r="2" spans="1:8">
      <c r="A2" s="381"/>
      <c r="B2" s="381"/>
      <c r="C2" s="381"/>
      <c r="D2" s="381"/>
      <c r="E2" s="366"/>
    </row>
    <row r="3" spans="1:8" s="110" customFormat="1" ht="15.95" customHeight="1">
      <c r="A3" s="129" t="s">
        <v>5</v>
      </c>
      <c r="B3" s="129" t="s">
        <v>29</v>
      </c>
      <c r="C3" s="129" t="s">
        <v>31</v>
      </c>
      <c r="D3" s="129" t="s">
        <v>32</v>
      </c>
      <c r="E3" s="129" t="s">
        <v>38</v>
      </c>
    </row>
    <row r="4" spans="1:8" ht="15.95" customHeight="1">
      <c r="A4" s="136" t="s">
        <v>34</v>
      </c>
      <c r="B4" s="136"/>
      <c r="C4" s="136"/>
      <c r="D4" s="136"/>
      <c r="E4" s="136"/>
      <c r="H4" t="s">
        <v>76</v>
      </c>
    </row>
    <row r="5" spans="1:8">
      <c r="A5" s="130" t="s">
        <v>130</v>
      </c>
      <c r="B5" s="109">
        <v>1</v>
      </c>
      <c r="C5" s="133">
        <v>30</v>
      </c>
      <c r="D5" s="131">
        <f>+C5*B5</f>
        <v>30</v>
      </c>
      <c r="E5" s="118" t="s">
        <v>76</v>
      </c>
      <c r="H5" t="s">
        <v>4</v>
      </c>
    </row>
    <row r="6" spans="1:8">
      <c r="A6" s="379" t="s">
        <v>131</v>
      </c>
      <c r="B6" s="109">
        <v>1</v>
      </c>
      <c r="C6" s="133">
        <v>250</v>
      </c>
      <c r="D6" s="131">
        <f>+C6*B6</f>
        <v>250</v>
      </c>
      <c r="E6" s="118" t="s">
        <v>76</v>
      </c>
      <c r="H6" t="s">
        <v>75</v>
      </c>
    </row>
    <row r="7" spans="1:8">
      <c r="A7" s="379" t="s">
        <v>132</v>
      </c>
      <c r="B7" s="109">
        <v>1</v>
      </c>
      <c r="C7" s="133">
        <v>400</v>
      </c>
      <c r="D7" s="131">
        <f>+C7*B7</f>
        <v>400</v>
      </c>
      <c r="E7" s="118" t="s">
        <v>76</v>
      </c>
      <c r="H7" t="s">
        <v>70</v>
      </c>
    </row>
    <row r="8" spans="1:8">
      <c r="A8" s="379" t="s">
        <v>133</v>
      </c>
      <c r="B8" s="109">
        <v>1</v>
      </c>
      <c r="C8" s="131">
        <v>72.78</v>
      </c>
      <c r="D8" s="131">
        <f>+C8*B8</f>
        <v>72.78</v>
      </c>
      <c r="E8" s="118" t="s">
        <v>76</v>
      </c>
      <c r="H8" t="s">
        <v>69</v>
      </c>
    </row>
    <row r="9" spans="1:8" ht="15.95" customHeight="1">
      <c r="A9" s="136" t="s">
        <v>35</v>
      </c>
      <c r="B9" s="137"/>
      <c r="C9" s="138"/>
      <c r="D9" s="138"/>
      <c r="E9" s="138"/>
      <c r="F9" s="115"/>
      <c r="H9" t="s">
        <v>74</v>
      </c>
    </row>
    <row r="10" spans="1:8" ht="15.95" customHeight="1">
      <c r="A10" s="118" t="s">
        <v>119</v>
      </c>
      <c r="B10" s="109">
        <v>1</v>
      </c>
      <c r="C10" s="318">
        <v>2355.0801799999999</v>
      </c>
      <c r="D10" s="131">
        <f t="shared" ref="D10:D11" si="0">+C10*B10</f>
        <v>2355.0801799999999</v>
      </c>
      <c r="E10" s="118" t="s">
        <v>4</v>
      </c>
      <c r="F10" s="115"/>
    </row>
    <row r="11" spans="1:8" ht="15.95" customHeight="1">
      <c r="A11" s="122" t="s">
        <v>120</v>
      </c>
      <c r="B11" s="109">
        <v>1</v>
      </c>
      <c r="C11" s="318">
        <v>198.29281</v>
      </c>
      <c r="D11" s="131">
        <f t="shared" si="0"/>
        <v>198.29281</v>
      </c>
      <c r="E11" s="118" t="s">
        <v>4</v>
      </c>
      <c r="F11" s="115"/>
    </row>
    <row r="12" spans="1:8" ht="15.95" customHeight="1">
      <c r="A12" s="122" t="s">
        <v>121</v>
      </c>
      <c r="B12" s="109">
        <v>1</v>
      </c>
      <c r="C12" s="318">
        <v>3.0627</v>
      </c>
      <c r="D12" s="131">
        <f>+C12*B12</f>
        <v>3.0627</v>
      </c>
      <c r="E12" s="118" t="s">
        <v>4</v>
      </c>
    </row>
    <row r="13" spans="1:8" ht="15.95" customHeight="1">
      <c r="A13" s="126" t="s">
        <v>33</v>
      </c>
      <c r="B13" s="127"/>
      <c r="C13" s="132"/>
      <c r="D13" s="134">
        <f>SUM(D4:D12)</f>
        <v>3309.2156899999995</v>
      </c>
      <c r="E13" s="128"/>
    </row>
    <row r="14" spans="1:8" ht="15.95" customHeight="1">
      <c r="A14" s="380"/>
      <c r="B14" s="380"/>
      <c r="C14" s="380"/>
      <c r="D14" s="380"/>
      <c r="E14" s="367"/>
    </row>
    <row r="15" spans="1:8">
      <c r="A15" s="380"/>
      <c r="B15" s="380"/>
      <c r="C15" s="380"/>
      <c r="D15" s="380"/>
      <c r="E15" s="367"/>
    </row>
    <row r="16" spans="1:8" ht="20.25" customHeight="1">
      <c r="A16" s="129" t="s">
        <v>65</v>
      </c>
      <c r="B16" s="129" t="s">
        <v>29</v>
      </c>
      <c r="C16" s="129" t="s">
        <v>66</v>
      </c>
      <c r="D16" s="129" t="s">
        <v>67</v>
      </c>
      <c r="E16" s="129" t="s">
        <v>73</v>
      </c>
    </row>
    <row r="17" spans="1:5">
      <c r="A17" s="157" t="s">
        <v>109</v>
      </c>
      <c r="B17" s="109">
        <v>3</v>
      </c>
      <c r="C17" s="332">
        <v>2371.6999999999998</v>
      </c>
      <c r="D17" s="131">
        <f>+C17*B17</f>
        <v>7115.0999999999995</v>
      </c>
      <c r="E17" s="118" t="s">
        <v>74</v>
      </c>
    </row>
    <row r="18" spans="1:5">
      <c r="A18" s="157" t="s">
        <v>111</v>
      </c>
      <c r="B18" s="109">
        <v>3</v>
      </c>
      <c r="C18" s="332">
        <v>70</v>
      </c>
      <c r="D18" s="131">
        <f t="shared" ref="D18:D21" si="1">+C18*B18</f>
        <v>210</v>
      </c>
      <c r="E18" s="118" t="s">
        <v>74</v>
      </c>
    </row>
    <row r="19" spans="1:5">
      <c r="A19" s="157" t="s">
        <v>112</v>
      </c>
      <c r="B19" s="109">
        <v>3</v>
      </c>
      <c r="C19" s="332">
        <v>2500</v>
      </c>
      <c r="D19" s="131">
        <f t="shared" si="1"/>
        <v>7500</v>
      </c>
      <c r="E19" s="118" t="s">
        <v>76</v>
      </c>
    </row>
    <row r="20" spans="1:5">
      <c r="A20" s="157" t="s">
        <v>113</v>
      </c>
      <c r="B20" s="109">
        <v>3</v>
      </c>
      <c r="C20" s="332">
        <v>350</v>
      </c>
      <c r="D20" s="131">
        <f t="shared" si="1"/>
        <v>1050</v>
      </c>
      <c r="E20" s="118" t="s">
        <v>76</v>
      </c>
    </row>
    <row r="21" spans="1:5">
      <c r="A21" s="157" t="s">
        <v>114</v>
      </c>
      <c r="B21" s="109">
        <v>3</v>
      </c>
      <c r="C21" s="332">
        <v>120</v>
      </c>
      <c r="D21" s="131">
        <f t="shared" si="1"/>
        <v>360</v>
      </c>
      <c r="E21" s="118" t="s">
        <v>69</v>
      </c>
    </row>
    <row r="22" spans="1:5" ht="15">
      <c r="A22" s="155" t="s">
        <v>62</v>
      </c>
      <c r="B22" s="155"/>
      <c r="C22" s="155"/>
      <c r="D22" s="156">
        <f>SUM(D17:D21)</f>
        <v>16235.099999999999</v>
      </c>
      <c r="E22" s="155"/>
    </row>
    <row r="24" spans="1:5">
      <c r="A24" s="129" t="s">
        <v>71</v>
      </c>
      <c r="B24" s="129" t="s">
        <v>29</v>
      </c>
      <c r="C24" s="129" t="s">
        <v>31</v>
      </c>
      <c r="D24" s="129" t="s">
        <v>32</v>
      </c>
      <c r="E24" s="129" t="s">
        <v>68</v>
      </c>
    </row>
    <row r="25" spans="1:5" ht="14.25">
      <c r="A25" s="178" t="s">
        <v>134</v>
      </c>
      <c r="B25" s="179">
        <v>1</v>
      </c>
      <c r="C25" s="180">
        <v>800</v>
      </c>
      <c r="D25" s="180">
        <f>C25*B25</f>
        <v>800</v>
      </c>
      <c r="E25" s="118" t="s">
        <v>4</v>
      </c>
    </row>
    <row r="26" spans="1:5" ht="15">
      <c r="A26" s="155" t="s">
        <v>62</v>
      </c>
      <c r="B26" s="155"/>
      <c r="C26" s="155"/>
      <c r="D26" s="156">
        <f>SUM(D25:D25)</f>
        <v>800</v>
      </c>
      <c r="E26" s="155"/>
    </row>
    <row r="27" spans="1:5">
      <c r="A27"/>
      <c r="B27"/>
      <c r="C27"/>
      <c r="D27"/>
    </row>
    <row r="28" spans="1:5">
      <c r="A28"/>
      <c r="B28"/>
      <c r="C28"/>
      <c r="D28"/>
    </row>
    <row r="29" spans="1:5">
      <c r="A29"/>
      <c r="B29"/>
      <c r="C29"/>
      <c r="D29"/>
    </row>
    <row r="30" spans="1:5">
      <c r="A30"/>
      <c r="B30"/>
      <c r="C30"/>
      <c r="D30"/>
    </row>
    <row r="31" spans="1:5">
      <c r="A31"/>
      <c r="B31"/>
      <c r="C31"/>
      <c r="D31"/>
    </row>
    <row r="32" spans="1:5">
      <c r="A32"/>
      <c r="B32"/>
      <c r="C32"/>
      <c r="D32"/>
    </row>
    <row r="33" spans="1:4">
      <c r="A33"/>
      <c r="B33"/>
      <c r="C33"/>
      <c r="D33"/>
    </row>
    <row r="34" spans="1:4">
      <c r="A34"/>
      <c r="B34"/>
      <c r="C34"/>
      <c r="D34"/>
    </row>
    <row r="35" spans="1:4">
      <c r="A35"/>
      <c r="B35"/>
      <c r="C35"/>
      <c r="D35"/>
    </row>
    <row r="36" spans="1:4">
      <c r="A36"/>
      <c r="B36"/>
      <c r="C36"/>
      <c r="D36"/>
    </row>
    <row r="37" spans="1:4">
      <c r="A37"/>
      <c r="B37"/>
      <c r="C37"/>
      <c r="D37"/>
    </row>
    <row r="45" spans="1:4">
      <c r="C45"/>
      <c r="D45"/>
    </row>
    <row r="46" spans="1:4">
      <c r="C46"/>
      <c r="D46"/>
    </row>
    <row r="47" spans="1:4">
      <c r="C47"/>
      <c r="D47"/>
    </row>
    <row r="48" spans="1:4">
      <c r="C48"/>
      <c r="D48"/>
    </row>
    <row r="49" spans="3:4">
      <c r="C49"/>
      <c r="D49"/>
    </row>
    <row r="50" spans="3:4">
      <c r="C50"/>
      <c r="D50"/>
    </row>
    <row r="51" spans="3:4">
      <c r="C51"/>
      <c r="D51"/>
    </row>
    <row r="52" spans="3:4">
      <c r="C52"/>
      <c r="D52"/>
    </row>
    <row r="53" spans="3:4">
      <c r="C53"/>
      <c r="D53"/>
    </row>
    <row r="54" spans="3:4">
      <c r="C54"/>
      <c r="D54"/>
    </row>
    <row r="55" spans="3:4">
      <c r="C55"/>
      <c r="D55"/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  <row r="66" spans="3:4">
      <c r="C66"/>
      <c r="D66"/>
    </row>
    <row r="67" spans="3:4">
      <c r="C67"/>
      <c r="D67"/>
    </row>
    <row r="68" spans="3:4">
      <c r="C68"/>
      <c r="D68"/>
    </row>
    <row r="69" spans="3:4">
      <c r="C69"/>
      <c r="D69"/>
    </row>
    <row r="70" spans="3:4">
      <c r="C70"/>
      <c r="D70"/>
    </row>
    <row r="71" spans="3:4">
      <c r="C71"/>
      <c r="D71"/>
    </row>
  </sheetData>
  <phoneticPr fontId="0" type="noConversion"/>
  <dataValidations count="1">
    <dataValidation type="list" allowBlank="1" showInputMessage="1" showErrorMessage="1" sqref="E25 E17:E21 E5:E8 E10:E12">
      <formula1>$H$4:$H$9</formula1>
    </dataValidation>
  </dataValidations>
  <pageMargins left="0.74803149606299213" right="0.74803149606299213" top="0.98425196850393704" bottom="0.98425196850393704" header="0" footer="0"/>
  <pageSetup paperSize="9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"/>
  <sheetViews>
    <sheetView workbookViewId="0">
      <selection activeCell="B12" sqref="B12"/>
    </sheetView>
  </sheetViews>
  <sheetFormatPr baseColWidth="10" defaultRowHeight="12.75"/>
  <cols>
    <col min="1" max="1" width="45.85546875" customWidth="1"/>
    <col min="2" max="37" width="7.140625" customWidth="1"/>
  </cols>
  <sheetData>
    <row r="1" spans="1:37" ht="15">
      <c r="A1" s="378" t="s">
        <v>49</v>
      </c>
    </row>
    <row r="2" spans="1:37">
      <c r="A2" s="114"/>
    </row>
    <row r="3" spans="1:37">
      <c r="B3" s="323">
        <v>1</v>
      </c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>
        <v>2</v>
      </c>
      <c r="O3" s="323"/>
      <c r="P3" s="323"/>
      <c r="Q3" s="323"/>
      <c r="R3" s="323"/>
      <c r="S3" s="323"/>
      <c r="T3" s="323"/>
      <c r="U3" s="323"/>
      <c r="V3" s="323"/>
      <c r="W3" s="323"/>
      <c r="X3" s="323"/>
      <c r="Y3" s="323"/>
      <c r="Z3" s="323">
        <v>3</v>
      </c>
      <c r="AA3" s="323"/>
      <c r="AB3" s="323"/>
      <c r="AC3" s="323"/>
      <c r="AD3" s="323"/>
      <c r="AE3" s="323"/>
      <c r="AF3" s="323"/>
      <c r="AG3" s="323"/>
      <c r="AH3" s="323"/>
      <c r="AI3" s="323"/>
      <c r="AJ3" s="323"/>
      <c r="AK3" s="323"/>
    </row>
    <row r="4" spans="1:37">
      <c r="A4" s="139" t="s">
        <v>49</v>
      </c>
      <c r="B4" s="120">
        <f>+Ingresos!B3</f>
        <v>43831</v>
      </c>
      <c r="C4" s="120">
        <f>+Ingresos!C3</f>
        <v>43862</v>
      </c>
      <c r="D4" s="120">
        <f>+Ingresos!D3</f>
        <v>43891</v>
      </c>
      <c r="E4" s="120">
        <f>+Ingresos!E3</f>
        <v>43922</v>
      </c>
      <c r="F4" s="120">
        <f>+Ingresos!F3</f>
        <v>43952</v>
      </c>
      <c r="G4" s="120">
        <f>+Ingresos!G3</f>
        <v>43983</v>
      </c>
      <c r="H4" s="120">
        <f>+Ingresos!H3</f>
        <v>44013</v>
      </c>
      <c r="I4" s="120">
        <f>+Ingresos!I3</f>
        <v>44044</v>
      </c>
      <c r="J4" s="120">
        <f>+Ingresos!J3</f>
        <v>44075</v>
      </c>
      <c r="K4" s="120">
        <f>+Ingresos!K3</f>
        <v>44105</v>
      </c>
      <c r="L4" s="120">
        <f>+Ingresos!L3</f>
        <v>44136</v>
      </c>
      <c r="M4" s="120">
        <f>+Ingresos!M3</f>
        <v>44166</v>
      </c>
      <c r="N4" s="120">
        <f>+Ingresos!N3</f>
        <v>44197</v>
      </c>
      <c r="O4" s="120">
        <f>+Ingresos!O3</f>
        <v>44228</v>
      </c>
      <c r="P4" s="120">
        <f>+Ingresos!P3</f>
        <v>44256</v>
      </c>
      <c r="Q4" s="120">
        <f>+Ingresos!Q3</f>
        <v>44287</v>
      </c>
      <c r="R4" s="120">
        <f>+Ingresos!R3</f>
        <v>44317</v>
      </c>
      <c r="S4" s="120">
        <f>+Ingresos!S3</f>
        <v>44348</v>
      </c>
      <c r="T4" s="120">
        <f>+Ingresos!T3</f>
        <v>44378</v>
      </c>
      <c r="U4" s="120">
        <f>+Ingresos!U3</f>
        <v>44409</v>
      </c>
      <c r="V4" s="120">
        <f>+Ingresos!V3</f>
        <v>44440</v>
      </c>
      <c r="W4" s="120">
        <f>+Ingresos!W3</f>
        <v>44470</v>
      </c>
      <c r="X4" s="120">
        <f>+Ingresos!X3</f>
        <v>44501</v>
      </c>
      <c r="Y4" s="120">
        <f>+Ingresos!Y3</f>
        <v>44531</v>
      </c>
      <c r="Z4" s="120">
        <f>+Ingresos!Z3</f>
        <v>44562</v>
      </c>
      <c r="AA4" s="120">
        <f>+Ingresos!AA3</f>
        <v>44593</v>
      </c>
      <c r="AB4" s="120">
        <f>+Ingresos!AB3</f>
        <v>44621</v>
      </c>
      <c r="AC4" s="120">
        <f>+Ingresos!AC3</f>
        <v>44652</v>
      </c>
      <c r="AD4" s="120">
        <f>+Ingresos!AD3</f>
        <v>44682</v>
      </c>
      <c r="AE4" s="120">
        <f>+Ingresos!AE3</f>
        <v>44713</v>
      </c>
      <c r="AF4" s="120">
        <f>+Ingresos!AF3</f>
        <v>44743</v>
      </c>
      <c r="AG4" s="120">
        <f>+Ingresos!AG3</f>
        <v>44774</v>
      </c>
      <c r="AH4" s="120">
        <f>+Ingresos!AH3</f>
        <v>44805</v>
      </c>
      <c r="AI4" s="120">
        <f>+Ingresos!AI3</f>
        <v>44835</v>
      </c>
      <c r="AJ4" s="120">
        <f>+Ingresos!AJ3</f>
        <v>44866</v>
      </c>
      <c r="AK4" s="120">
        <f>+Ingresos!AK3</f>
        <v>44896</v>
      </c>
    </row>
    <row r="5" spans="1:37">
      <c r="A5" s="118" t="s">
        <v>123</v>
      </c>
      <c r="B5" s="118">
        <v>120</v>
      </c>
      <c r="C5" s="118">
        <f>$B$5</f>
        <v>120</v>
      </c>
      <c r="D5" s="118">
        <f t="shared" ref="D5:AK5" si="0">$B$5</f>
        <v>120</v>
      </c>
      <c r="E5" s="118">
        <f t="shared" si="0"/>
        <v>120</v>
      </c>
      <c r="F5" s="118">
        <f t="shared" si="0"/>
        <v>120</v>
      </c>
      <c r="G5" s="118">
        <f t="shared" si="0"/>
        <v>120</v>
      </c>
      <c r="H5" s="118">
        <f t="shared" si="0"/>
        <v>120</v>
      </c>
      <c r="I5" s="118">
        <f t="shared" si="0"/>
        <v>120</v>
      </c>
      <c r="J5" s="118">
        <f t="shared" si="0"/>
        <v>120</v>
      </c>
      <c r="K5" s="118">
        <f t="shared" si="0"/>
        <v>120</v>
      </c>
      <c r="L5" s="118">
        <f t="shared" si="0"/>
        <v>120</v>
      </c>
      <c r="M5" s="118">
        <f t="shared" si="0"/>
        <v>120</v>
      </c>
      <c r="N5" s="118">
        <f t="shared" si="0"/>
        <v>120</v>
      </c>
      <c r="O5" s="118">
        <f t="shared" si="0"/>
        <v>120</v>
      </c>
      <c r="P5" s="118">
        <f t="shared" si="0"/>
        <v>120</v>
      </c>
      <c r="Q5" s="118">
        <f t="shared" si="0"/>
        <v>120</v>
      </c>
      <c r="R5" s="118">
        <f t="shared" si="0"/>
        <v>120</v>
      </c>
      <c r="S5" s="118">
        <f t="shared" si="0"/>
        <v>120</v>
      </c>
      <c r="T5" s="118">
        <f t="shared" si="0"/>
        <v>120</v>
      </c>
      <c r="U5" s="118">
        <f t="shared" si="0"/>
        <v>120</v>
      </c>
      <c r="V5" s="118">
        <f t="shared" si="0"/>
        <v>120</v>
      </c>
      <c r="W5" s="118">
        <f t="shared" si="0"/>
        <v>120</v>
      </c>
      <c r="X5" s="118">
        <f t="shared" si="0"/>
        <v>120</v>
      </c>
      <c r="Y5" s="118">
        <f t="shared" si="0"/>
        <v>120</v>
      </c>
      <c r="Z5" s="118">
        <f t="shared" si="0"/>
        <v>120</v>
      </c>
      <c r="AA5" s="118">
        <f t="shared" si="0"/>
        <v>120</v>
      </c>
      <c r="AB5" s="118">
        <f t="shared" si="0"/>
        <v>120</v>
      </c>
      <c r="AC5" s="118">
        <f t="shared" si="0"/>
        <v>120</v>
      </c>
      <c r="AD5" s="118">
        <f t="shared" si="0"/>
        <v>120</v>
      </c>
      <c r="AE5" s="118">
        <f t="shared" si="0"/>
        <v>120</v>
      </c>
      <c r="AF5" s="118">
        <f t="shared" si="0"/>
        <v>120</v>
      </c>
      <c r="AG5" s="118">
        <f t="shared" si="0"/>
        <v>120</v>
      </c>
      <c r="AH5" s="118">
        <f t="shared" si="0"/>
        <v>120</v>
      </c>
      <c r="AI5" s="118">
        <f t="shared" si="0"/>
        <v>120</v>
      </c>
      <c r="AJ5" s="118">
        <f t="shared" si="0"/>
        <v>120</v>
      </c>
      <c r="AK5" s="118">
        <f t="shared" si="0"/>
        <v>120</v>
      </c>
    </row>
    <row r="6" spans="1:37">
      <c r="A6" s="118" t="s">
        <v>124</v>
      </c>
      <c r="B6" s="118">
        <v>1200</v>
      </c>
      <c r="C6" s="118">
        <f>$B$6</f>
        <v>1200</v>
      </c>
      <c r="D6" s="118">
        <f t="shared" ref="D6:AK6" si="1">$B$6</f>
        <v>1200</v>
      </c>
      <c r="E6" s="118">
        <f t="shared" si="1"/>
        <v>1200</v>
      </c>
      <c r="F6" s="118">
        <f t="shared" si="1"/>
        <v>1200</v>
      </c>
      <c r="G6" s="118">
        <f t="shared" si="1"/>
        <v>1200</v>
      </c>
      <c r="H6" s="118">
        <f t="shared" si="1"/>
        <v>1200</v>
      </c>
      <c r="I6" s="118">
        <f t="shared" si="1"/>
        <v>1200</v>
      </c>
      <c r="J6" s="118">
        <f t="shared" si="1"/>
        <v>1200</v>
      </c>
      <c r="K6" s="118">
        <f t="shared" si="1"/>
        <v>1200</v>
      </c>
      <c r="L6" s="118">
        <f t="shared" si="1"/>
        <v>1200</v>
      </c>
      <c r="M6" s="118">
        <f t="shared" si="1"/>
        <v>1200</v>
      </c>
      <c r="N6" s="118">
        <f t="shared" si="1"/>
        <v>1200</v>
      </c>
      <c r="O6" s="118">
        <f t="shared" si="1"/>
        <v>1200</v>
      </c>
      <c r="P6" s="118">
        <f t="shared" si="1"/>
        <v>1200</v>
      </c>
      <c r="Q6" s="118">
        <f t="shared" si="1"/>
        <v>1200</v>
      </c>
      <c r="R6" s="118">
        <f t="shared" si="1"/>
        <v>1200</v>
      </c>
      <c r="S6" s="118">
        <f t="shared" si="1"/>
        <v>1200</v>
      </c>
      <c r="T6" s="118">
        <f t="shared" si="1"/>
        <v>1200</v>
      </c>
      <c r="U6" s="118">
        <f t="shared" si="1"/>
        <v>1200</v>
      </c>
      <c r="V6" s="118">
        <f t="shared" si="1"/>
        <v>1200</v>
      </c>
      <c r="W6" s="118">
        <f t="shared" si="1"/>
        <v>1200</v>
      </c>
      <c r="X6" s="118">
        <f t="shared" si="1"/>
        <v>1200</v>
      </c>
      <c r="Y6" s="118">
        <f t="shared" si="1"/>
        <v>1200</v>
      </c>
      <c r="Z6" s="118">
        <f t="shared" si="1"/>
        <v>1200</v>
      </c>
      <c r="AA6" s="118">
        <f t="shared" si="1"/>
        <v>1200</v>
      </c>
      <c r="AB6" s="118">
        <f t="shared" si="1"/>
        <v>1200</v>
      </c>
      <c r="AC6" s="118">
        <f t="shared" si="1"/>
        <v>1200</v>
      </c>
      <c r="AD6" s="118">
        <f t="shared" si="1"/>
        <v>1200</v>
      </c>
      <c r="AE6" s="118">
        <f t="shared" si="1"/>
        <v>1200</v>
      </c>
      <c r="AF6" s="118">
        <f t="shared" si="1"/>
        <v>1200</v>
      </c>
      <c r="AG6" s="118">
        <f t="shared" si="1"/>
        <v>1200</v>
      </c>
      <c r="AH6" s="118">
        <f t="shared" si="1"/>
        <v>1200</v>
      </c>
      <c r="AI6" s="118">
        <f t="shared" si="1"/>
        <v>1200</v>
      </c>
      <c r="AJ6" s="118">
        <f t="shared" si="1"/>
        <v>1200</v>
      </c>
      <c r="AK6" s="118">
        <f t="shared" si="1"/>
        <v>1200</v>
      </c>
    </row>
    <row r="7" spans="1:37">
      <c r="A7" s="118" t="s">
        <v>125</v>
      </c>
      <c r="B7" s="118">
        <v>1500</v>
      </c>
      <c r="C7" s="118">
        <f>$B$7</f>
        <v>1500</v>
      </c>
      <c r="D7" s="118">
        <f t="shared" ref="D7:AK7" si="2">$B$7</f>
        <v>1500</v>
      </c>
      <c r="E7" s="118">
        <f t="shared" si="2"/>
        <v>1500</v>
      </c>
      <c r="F7" s="118">
        <f t="shared" si="2"/>
        <v>1500</v>
      </c>
      <c r="G7" s="118">
        <f t="shared" si="2"/>
        <v>1500</v>
      </c>
      <c r="H7" s="118">
        <f t="shared" si="2"/>
        <v>1500</v>
      </c>
      <c r="I7" s="118">
        <f t="shared" si="2"/>
        <v>1500</v>
      </c>
      <c r="J7" s="118">
        <f t="shared" si="2"/>
        <v>1500</v>
      </c>
      <c r="K7" s="118">
        <f t="shared" si="2"/>
        <v>1500</v>
      </c>
      <c r="L7" s="118">
        <f t="shared" si="2"/>
        <v>1500</v>
      </c>
      <c r="M7" s="118">
        <f t="shared" si="2"/>
        <v>1500</v>
      </c>
      <c r="N7" s="118">
        <f t="shared" si="2"/>
        <v>1500</v>
      </c>
      <c r="O7" s="118">
        <f t="shared" si="2"/>
        <v>1500</v>
      </c>
      <c r="P7" s="118">
        <f t="shared" si="2"/>
        <v>1500</v>
      </c>
      <c r="Q7" s="118">
        <f t="shared" si="2"/>
        <v>1500</v>
      </c>
      <c r="R7" s="118">
        <f t="shared" si="2"/>
        <v>1500</v>
      </c>
      <c r="S7" s="118">
        <f t="shared" si="2"/>
        <v>1500</v>
      </c>
      <c r="T7" s="118">
        <f t="shared" si="2"/>
        <v>1500</v>
      </c>
      <c r="U7" s="118">
        <f t="shared" si="2"/>
        <v>1500</v>
      </c>
      <c r="V7" s="118">
        <f t="shared" si="2"/>
        <v>1500</v>
      </c>
      <c r="W7" s="118">
        <f t="shared" si="2"/>
        <v>1500</v>
      </c>
      <c r="X7" s="118">
        <f t="shared" si="2"/>
        <v>1500</v>
      </c>
      <c r="Y7" s="118">
        <f t="shared" si="2"/>
        <v>1500</v>
      </c>
      <c r="Z7" s="118">
        <f t="shared" si="2"/>
        <v>1500</v>
      </c>
      <c r="AA7" s="118">
        <f t="shared" si="2"/>
        <v>1500</v>
      </c>
      <c r="AB7" s="118">
        <f t="shared" si="2"/>
        <v>1500</v>
      </c>
      <c r="AC7" s="118">
        <f t="shared" si="2"/>
        <v>1500</v>
      </c>
      <c r="AD7" s="118">
        <f t="shared" si="2"/>
        <v>1500</v>
      </c>
      <c r="AE7" s="118">
        <f t="shared" si="2"/>
        <v>1500</v>
      </c>
      <c r="AF7" s="118">
        <f t="shared" si="2"/>
        <v>1500</v>
      </c>
      <c r="AG7" s="118">
        <f t="shared" si="2"/>
        <v>1500</v>
      </c>
      <c r="AH7" s="118">
        <f t="shared" si="2"/>
        <v>1500</v>
      </c>
      <c r="AI7" s="118">
        <f t="shared" si="2"/>
        <v>1500</v>
      </c>
      <c r="AJ7" s="118">
        <f t="shared" si="2"/>
        <v>1500</v>
      </c>
      <c r="AK7" s="118">
        <f t="shared" si="2"/>
        <v>1500</v>
      </c>
    </row>
    <row r="8" spans="1:37">
      <c r="A8" s="118" t="s">
        <v>126</v>
      </c>
      <c r="B8" s="118">
        <v>1800</v>
      </c>
      <c r="C8" s="118">
        <f>$B$8</f>
        <v>1800</v>
      </c>
      <c r="D8" s="118">
        <f t="shared" ref="D8:AK8" si="3">$B$8</f>
        <v>1800</v>
      </c>
      <c r="E8" s="118">
        <f t="shared" si="3"/>
        <v>1800</v>
      </c>
      <c r="F8" s="118">
        <f t="shared" si="3"/>
        <v>1800</v>
      </c>
      <c r="G8" s="118">
        <f t="shared" si="3"/>
        <v>1800</v>
      </c>
      <c r="H8" s="118">
        <f t="shared" si="3"/>
        <v>1800</v>
      </c>
      <c r="I8" s="118">
        <f t="shared" si="3"/>
        <v>1800</v>
      </c>
      <c r="J8" s="118">
        <f t="shared" si="3"/>
        <v>1800</v>
      </c>
      <c r="K8" s="118">
        <f t="shared" si="3"/>
        <v>1800</v>
      </c>
      <c r="L8" s="118">
        <f t="shared" si="3"/>
        <v>1800</v>
      </c>
      <c r="M8" s="118">
        <f t="shared" si="3"/>
        <v>1800</v>
      </c>
      <c r="N8" s="118">
        <f t="shared" si="3"/>
        <v>1800</v>
      </c>
      <c r="O8" s="118">
        <f t="shared" si="3"/>
        <v>1800</v>
      </c>
      <c r="P8" s="118">
        <f t="shared" si="3"/>
        <v>1800</v>
      </c>
      <c r="Q8" s="118">
        <f t="shared" si="3"/>
        <v>1800</v>
      </c>
      <c r="R8" s="118">
        <f t="shared" si="3"/>
        <v>1800</v>
      </c>
      <c r="S8" s="118">
        <f t="shared" si="3"/>
        <v>1800</v>
      </c>
      <c r="T8" s="118">
        <f t="shared" si="3"/>
        <v>1800</v>
      </c>
      <c r="U8" s="118">
        <f t="shared" si="3"/>
        <v>1800</v>
      </c>
      <c r="V8" s="118">
        <f t="shared" si="3"/>
        <v>1800</v>
      </c>
      <c r="W8" s="118">
        <f t="shared" si="3"/>
        <v>1800</v>
      </c>
      <c r="X8" s="118">
        <f t="shared" si="3"/>
        <v>1800</v>
      </c>
      <c r="Y8" s="118">
        <f t="shared" si="3"/>
        <v>1800</v>
      </c>
      <c r="Z8" s="118">
        <f t="shared" si="3"/>
        <v>1800</v>
      </c>
      <c r="AA8" s="118">
        <f t="shared" si="3"/>
        <v>1800</v>
      </c>
      <c r="AB8" s="118">
        <f t="shared" si="3"/>
        <v>1800</v>
      </c>
      <c r="AC8" s="118">
        <f t="shared" si="3"/>
        <v>1800</v>
      </c>
      <c r="AD8" s="118">
        <f t="shared" si="3"/>
        <v>1800</v>
      </c>
      <c r="AE8" s="118">
        <f t="shared" si="3"/>
        <v>1800</v>
      </c>
      <c r="AF8" s="118">
        <f t="shared" si="3"/>
        <v>1800</v>
      </c>
      <c r="AG8" s="118">
        <f t="shared" si="3"/>
        <v>1800</v>
      </c>
      <c r="AH8" s="118">
        <f t="shared" si="3"/>
        <v>1800</v>
      </c>
      <c r="AI8" s="118">
        <f t="shared" si="3"/>
        <v>1800</v>
      </c>
      <c r="AJ8" s="118">
        <f t="shared" si="3"/>
        <v>1800</v>
      </c>
      <c r="AK8" s="118">
        <f t="shared" si="3"/>
        <v>1800</v>
      </c>
    </row>
    <row r="9" spans="1:37">
      <c r="A9" s="118" t="s">
        <v>127</v>
      </c>
      <c r="B9" s="118">
        <v>300</v>
      </c>
      <c r="C9" s="118">
        <f>$B$9</f>
        <v>300</v>
      </c>
      <c r="D9" s="118">
        <f t="shared" ref="D9:AK9" si="4">$B$9</f>
        <v>300</v>
      </c>
      <c r="E9" s="118">
        <f t="shared" si="4"/>
        <v>300</v>
      </c>
      <c r="F9" s="118">
        <f t="shared" si="4"/>
        <v>300</v>
      </c>
      <c r="G9" s="118">
        <f t="shared" si="4"/>
        <v>300</v>
      </c>
      <c r="H9" s="118">
        <f t="shared" si="4"/>
        <v>300</v>
      </c>
      <c r="I9" s="118">
        <f t="shared" si="4"/>
        <v>300</v>
      </c>
      <c r="J9" s="118">
        <f t="shared" si="4"/>
        <v>300</v>
      </c>
      <c r="K9" s="118">
        <f t="shared" si="4"/>
        <v>300</v>
      </c>
      <c r="L9" s="118">
        <f t="shared" si="4"/>
        <v>300</v>
      </c>
      <c r="M9" s="118">
        <f t="shared" si="4"/>
        <v>300</v>
      </c>
      <c r="N9" s="118">
        <f t="shared" si="4"/>
        <v>300</v>
      </c>
      <c r="O9" s="118">
        <f t="shared" si="4"/>
        <v>300</v>
      </c>
      <c r="P9" s="118">
        <f t="shared" si="4"/>
        <v>300</v>
      </c>
      <c r="Q9" s="118">
        <f t="shared" si="4"/>
        <v>300</v>
      </c>
      <c r="R9" s="118">
        <f t="shared" si="4"/>
        <v>300</v>
      </c>
      <c r="S9" s="118">
        <f t="shared" si="4"/>
        <v>300</v>
      </c>
      <c r="T9" s="118">
        <f t="shared" si="4"/>
        <v>300</v>
      </c>
      <c r="U9" s="118">
        <f t="shared" si="4"/>
        <v>300</v>
      </c>
      <c r="V9" s="118">
        <f t="shared" si="4"/>
        <v>300</v>
      </c>
      <c r="W9" s="118">
        <f t="shared" si="4"/>
        <v>300</v>
      </c>
      <c r="X9" s="118">
        <f t="shared" si="4"/>
        <v>300</v>
      </c>
      <c r="Y9" s="118">
        <f t="shared" si="4"/>
        <v>300</v>
      </c>
      <c r="Z9" s="118">
        <f t="shared" si="4"/>
        <v>300</v>
      </c>
      <c r="AA9" s="118">
        <f t="shared" si="4"/>
        <v>300</v>
      </c>
      <c r="AB9" s="118">
        <f t="shared" si="4"/>
        <v>300</v>
      </c>
      <c r="AC9" s="118">
        <f t="shared" si="4"/>
        <v>300</v>
      </c>
      <c r="AD9" s="118">
        <f t="shared" si="4"/>
        <v>300</v>
      </c>
      <c r="AE9" s="118">
        <f t="shared" si="4"/>
        <v>300</v>
      </c>
      <c r="AF9" s="118">
        <f t="shared" si="4"/>
        <v>300</v>
      </c>
      <c r="AG9" s="118">
        <f t="shared" si="4"/>
        <v>300</v>
      </c>
      <c r="AH9" s="118">
        <f t="shared" si="4"/>
        <v>300</v>
      </c>
      <c r="AI9" s="118">
        <f t="shared" si="4"/>
        <v>300</v>
      </c>
      <c r="AJ9" s="118">
        <f t="shared" si="4"/>
        <v>300</v>
      </c>
      <c r="AK9" s="118">
        <f t="shared" si="4"/>
        <v>300</v>
      </c>
    </row>
    <row r="10" spans="1:37">
      <c r="A10" s="118" t="s">
        <v>128</v>
      </c>
      <c r="B10" s="118">
        <v>300</v>
      </c>
      <c r="C10" s="118">
        <f>$B$10</f>
        <v>300</v>
      </c>
      <c r="D10" s="118">
        <f t="shared" ref="D10:AK10" si="5">$B$10</f>
        <v>300</v>
      </c>
      <c r="E10" s="118">
        <f t="shared" si="5"/>
        <v>300</v>
      </c>
      <c r="F10" s="118">
        <f t="shared" si="5"/>
        <v>300</v>
      </c>
      <c r="G10" s="118">
        <f t="shared" si="5"/>
        <v>300</v>
      </c>
      <c r="H10" s="118">
        <f t="shared" si="5"/>
        <v>300</v>
      </c>
      <c r="I10" s="118">
        <f t="shared" si="5"/>
        <v>300</v>
      </c>
      <c r="J10" s="118">
        <f t="shared" si="5"/>
        <v>300</v>
      </c>
      <c r="K10" s="118">
        <f t="shared" si="5"/>
        <v>300</v>
      </c>
      <c r="L10" s="118">
        <f t="shared" si="5"/>
        <v>300</v>
      </c>
      <c r="M10" s="118">
        <f t="shared" si="5"/>
        <v>300</v>
      </c>
      <c r="N10" s="118">
        <f t="shared" si="5"/>
        <v>300</v>
      </c>
      <c r="O10" s="118">
        <f t="shared" si="5"/>
        <v>300</v>
      </c>
      <c r="P10" s="118">
        <f t="shared" si="5"/>
        <v>300</v>
      </c>
      <c r="Q10" s="118">
        <f t="shared" si="5"/>
        <v>300</v>
      </c>
      <c r="R10" s="118">
        <f t="shared" si="5"/>
        <v>300</v>
      </c>
      <c r="S10" s="118">
        <f t="shared" si="5"/>
        <v>300</v>
      </c>
      <c r="T10" s="118">
        <f t="shared" si="5"/>
        <v>300</v>
      </c>
      <c r="U10" s="118">
        <f t="shared" si="5"/>
        <v>300</v>
      </c>
      <c r="V10" s="118">
        <f t="shared" si="5"/>
        <v>300</v>
      </c>
      <c r="W10" s="118">
        <f t="shared" si="5"/>
        <v>300</v>
      </c>
      <c r="X10" s="118">
        <f t="shared" si="5"/>
        <v>300</v>
      </c>
      <c r="Y10" s="118">
        <f t="shared" si="5"/>
        <v>300</v>
      </c>
      <c r="Z10" s="118">
        <f t="shared" si="5"/>
        <v>300</v>
      </c>
      <c r="AA10" s="118">
        <f t="shared" si="5"/>
        <v>300</v>
      </c>
      <c r="AB10" s="118">
        <f t="shared" si="5"/>
        <v>300</v>
      </c>
      <c r="AC10" s="118">
        <f t="shared" si="5"/>
        <v>300</v>
      </c>
      <c r="AD10" s="118">
        <f t="shared" si="5"/>
        <v>300</v>
      </c>
      <c r="AE10" s="118">
        <f t="shared" si="5"/>
        <v>300</v>
      </c>
      <c r="AF10" s="118">
        <f t="shared" si="5"/>
        <v>300</v>
      </c>
      <c r="AG10" s="118">
        <f t="shared" si="5"/>
        <v>300</v>
      </c>
      <c r="AH10" s="118">
        <f t="shared" si="5"/>
        <v>300</v>
      </c>
      <c r="AI10" s="118">
        <f t="shared" si="5"/>
        <v>300</v>
      </c>
      <c r="AJ10" s="118">
        <f t="shared" si="5"/>
        <v>300</v>
      </c>
      <c r="AK10" s="118">
        <f t="shared" si="5"/>
        <v>300</v>
      </c>
    </row>
    <row r="11" spans="1:37">
      <c r="A11" s="118" t="s">
        <v>129</v>
      </c>
      <c r="B11" s="118">
        <v>450</v>
      </c>
      <c r="C11" s="118">
        <f>$B$11</f>
        <v>450</v>
      </c>
      <c r="D11" s="118">
        <f t="shared" ref="D11:AK11" si="6">$B$11</f>
        <v>450</v>
      </c>
      <c r="E11" s="118">
        <f t="shared" si="6"/>
        <v>450</v>
      </c>
      <c r="F11" s="118">
        <f t="shared" si="6"/>
        <v>450</v>
      </c>
      <c r="G11" s="118">
        <f t="shared" si="6"/>
        <v>450</v>
      </c>
      <c r="H11" s="118">
        <f t="shared" si="6"/>
        <v>450</v>
      </c>
      <c r="I11" s="118">
        <f t="shared" si="6"/>
        <v>450</v>
      </c>
      <c r="J11" s="118">
        <f t="shared" si="6"/>
        <v>450</v>
      </c>
      <c r="K11" s="118">
        <f t="shared" si="6"/>
        <v>450</v>
      </c>
      <c r="L11" s="118">
        <f t="shared" si="6"/>
        <v>450</v>
      </c>
      <c r="M11" s="118">
        <f t="shared" si="6"/>
        <v>450</v>
      </c>
      <c r="N11" s="118">
        <f t="shared" si="6"/>
        <v>450</v>
      </c>
      <c r="O11" s="118">
        <f t="shared" si="6"/>
        <v>450</v>
      </c>
      <c r="P11" s="118">
        <f t="shared" si="6"/>
        <v>450</v>
      </c>
      <c r="Q11" s="118">
        <f t="shared" si="6"/>
        <v>450</v>
      </c>
      <c r="R11" s="118">
        <f t="shared" si="6"/>
        <v>450</v>
      </c>
      <c r="S11" s="118">
        <f t="shared" si="6"/>
        <v>450</v>
      </c>
      <c r="T11" s="118">
        <f t="shared" si="6"/>
        <v>450</v>
      </c>
      <c r="U11" s="118">
        <f t="shared" si="6"/>
        <v>450</v>
      </c>
      <c r="V11" s="118">
        <f t="shared" si="6"/>
        <v>450</v>
      </c>
      <c r="W11" s="118">
        <f t="shared" si="6"/>
        <v>450</v>
      </c>
      <c r="X11" s="118">
        <f t="shared" si="6"/>
        <v>450</v>
      </c>
      <c r="Y11" s="118">
        <f t="shared" si="6"/>
        <v>450</v>
      </c>
      <c r="Z11" s="118">
        <f t="shared" si="6"/>
        <v>450</v>
      </c>
      <c r="AA11" s="118">
        <f t="shared" si="6"/>
        <v>450</v>
      </c>
      <c r="AB11" s="118">
        <f t="shared" si="6"/>
        <v>450</v>
      </c>
      <c r="AC11" s="118">
        <f t="shared" si="6"/>
        <v>450</v>
      </c>
      <c r="AD11" s="118">
        <f t="shared" si="6"/>
        <v>450</v>
      </c>
      <c r="AE11" s="118">
        <f t="shared" si="6"/>
        <v>450</v>
      </c>
      <c r="AF11" s="118">
        <f t="shared" si="6"/>
        <v>450</v>
      </c>
      <c r="AG11" s="118">
        <f t="shared" si="6"/>
        <v>450</v>
      </c>
      <c r="AH11" s="118">
        <f t="shared" si="6"/>
        <v>450</v>
      </c>
      <c r="AI11" s="118">
        <f t="shared" si="6"/>
        <v>450</v>
      </c>
      <c r="AJ11" s="118">
        <f t="shared" si="6"/>
        <v>450</v>
      </c>
      <c r="AK11" s="118">
        <f t="shared" si="6"/>
        <v>450</v>
      </c>
    </row>
    <row r="12" spans="1:37">
      <c r="A12" s="124" t="s">
        <v>50</v>
      </c>
      <c r="B12" s="125">
        <f t="shared" ref="B12:AK12" si="7">SUM(B8:B11)</f>
        <v>2850</v>
      </c>
      <c r="C12" s="125">
        <f t="shared" si="7"/>
        <v>2850</v>
      </c>
      <c r="D12" s="125">
        <f t="shared" si="7"/>
        <v>2850</v>
      </c>
      <c r="E12" s="125">
        <f t="shared" si="7"/>
        <v>2850</v>
      </c>
      <c r="F12" s="125">
        <f t="shared" si="7"/>
        <v>2850</v>
      </c>
      <c r="G12" s="125">
        <f t="shared" si="7"/>
        <v>2850</v>
      </c>
      <c r="H12" s="125">
        <f t="shared" si="7"/>
        <v>2850</v>
      </c>
      <c r="I12" s="125">
        <f t="shared" si="7"/>
        <v>2850</v>
      </c>
      <c r="J12" s="125">
        <f t="shared" si="7"/>
        <v>2850</v>
      </c>
      <c r="K12" s="125">
        <f t="shared" si="7"/>
        <v>2850</v>
      </c>
      <c r="L12" s="125">
        <f t="shared" si="7"/>
        <v>2850</v>
      </c>
      <c r="M12" s="125">
        <f t="shared" si="7"/>
        <v>2850</v>
      </c>
      <c r="N12" s="125">
        <f t="shared" si="7"/>
        <v>2850</v>
      </c>
      <c r="O12" s="125">
        <f t="shared" si="7"/>
        <v>2850</v>
      </c>
      <c r="P12" s="125">
        <f t="shared" si="7"/>
        <v>2850</v>
      </c>
      <c r="Q12" s="125">
        <f t="shared" si="7"/>
        <v>2850</v>
      </c>
      <c r="R12" s="125">
        <f t="shared" si="7"/>
        <v>2850</v>
      </c>
      <c r="S12" s="125">
        <f t="shared" si="7"/>
        <v>2850</v>
      </c>
      <c r="T12" s="125">
        <f t="shared" si="7"/>
        <v>2850</v>
      </c>
      <c r="U12" s="125">
        <f t="shared" si="7"/>
        <v>2850</v>
      </c>
      <c r="V12" s="125">
        <f t="shared" si="7"/>
        <v>2850</v>
      </c>
      <c r="W12" s="125">
        <f t="shared" si="7"/>
        <v>2850</v>
      </c>
      <c r="X12" s="125">
        <f t="shared" si="7"/>
        <v>2850</v>
      </c>
      <c r="Y12" s="125">
        <f t="shared" si="7"/>
        <v>2850</v>
      </c>
      <c r="Z12" s="125">
        <f t="shared" si="7"/>
        <v>2850</v>
      </c>
      <c r="AA12" s="125">
        <f t="shared" si="7"/>
        <v>2850</v>
      </c>
      <c r="AB12" s="125">
        <f t="shared" si="7"/>
        <v>2850</v>
      </c>
      <c r="AC12" s="125">
        <f t="shared" si="7"/>
        <v>2850</v>
      </c>
      <c r="AD12" s="125">
        <f t="shared" si="7"/>
        <v>2850</v>
      </c>
      <c r="AE12" s="125">
        <f t="shared" si="7"/>
        <v>2850</v>
      </c>
      <c r="AF12" s="125">
        <f t="shared" si="7"/>
        <v>2850</v>
      </c>
      <c r="AG12" s="125">
        <f t="shared" si="7"/>
        <v>2850</v>
      </c>
      <c r="AH12" s="125">
        <f t="shared" si="7"/>
        <v>2850</v>
      </c>
      <c r="AI12" s="125">
        <f t="shared" si="7"/>
        <v>2850</v>
      </c>
      <c r="AJ12" s="125">
        <f t="shared" si="7"/>
        <v>2850</v>
      </c>
      <c r="AK12" s="125">
        <f t="shared" si="7"/>
        <v>2850</v>
      </c>
    </row>
  </sheetData>
  <mergeCells count="3">
    <mergeCell ref="B3:M3"/>
    <mergeCell ref="N3:Y3"/>
    <mergeCell ref="Z3:AK3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workbookViewId="0">
      <selection activeCell="B5" sqref="B5"/>
    </sheetView>
  </sheetViews>
  <sheetFormatPr baseColWidth="10" defaultRowHeight="12.75"/>
  <cols>
    <col min="1" max="1" width="21.5703125" customWidth="1"/>
    <col min="2" max="25" width="11.42578125" customWidth="1"/>
  </cols>
  <sheetData>
    <row r="1" spans="1:37" s="367" customFormat="1" ht="15.75">
      <c r="A1" s="368" t="s">
        <v>107</v>
      </c>
    </row>
    <row r="2" spans="1:37">
      <c r="A2" s="366" t="s">
        <v>122</v>
      </c>
      <c r="B2" s="323">
        <v>1</v>
      </c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>
        <v>2</v>
      </c>
      <c r="O2" s="323"/>
      <c r="P2" s="323"/>
      <c r="Q2" s="323"/>
      <c r="R2" s="323"/>
      <c r="S2" s="323"/>
      <c r="T2" s="323"/>
      <c r="U2" s="323"/>
      <c r="V2" s="323"/>
      <c r="W2" s="323"/>
      <c r="X2" s="323"/>
      <c r="Y2" s="323"/>
      <c r="Z2" s="323">
        <v>3</v>
      </c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</row>
    <row r="3" spans="1:37">
      <c r="A3" s="369">
        <v>3.403</v>
      </c>
      <c r="B3" s="120">
        <f>+'Marketing y Ventas'!B4</f>
        <v>43831</v>
      </c>
      <c r="C3" s="120">
        <f>+'Marketing y Ventas'!C4</f>
        <v>43862</v>
      </c>
      <c r="D3" s="120">
        <f>+'Marketing y Ventas'!D4</f>
        <v>43891</v>
      </c>
      <c r="E3" s="120">
        <f>+'Marketing y Ventas'!E4</f>
        <v>43922</v>
      </c>
      <c r="F3" s="120">
        <f>+'Marketing y Ventas'!F4</f>
        <v>43952</v>
      </c>
      <c r="G3" s="120">
        <f>+'Marketing y Ventas'!G4</f>
        <v>43983</v>
      </c>
      <c r="H3" s="120">
        <f>+'Marketing y Ventas'!H4</f>
        <v>44013</v>
      </c>
      <c r="I3" s="120">
        <f>+'Marketing y Ventas'!I4</f>
        <v>44044</v>
      </c>
      <c r="J3" s="120">
        <f>+'Marketing y Ventas'!J4</f>
        <v>44075</v>
      </c>
      <c r="K3" s="120">
        <f>+'Marketing y Ventas'!K4</f>
        <v>44105</v>
      </c>
      <c r="L3" s="120">
        <f>+'Marketing y Ventas'!L4</f>
        <v>44136</v>
      </c>
      <c r="M3" s="120">
        <f>+'Marketing y Ventas'!M4</f>
        <v>44166</v>
      </c>
      <c r="N3" s="120">
        <f>+'Marketing y Ventas'!N4</f>
        <v>44197</v>
      </c>
      <c r="O3" s="120">
        <f>+'Marketing y Ventas'!O4</f>
        <v>44228</v>
      </c>
      <c r="P3" s="120">
        <f>+'Marketing y Ventas'!P4</f>
        <v>44256</v>
      </c>
      <c r="Q3" s="120">
        <f>+'Marketing y Ventas'!Q4</f>
        <v>44287</v>
      </c>
      <c r="R3" s="120">
        <f>+'Marketing y Ventas'!R4</f>
        <v>44317</v>
      </c>
      <c r="S3" s="120">
        <f>+'Marketing y Ventas'!S4</f>
        <v>44348</v>
      </c>
      <c r="T3" s="120">
        <f>+'Marketing y Ventas'!T4</f>
        <v>44378</v>
      </c>
      <c r="U3" s="120">
        <f>+'Marketing y Ventas'!U4</f>
        <v>44409</v>
      </c>
      <c r="V3" s="120">
        <f>+'Marketing y Ventas'!V4</f>
        <v>44440</v>
      </c>
      <c r="W3" s="120">
        <f>+'Marketing y Ventas'!W4</f>
        <v>44470</v>
      </c>
      <c r="X3" s="120">
        <f>+'Marketing y Ventas'!X4</f>
        <v>44501</v>
      </c>
      <c r="Y3" s="120">
        <f>+'Marketing y Ventas'!Y4</f>
        <v>44531</v>
      </c>
      <c r="Z3" s="120">
        <f>+'Marketing y Ventas'!Z4</f>
        <v>44562</v>
      </c>
      <c r="AA3" s="120">
        <f>+'Marketing y Ventas'!AA4</f>
        <v>44593</v>
      </c>
      <c r="AB3" s="120">
        <f>+'Marketing y Ventas'!AB4</f>
        <v>44621</v>
      </c>
      <c r="AC3" s="120">
        <f>+'Marketing y Ventas'!AC4</f>
        <v>44652</v>
      </c>
      <c r="AD3" s="120">
        <f>+'Marketing y Ventas'!AD4</f>
        <v>44682</v>
      </c>
      <c r="AE3" s="120">
        <f>+'Marketing y Ventas'!AE4</f>
        <v>44713</v>
      </c>
      <c r="AF3" s="120">
        <f>+'Marketing y Ventas'!AF4</f>
        <v>44743</v>
      </c>
      <c r="AG3" s="120">
        <f>+'Marketing y Ventas'!AG4</f>
        <v>44774</v>
      </c>
      <c r="AH3" s="120">
        <f>+'Marketing y Ventas'!AH4</f>
        <v>44805</v>
      </c>
      <c r="AI3" s="120">
        <f>+'Marketing y Ventas'!AI4</f>
        <v>44835</v>
      </c>
      <c r="AJ3" s="120">
        <f>+'Marketing y Ventas'!AJ4</f>
        <v>44866</v>
      </c>
      <c r="AK3" s="120">
        <f>+'Marketing y Ventas'!AK4</f>
        <v>44896</v>
      </c>
    </row>
    <row r="4" spans="1:37">
      <c r="A4" s="118" t="s">
        <v>119</v>
      </c>
      <c r="B4" s="318">
        <f>692.06*$A$3</f>
        <v>2355.0801799999999</v>
      </c>
      <c r="C4" s="318">
        <f t="shared" ref="C4:AK4" si="0">692.06*$A$3</f>
        <v>2355.0801799999999</v>
      </c>
      <c r="D4" s="318">
        <f t="shared" si="0"/>
        <v>2355.0801799999999</v>
      </c>
      <c r="E4" s="318">
        <f t="shared" si="0"/>
        <v>2355.0801799999999</v>
      </c>
      <c r="F4" s="318">
        <f t="shared" si="0"/>
        <v>2355.0801799999999</v>
      </c>
      <c r="G4" s="318">
        <f t="shared" si="0"/>
        <v>2355.0801799999999</v>
      </c>
      <c r="H4" s="318">
        <f t="shared" si="0"/>
        <v>2355.0801799999999</v>
      </c>
      <c r="I4" s="318">
        <f t="shared" si="0"/>
        <v>2355.0801799999999</v>
      </c>
      <c r="J4" s="318">
        <f t="shared" si="0"/>
        <v>2355.0801799999999</v>
      </c>
      <c r="K4" s="318">
        <f t="shared" si="0"/>
        <v>2355.0801799999999</v>
      </c>
      <c r="L4" s="318">
        <f t="shared" si="0"/>
        <v>2355.0801799999999</v>
      </c>
      <c r="M4" s="318">
        <f t="shared" si="0"/>
        <v>2355.0801799999999</v>
      </c>
      <c r="N4" s="318">
        <f t="shared" si="0"/>
        <v>2355.0801799999999</v>
      </c>
      <c r="O4" s="318">
        <f t="shared" si="0"/>
        <v>2355.0801799999999</v>
      </c>
      <c r="P4" s="318">
        <f t="shared" si="0"/>
        <v>2355.0801799999999</v>
      </c>
      <c r="Q4" s="318">
        <f t="shared" si="0"/>
        <v>2355.0801799999999</v>
      </c>
      <c r="R4" s="318">
        <f t="shared" si="0"/>
        <v>2355.0801799999999</v>
      </c>
      <c r="S4" s="318">
        <f t="shared" si="0"/>
        <v>2355.0801799999999</v>
      </c>
      <c r="T4" s="318">
        <f t="shared" si="0"/>
        <v>2355.0801799999999</v>
      </c>
      <c r="U4" s="318">
        <f t="shared" si="0"/>
        <v>2355.0801799999999</v>
      </c>
      <c r="V4" s="318">
        <f t="shared" si="0"/>
        <v>2355.0801799999999</v>
      </c>
      <c r="W4" s="318">
        <f t="shared" si="0"/>
        <v>2355.0801799999999</v>
      </c>
      <c r="X4" s="318">
        <f t="shared" si="0"/>
        <v>2355.0801799999999</v>
      </c>
      <c r="Y4" s="318">
        <f t="shared" si="0"/>
        <v>2355.0801799999999</v>
      </c>
      <c r="Z4" s="318">
        <f t="shared" si="0"/>
        <v>2355.0801799999999</v>
      </c>
      <c r="AA4" s="318">
        <f t="shared" si="0"/>
        <v>2355.0801799999999</v>
      </c>
      <c r="AB4" s="318">
        <f t="shared" si="0"/>
        <v>2355.0801799999999</v>
      </c>
      <c r="AC4" s="318">
        <f t="shared" si="0"/>
        <v>2355.0801799999999</v>
      </c>
      <c r="AD4" s="318">
        <f t="shared" si="0"/>
        <v>2355.0801799999999</v>
      </c>
      <c r="AE4" s="318">
        <f t="shared" si="0"/>
        <v>2355.0801799999999</v>
      </c>
      <c r="AF4" s="318">
        <f t="shared" si="0"/>
        <v>2355.0801799999999</v>
      </c>
      <c r="AG4" s="318">
        <f t="shared" si="0"/>
        <v>2355.0801799999999</v>
      </c>
      <c r="AH4" s="318">
        <f t="shared" si="0"/>
        <v>2355.0801799999999</v>
      </c>
      <c r="AI4" s="318">
        <f t="shared" si="0"/>
        <v>2355.0801799999999</v>
      </c>
      <c r="AJ4" s="318">
        <f t="shared" si="0"/>
        <v>2355.0801799999999</v>
      </c>
      <c r="AK4" s="318">
        <f t="shared" si="0"/>
        <v>2355.0801799999999</v>
      </c>
    </row>
    <row r="5" spans="1:37">
      <c r="A5" s="122" t="s">
        <v>120</v>
      </c>
      <c r="B5" s="318">
        <f>58.27*$A$3</f>
        <v>198.29281</v>
      </c>
      <c r="C5" s="318">
        <f t="shared" ref="C5:AK5" si="1">58.27*$A$3</f>
        <v>198.29281</v>
      </c>
      <c r="D5" s="318">
        <f t="shared" si="1"/>
        <v>198.29281</v>
      </c>
      <c r="E5" s="318">
        <f t="shared" si="1"/>
        <v>198.29281</v>
      </c>
      <c r="F5" s="318">
        <f t="shared" si="1"/>
        <v>198.29281</v>
      </c>
      <c r="G5" s="318">
        <f t="shared" si="1"/>
        <v>198.29281</v>
      </c>
      <c r="H5" s="318">
        <f t="shared" si="1"/>
        <v>198.29281</v>
      </c>
      <c r="I5" s="318">
        <f t="shared" si="1"/>
        <v>198.29281</v>
      </c>
      <c r="J5" s="318">
        <f t="shared" si="1"/>
        <v>198.29281</v>
      </c>
      <c r="K5" s="318">
        <f t="shared" si="1"/>
        <v>198.29281</v>
      </c>
      <c r="L5" s="318">
        <f t="shared" si="1"/>
        <v>198.29281</v>
      </c>
      <c r="M5" s="318">
        <f t="shared" si="1"/>
        <v>198.29281</v>
      </c>
      <c r="N5" s="318">
        <f t="shared" si="1"/>
        <v>198.29281</v>
      </c>
      <c r="O5" s="318">
        <f t="shared" si="1"/>
        <v>198.29281</v>
      </c>
      <c r="P5" s="318">
        <f t="shared" si="1"/>
        <v>198.29281</v>
      </c>
      <c r="Q5" s="318">
        <f t="shared" si="1"/>
        <v>198.29281</v>
      </c>
      <c r="R5" s="318">
        <f t="shared" si="1"/>
        <v>198.29281</v>
      </c>
      <c r="S5" s="318">
        <f t="shared" si="1"/>
        <v>198.29281</v>
      </c>
      <c r="T5" s="318">
        <f t="shared" si="1"/>
        <v>198.29281</v>
      </c>
      <c r="U5" s="318">
        <f t="shared" si="1"/>
        <v>198.29281</v>
      </c>
      <c r="V5" s="318">
        <f t="shared" si="1"/>
        <v>198.29281</v>
      </c>
      <c r="W5" s="318">
        <f t="shared" si="1"/>
        <v>198.29281</v>
      </c>
      <c r="X5" s="318">
        <f t="shared" si="1"/>
        <v>198.29281</v>
      </c>
      <c r="Y5" s="318">
        <f t="shared" si="1"/>
        <v>198.29281</v>
      </c>
      <c r="Z5" s="318">
        <f t="shared" si="1"/>
        <v>198.29281</v>
      </c>
      <c r="AA5" s="318">
        <f t="shared" si="1"/>
        <v>198.29281</v>
      </c>
      <c r="AB5" s="318">
        <f t="shared" si="1"/>
        <v>198.29281</v>
      </c>
      <c r="AC5" s="318">
        <f t="shared" si="1"/>
        <v>198.29281</v>
      </c>
      <c r="AD5" s="318">
        <f t="shared" si="1"/>
        <v>198.29281</v>
      </c>
      <c r="AE5" s="318">
        <f t="shared" si="1"/>
        <v>198.29281</v>
      </c>
      <c r="AF5" s="318">
        <f t="shared" si="1"/>
        <v>198.29281</v>
      </c>
      <c r="AG5" s="318">
        <f t="shared" si="1"/>
        <v>198.29281</v>
      </c>
      <c r="AH5" s="318">
        <f t="shared" si="1"/>
        <v>198.29281</v>
      </c>
      <c r="AI5" s="318">
        <f t="shared" si="1"/>
        <v>198.29281</v>
      </c>
      <c r="AJ5" s="318">
        <f t="shared" si="1"/>
        <v>198.29281</v>
      </c>
      <c r="AK5" s="318">
        <f t="shared" si="1"/>
        <v>198.29281</v>
      </c>
    </row>
    <row r="6" spans="1:37">
      <c r="A6" s="122" t="s">
        <v>121</v>
      </c>
      <c r="B6" s="318">
        <f>0.9*$A$3</f>
        <v>3.0627</v>
      </c>
      <c r="C6" s="318">
        <f t="shared" ref="C6:AK6" si="2">0.9*$A$3</f>
        <v>3.0627</v>
      </c>
      <c r="D6" s="318">
        <f t="shared" si="2"/>
        <v>3.0627</v>
      </c>
      <c r="E6" s="318">
        <f t="shared" si="2"/>
        <v>3.0627</v>
      </c>
      <c r="F6" s="318">
        <f t="shared" si="2"/>
        <v>3.0627</v>
      </c>
      <c r="G6" s="318">
        <f t="shared" si="2"/>
        <v>3.0627</v>
      </c>
      <c r="H6" s="318">
        <f t="shared" si="2"/>
        <v>3.0627</v>
      </c>
      <c r="I6" s="318">
        <f t="shared" si="2"/>
        <v>3.0627</v>
      </c>
      <c r="J6" s="318">
        <f t="shared" si="2"/>
        <v>3.0627</v>
      </c>
      <c r="K6" s="318">
        <f t="shared" si="2"/>
        <v>3.0627</v>
      </c>
      <c r="L6" s="318">
        <f t="shared" si="2"/>
        <v>3.0627</v>
      </c>
      <c r="M6" s="318">
        <f t="shared" si="2"/>
        <v>3.0627</v>
      </c>
      <c r="N6" s="318">
        <f t="shared" si="2"/>
        <v>3.0627</v>
      </c>
      <c r="O6" s="318">
        <f t="shared" si="2"/>
        <v>3.0627</v>
      </c>
      <c r="P6" s="318">
        <f t="shared" si="2"/>
        <v>3.0627</v>
      </c>
      <c r="Q6" s="318">
        <f t="shared" si="2"/>
        <v>3.0627</v>
      </c>
      <c r="R6" s="318">
        <f t="shared" si="2"/>
        <v>3.0627</v>
      </c>
      <c r="S6" s="318">
        <f t="shared" si="2"/>
        <v>3.0627</v>
      </c>
      <c r="T6" s="318">
        <f t="shared" si="2"/>
        <v>3.0627</v>
      </c>
      <c r="U6" s="318">
        <f t="shared" si="2"/>
        <v>3.0627</v>
      </c>
      <c r="V6" s="318">
        <f t="shared" si="2"/>
        <v>3.0627</v>
      </c>
      <c r="W6" s="318">
        <f t="shared" si="2"/>
        <v>3.0627</v>
      </c>
      <c r="X6" s="318">
        <f t="shared" si="2"/>
        <v>3.0627</v>
      </c>
      <c r="Y6" s="318">
        <f t="shared" si="2"/>
        <v>3.0627</v>
      </c>
      <c r="Z6" s="318">
        <f t="shared" si="2"/>
        <v>3.0627</v>
      </c>
      <c r="AA6" s="318">
        <f t="shared" si="2"/>
        <v>3.0627</v>
      </c>
      <c r="AB6" s="318">
        <f t="shared" si="2"/>
        <v>3.0627</v>
      </c>
      <c r="AC6" s="318">
        <f t="shared" si="2"/>
        <v>3.0627</v>
      </c>
      <c r="AD6" s="318">
        <f t="shared" si="2"/>
        <v>3.0627</v>
      </c>
      <c r="AE6" s="318">
        <f t="shared" si="2"/>
        <v>3.0627</v>
      </c>
      <c r="AF6" s="318">
        <f t="shared" si="2"/>
        <v>3.0627</v>
      </c>
      <c r="AG6" s="318">
        <f t="shared" si="2"/>
        <v>3.0627</v>
      </c>
      <c r="AH6" s="318">
        <f t="shared" si="2"/>
        <v>3.0627</v>
      </c>
      <c r="AI6" s="318">
        <f t="shared" si="2"/>
        <v>3.0627</v>
      </c>
      <c r="AJ6" s="318">
        <f t="shared" si="2"/>
        <v>3.0627</v>
      </c>
      <c r="AK6" s="318">
        <f t="shared" si="2"/>
        <v>3.0627</v>
      </c>
    </row>
    <row r="7" spans="1:37">
      <c r="A7" s="135" t="s">
        <v>33</v>
      </c>
      <c r="B7" s="181">
        <f>SUM(B4:B6)</f>
        <v>2556.4356899999998</v>
      </c>
      <c r="C7" s="181">
        <f>SUM(C4:C6)</f>
        <v>2556.4356899999998</v>
      </c>
      <c r="D7" s="181">
        <f>SUM(D4:D6)</f>
        <v>2556.4356899999998</v>
      </c>
      <c r="E7" s="181">
        <f>SUM(E4:E6)</f>
        <v>2556.4356899999998</v>
      </c>
      <c r="F7" s="181">
        <f>SUM(F4:F6)</f>
        <v>2556.4356899999998</v>
      </c>
      <c r="G7" s="181">
        <f>SUM(G4:G6)</f>
        <v>2556.4356899999998</v>
      </c>
      <c r="H7" s="181">
        <f>SUM(H4:H6)</f>
        <v>2556.4356899999998</v>
      </c>
      <c r="I7" s="181">
        <f>SUM(I4:I6)</f>
        <v>2556.4356899999998</v>
      </c>
      <c r="J7" s="181">
        <f>SUM(J4:J6)</f>
        <v>2556.4356899999998</v>
      </c>
      <c r="K7" s="181">
        <f>SUM(K4:K6)</f>
        <v>2556.4356899999998</v>
      </c>
      <c r="L7" s="181">
        <f>SUM(L4:L6)</f>
        <v>2556.4356899999998</v>
      </c>
      <c r="M7" s="181">
        <f>SUM(M4:M6)</f>
        <v>2556.4356899999998</v>
      </c>
      <c r="N7" s="181">
        <f>SUM(N4:N6)</f>
        <v>2556.4356899999998</v>
      </c>
      <c r="O7" s="181">
        <f>SUM(O4:O6)</f>
        <v>2556.4356899999998</v>
      </c>
      <c r="P7" s="181">
        <f>SUM(P4:P6)</f>
        <v>2556.4356899999998</v>
      </c>
      <c r="Q7" s="181">
        <f>SUM(Q4:Q6)</f>
        <v>2556.4356899999998</v>
      </c>
      <c r="R7" s="181">
        <f>SUM(R4:R6)</f>
        <v>2556.4356899999998</v>
      </c>
      <c r="S7" s="181">
        <f>SUM(S4:S6)</f>
        <v>2556.4356899999998</v>
      </c>
      <c r="T7" s="181">
        <f>SUM(T4:T6)</f>
        <v>2556.4356899999998</v>
      </c>
      <c r="U7" s="181">
        <f>SUM(U4:U6)</f>
        <v>2556.4356899999998</v>
      </c>
      <c r="V7" s="181">
        <f>SUM(V4:V6)</f>
        <v>2556.4356899999998</v>
      </c>
      <c r="W7" s="181">
        <f>SUM(W4:W6)</f>
        <v>2556.4356899999998</v>
      </c>
      <c r="X7" s="181">
        <f>SUM(X4:X6)</f>
        <v>2556.4356899999998</v>
      </c>
      <c r="Y7" s="181">
        <f>SUM(Y4:Y6)</f>
        <v>2556.4356899999998</v>
      </c>
      <c r="Z7" s="181">
        <f>SUM(Z4:Z6)</f>
        <v>2556.4356899999998</v>
      </c>
      <c r="AA7" s="181">
        <f>SUM(AA4:AA6)</f>
        <v>2556.4356899999998</v>
      </c>
      <c r="AB7" s="181">
        <f>SUM(AB4:AB6)</f>
        <v>2556.4356899999998</v>
      </c>
      <c r="AC7" s="181">
        <f>SUM(AC4:AC6)</f>
        <v>2556.4356899999998</v>
      </c>
      <c r="AD7" s="181">
        <f>SUM(AD4:AD6)</f>
        <v>2556.4356899999998</v>
      </c>
      <c r="AE7" s="181">
        <f>SUM(AE4:AE6)</f>
        <v>2556.4356899999998</v>
      </c>
      <c r="AF7" s="181">
        <f>SUM(AF4:AF6)</f>
        <v>2556.4356899999998</v>
      </c>
      <c r="AG7" s="181">
        <f>SUM(AG4:AG6)</f>
        <v>2556.4356899999998</v>
      </c>
      <c r="AH7" s="181">
        <f>SUM(AH4:AH6)</f>
        <v>2556.4356899999998</v>
      </c>
      <c r="AI7" s="181">
        <f>SUM(AI4:AI6)</f>
        <v>2556.4356899999998</v>
      </c>
      <c r="AJ7" s="181">
        <f>SUM(AJ4:AJ6)</f>
        <v>2556.4356899999998</v>
      </c>
      <c r="AK7" s="181">
        <f>SUM(AK4:AK6)</f>
        <v>2556.4356899999998</v>
      </c>
    </row>
    <row r="11" spans="1:37">
      <c r="AJ11">
        <f>9014.8*3*3.4</f>
        <v>91950.959999999992</v>
      </c>
    </row>
    <row r="19" spans="8:8">
      <c r="H19">
        <f>1024/32</f>
        <v>32</v>
      </c>
    </row>
  </sheetData>
  <mergeCells count="3">
    <mergeCell ref="B2:M2"/>
    <mergeCell ref="N2:Y2"/>
    <mergeCell ref="Z2:A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D4" zoomScale="115" zoomScaleNormal="115" workbookViewId="0">
      <selection activeCell="E24" sqref="E24"/>
    </sheetView>
  </sheetViews>
  <sheetFormatPr baseColWidth="10" defaultRowHeight="12.75"/>
  <cols>
    <col min="1" max="1" width="35.85546875" bestFit="1" customWidth="1"/>
    <col min="2" max="2" width="12.140625" bestFit="1" customWidth="1"/>
    <col min="3" max="3" width="15.7109375" bestFit="1" customWidth="1"/>
  </cols>
  <sheetData>
    <row r="1" spans="1:37">
      <c r="A1" t="s">
        <v>99</v>
      </c>
    </row>
    <row r="3" spans="1:37">
      <c r="B3" s="323">
        <v>1</v>
      </c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>
        <v>2</v>
      </c>
      <c r="O3" s="323"/>
      <c r="P3" s="323"/>
      <c r="Q3" s="323"/>
      <c r="R3" s="323"/>
      <c r="S3" s="323"/>
      <c r="T3" s="323"/>
      <c r="U3" s="323"/>
      <c r="V3" s="323"/>
      <c r="W3" s="323"/>
      <c r="X3" s="323"/>
      <c r="Y3" s="323"/>
      <c r="Z3" s="323">
        <v>3</v>
      </c>
      <c r="AA3" s="323"/>
      <c r="AB3" s="323"/>
      <c r="AC3" s="323"/>
      <c r="AD3" s="323"/>
      <c r="AE3" s="323"/>
      <c r="AF3" s="323"/>
      <c r="AG3" s="323"/>
      <c r="AH3" s="323"/>
      <c r="AI3" s="323"/>
      <c r="AJ3" s="323"/>
      <c r="AK3" s="323"/>
    </row>
    <row r="4" spans="1:37">
      <c r="B4" s="120">
        <f>+Ingresos!B11</f>
        <v>43831</v>
      </c>
      <c r="C4" s="120">
        <f>+Ingresos!C11</f>
        <v>43862</v>
      </c>
      <c r="D4" s="120">
        <f>+Ingresos!D11</f>
        <v>43891</v>
      </c>
      <c r="E4" s="120">
        <f>+Ingresos!E11</f>
        <v>43922</v>
      </c>
      <c r="F4" s="120">
        <f>+Ingresos!F11</f>
        <v>43952</v>
      </c>
      <c r="G4" s="120">
        <f>+Ingresos!G11</f>
        <v>43983</v>
      </c>
      <c r="H4" s="120">
        <f>+Ingresos!H11</f>
        <v>44013</v>
      </c>
      <c r="I4" s="120">
        <f>+Ingresos!I11</f>
        <v>44044</v>
      </c>
      <c r="J4" s="120">
        <f>+Ingresos!J11</f>
        <v>44075</v>
      </c>
      <c r="K4" s="120">
        <f>+Ingresos!K11</f>
        <v>44105</v>
      </c>
      <c r="L4" s="120">
        <f>+Ingresos!L11</f>
        <v>44136</v>
      </c>
      <c r="M4" s="120">
        <f>+Ingresos!M11</f>
        <v>44166</v>
      </c>
      <c r="N4" s="120">
        <f>+Ingresos!N11</f>
        <v>44197</v>
      </c>
      <c r="O4" s="120">
        <f>+Ingresos!O11</f>
        <v>44228</v>
      </c>
      <c r="P4" s="120">
        <f>+Ingresos!P11</f>
        <v>44256</v>
      </c>
      <c r="Q4" s="120">
        <f>+Ingresos!Q11</f>
        <v>44287</v>
      </c>
      <c r="R4" s="120">
        <f>+Ingresos!R11</f>
        <v>44317</v>
      </c>
      <c r="S4" s="120">
        <f>+Ingresos!S11</f>
        <v>44348</v>
      </c>
      <c r="T4" s="120">
        <f>+Ingresos!T11</f>
        <v>44378</v>
      </c>
      <c r="U4" s="120">
        <f>+Ingresos!U11</f>
        <v>44409</v>
      </c>
      <c r="V4" s="120">
        <f>+Ingresos!V11</f>
        <v>44440</v>
      </c>
      <c r="W4" s="120">
        <f>+Ingresos!W11</f>
        <v>44470</v>
      </c>
      <c r="X4" s="120">
        <f>+Ingresos!X11</f>
        <v>44501</v>
      </c>
      <c r="Y4" s="120">
        <f>+Ingresos!Y11</f>
        <v>44531</v>
      </c>
      <c r="Z4" s="120">
        <f>+Ingresos!Z11</f>
        <v>44562</v>
      </c>
      <c r="AA4" s="120">
        <f>+Ingresos!AA11</f>
        <v>44593</v>
      </c>
      <c r="AB4" s="120">
        <f>+Ingresos!AB11</f>
        <v>44621</v>
      </c>
      <c r="AC4" s="120">
        <f>+Ingresos!AC11</f>
        <v>44652</v>
      </c>
      <c r="AD4" s="120">
        <f>+Ingresos!AD11</f>
        <v>44682</v>
      </c>
      <c r="AE4" s="120">
        <f>+Ingresos!AE11</f>
        <v>44713</v>
      </c>
      <c r="AF4" s="120">
        <f>+Ingresos!AF11</f>
        <v>44743</v>
      </c>
      <c r="AG4" s="120">
        <f>+Ingresos!AG11</f>
        <v>44774</v>
      </c>
      <c r="AH4" s="120">
        <f>+Ingresos!AH11</f>
        <v>44805</v>
      </c>
      <c r="AI4" s="120">
        <f>+Ingresos!AI11</f>
        <v>44835</v>
      </c>
      <c r="AJ4" s="120">
        <f>+Ingresos!AJ11</f>
        <v>44866</v>
      </c>
      <c r="AK4" s="120">
        <f>+Ingresos!AK11</f>
        <v>44896</v>
      </c>
    </row>
    <row r="5" spans="1:37" s="206" customFormat="1">
      <c r="A5" s="205" t="s">
        <v>82</v>
      </c>
      <c r="B5" s="205">
        <f>$D$15</f>
        <v>2175</v>
      </c>
      <c r="C5" s="205">
        <f t="shared" ref="C5:AK5" si="0">$D$15</f>
        <v>2175</v>
      </c>
      <c r="D5" s="205">
        <f t="shared" si="0"/>
        <v>2175</v>
      </c>
      <c r="E5" s="205">
        <f t="shared" si="0"/>
        <v>2175</v>
      </c>
      <c r="F5" s="205">
        <f t="shared" si="0"/>
        <v>2175</v>
      </c>
      <c r="G5" s="205">
        <f t="shared" si="0"/>
        <v>2175</v>
      </c>
      <c r="H5" s="205">
        <f t="shared" si="0"/>
        <v>2175</v>
      </c>
      <c r="I5" s="205">
        <f t="shared" si="0"/>
        <v>2175</v>
      </c>
      <c r="J5" s="205">
        <f t="shared" si="0"/>
        <v>2175</v>
      </c>
      <c r="K5" s="205">
        <f t="shared" si="0"/>
        <v>2175</v>
      </c>
      <c r="L5" s="205">
        <f t="shared" si="0"/>
        <v>2175</v>
      </c>
      <c r="M5" s="205">
        <f t="shared" si="0"/>
        <v>2175</v>
      </c>
      <c r="N5" s="205">
        <f t="shared" si="0"/>
        <v>2175</v>
      </c>
      <c r="O5" s="205">
        <f t="shared" si="0"/>
        <v>2175</v>
      </c>
      <c r="P5" s="205">
        <f t="shared" si="0"/>
        <v>2175</v>
      </c>
      <c r="Q5" s="205">
        <f t="shared" si="0"/>
        <v>2175</v>
      </c>
      <c r="R5" s="205">
        <f t="shared" si="0"/>
        <v>2175</v>
      </c>
      <c r="S5" s="205">
        <f t="shared" si="0"/>
        <v>2175</v>
      </c>
      <c r="T5" s="205">
        <f t="shared" si="0"/>
        <v>2175</v>
      </c>
      <c r="U5" s="205">
        <f t="shared" si="0"/>
        <v>2175</v>
      </c>
      <c r="V5" s="205">
        <f t="shared" si="0"/>
        <v>2175</v>
      </c>
      <c r="W5" s="205">
        <f t="shared" si="0"/>
        <v>2175</v>
      </c>
      <c r="X5" s="205">
        <f t="shared" si="0"/>
        <v>2175</v>
      </c>
      <c r="Y5" s="205">
        <f t="shared" si="0"/>
        <v>2175</v>
      </c>
      <c r="Z5" s="205">
        <f t="shared" si="0"/>
        <v>2175</v>
      </c>
      <c r="AA5" s="205">
        <f t="shared" si="0"/>
        <v>2175</v>
      </c>
      <c r="AB5" s="205">
        <f t="shared" si="0"/>
        <v>2175</v>
      </c>
      <c r="AC5" s="205">
        <f t="shared" si="0"/>
        <v>2175</v>
      </c>
      <c r="AD5" s="205">
        <f t="shared" si="0"/>
        <v>2175</v>
      </c>
      <c r="AE5" s="205">
        <f t="shared" si="0"/>
        <v>2175</v>
      </c>
      <c r="AF5" s="205">
        <f t="shared" si="0"/>
        <v>2175</v>
      </c>
      <c r="AG5" s="205">
        <f t="shared" si="0"/>
        <v>2175</v>
      </c>
      <c r="AH5" s="205">
        <f t="shared" si="0"/>
        <v>2175</v>
      </c>
      <c r="AI5" s="205">
        <f t="shared" si="0"/>
        <v>2175</v>
      </c>
      <c r="AJ5" s="205">
        <f t="shared" si="0"/>
        <v>2175</v>
      </c>
      <c r="AK5" s="205">
        <f t="shared" si="0"/>
        <v>2175</v>
      </c>
    </row>
    <row r="6" spans="1:37" s="206" customFormat="1">
      <c r="A6" s="207" t="s">
        <v>81</v>
      </c>
      <c r="B6" s="205">
        <f>$D$25</f>
        <v>14500</v>
      </c>
      <c r="C6" s="205">
        <f t="shared" ref="C6:AK6" si="1">$D$25</f>
        <v>14500</v>
      </c>
      <c r="D6" s="205">
        <f t="shared" si="1"/>
        <v>14500</v>
      </c>
      <c r="E6" s="205">
        <f t="shared" si="1"/>
        <v>14500</v>
      </c>
      <c r="F6" s="205">
        <f t="shared" si="1"/>
        <v>14500</v>
      </c>
      <c r="G6" s="205">
        <f t="shared" si="1"/>
        <v>14500</v>
      </c>
      <c r="H6" s="205">
        <f t="shared" si="1"/>
        <v>14500</v>
      </c>
      <c r="I6" s="205">
        <f t="shared" si="1"/>
        <v>14500</v>
      </c>
      <c r="J6" s="205">
        <f t="shared" si="1"/>
        <v>14500</v>
      </c>
      <c r="K6" s="205">
        <f t="shared" si="1"/>
        <v>14500</v>
      </c>
      <c r="L6" s="205">
        <f t="shared" si="1"/>
        <v>14500</v>
      </c>
      <c r="M6" s="205">
        <f t="shared" si="1"/>
        <v>14500</v>
      </c>
      <c r="N6" s="205">
        <f t="shared" si="1"/>
        <v>14500</v>
      </c>
      <c r="O6" s="205">
        <f t="shared" si="1"/>
        <v>14500</v>
      </c>
      <c r="P6" s="205">
        <f t="shared" si="1"/>
        <v>14500</v>
      </c>
      <c r="Q6" s="205">
        <f t="shared" si="1"/>
        <v>14500</v>
      </c>
      <c r="R6" s="205">
        <f t="shared" si="1"/>
        <v>14500</v>
      </c>
      <c r="S6" s="205">
        <f t="shared" si="1"/>
        <v>14500</v>
      </c>
      <c r="T6" s="205">
        <f t="shared" si="1"/>
        <v>14500</v>
      </c>
      <c r="U6" s="205">
        <f t="shared" si="1"/>
        <v>14500</v>
      </c>
      <c r="V6" s="205">
        <f t="shared" si="1"/>
        <v>14500</v>
      </c>
      <c r="W6" s="205">
        <f t="shared" si="1"/>
        <v>14500</v>
      </c>
      <c r="X6" s="205">
        <f t="shared" si="1"/>
        <v>14500</v>
      </c>
      <c r="Y6" s="205">
        <f t="shared" si="1"/>
        <v>14500</v>
      </c>
      <c r="Z6" s="205">
        <f t="shared" si="1"/>
        <v>14500</v>
      </c>
      <c r="AA6" s="205">
        <f t="shared" si="1"/>
        <v>14500</v>
      </c>
      <c r="AB6" s="205">
        <f t="shared" si="1"/>
        <v>14500</v>
      </c>
      <c r="AC6" s="205">
        <f t="shared" si="1"/>
        <v>14500</v>
      </c>
      <c r="AD6" s="205">
        <f t="shared" si="1"/>
        <v>14500</v>
      </c>
      <c r="AE6" s="205">
        <f t="shared" si="1"/>
        <v>14500</v>
      </c>
      <c r="AF6" s="205">
        <f t="shared" si="1"/>
        <v>14500</v>
      </c>
      <c r="AG6" s="205">
        <f t="shared" si="1"/>
        <v>14500</v>
      </c>
      <c r="AH6" s="205">
        <f t="shared" si="1"/>
        <v>14500</v>
      </c>
      <c r="AI6" s="205">
        <f t="shared" si="1"/>
        <v>14500</v>
      </c>
      <c r="AJ6" s="205">
        <f t="shared" si="1"/>
        <v>14500</v>
      </c>
      <c r="AK6" s="205">
        <f t="shared" si="1"/>
        <v>14500</v>
      </c>
    </row>
    <row r="7" spans="1:37" s="206" customFormat="1">
      <c r="A7" s="208" t="s">
        <v>91</v>
      </c>
      <c r="B7" s="205">
        <f>$B$36</f>
        <v>0</v>
      </c>
      <c r="C7" s="205">
        <f t="shared" ref="C7:AK7" si="2">$B$36</f>
        <v>0</v>
      </c>
      <c r="D7" s="205">
        <f t="shared" si="2"/>
        <v>0</v>
      </c>
      <c r="E7" s="205">
        <f t="shared" si="2"/>
        <v>0</v>
      </c>
      <c r="F7" s="205">
        <f t="shared" si="2"/>
        <v>0</v>
      </c>
      <c r="G7" s="205">
        <f t="shared" si="2"/>
        <v>0</v>
      </c>
      <c r="H7" s="205">
        <f t="shared" si="2"/>
        <v>0</v>
      </c>
      <c r="I7" s="205">
        <f t="shared" si="2"/>
        <v>0</v>
      </c>
      <c r="J7" s="205">
        <f t="shared" si="2"/>
        <v>0</v>
      </c>
      <c r="K7" s="205">
        <f t="shared" si="2"/>
        <v>0</v>
      </c>
      <c r="L7" s="205">
        <f t="shared" si="2"/>
        <v>0</v>
      </c>
      <c r="M7" s="205">
        <f t="shared" si="2"/>
        <v>0</v>
      </c>
      <c r="N7" s="205">
        <f t="shared" si="2"/>
        <v>0</v>
      </c>
      <c r="O7" s="205">
        <f t="shared" si="2"/>
        <v>0</v>
      </c>
      <c r="P7" s="205">
        <f t="shared" si="2"/>
        <v>0</v>
      </c>
      <c r="Q7" s="205">
        <f t="shared" si="2"/>
        <v>0</v>
      </c>
      <c r="R7" s="205">
        <f t="shared" si="2"/>
        <v>0</v>
      </c>
      <c r="S7" s="205">
        <f t="shared" si="2"/>
        <v>0</v>
      </c>
      <c r="T7" s="205">
        <f t="shared" si="2"/>
        <v>0</v>
      </c>
      <c r="U7" s="205">
        <f t="shared" si="2"/>
        <v>0</v>
      </c>
      <c r="V7" s="205">
        <f t="shared" si="2"/>
        <v>0</v>
      </c>
      <c r="W7" s="205">
        <f t="shared" si="2"/>
        <v>0</v>
      </c>
      <c r="X7" s="205">
        <f t="shared" si="2"/>
        <v>0</v>
      </c>
      <c r="Y7" s="205">
        <f t="shared" si="2"/>
        <v>0</v>
      </c>
      <c r="Z7" s="205">
        <f t="shared" si="2"/>
        <v>0</v>
      </c>
      <c r="AA7" s="205">
        <f t="shared" si="2"/>
        <v>0</v>
      </c>
      <c r="AB7" s="205">
        <f t="shared" si="2"/>
        <v>0</v>
      </c>
      <c r="AC7" s="205">
        <f t="shared" si="2"/>
        <v>0</v>
      </c>
      <c r="AD7" s="205">
        <f t="shared" si="2"/>
        <v>0</v>
      </c>
      <c r="AE7" s="205">
        <f t="shared" si="2"/>
        <v>0</v>
      </c>
      <c r="AF7" s="205">
        <f t="shared" si="2"/>
        <v>0</v>
      </c>
      <c r="AG7" s="205">
        <f t="shared" si="2"/>
        <v>0</v>
      </c>
      <c r="AH7" s="205">
        <f t="shared" si="2"/>
        <v>0</v>
      </c>
      <c r="AI7" s="205">
        <f t="shared" si="2"/>
        <v>0</v>
      </c>
      <c r="AJ7" s="205">
        <f t="shared" si="2"/>
        <v>0</v>
      </c>
      <c r="AK7" s="205">
        <f t="shared" si="2"/>
        <v>0</v>
      </c>
    </row>
    <row r="8" spans="1:37" s="206" customFormat="1">
      <c r="A8" s="209" t="s">
        <v>33</v>
      </c>
      <c r="B8" s="181">
        <f t="shared" ref="B8:AG8" si="3">SUM(B5:B7)</f>
        <v>16675</v>
      </c>
      <c r="C8" s="181">
        <f t="shared" si="3"/>
        <v>16675</v>
      </c>
      <c r="D8" s="181">
        <f t="shared" si="3"/>
        <v>16675</v>
      </c>
      <c r="E8" s="181">
        <f t="shared" si="3"/>
        <v>16675</v>
      </c>
      <c r="F8" s="181">
        <f t="shared" si="3"/>
        <v>16675</v>
      </c>
      <c r="G8" s="181">
        <f t="shared" si="3"/>
        <v>16675</v>
      </c>
      <c r="H8" s="181">
        <f t="shared" si="3"/>
        <v>16675</v>
      </c>
      <c r="I8" s="181">
        <f t="shared" si="3"/>
        <v>16675</v>
      </c>
      <c r="J8" s="181">
        <f t="shared" si="3"/>
        <v>16675</v>
      </c>
      <c r="K8" s="181">
        <f t="shared" si="3"/>
        <v>16675</v>
      </c>
      <c r="L8" s="181">
        <f t="shared" si="3"/>
        <v>16675</v>
      </c>
      <c r="M8" s="181">
        <f t="shared" si="3"/>
        <v>16675</v>
      </c>
      <c r="N8" s="181">
        <f t="shared" si="3"/>
        <v>16675</v>
      </c>
      <c r="O8" s="181">
        <f t="shared" si="3"/>
        <v>16675</v>
      </c>
      <c r="P8" s="181">
        <f t="shared" si="3"/>
        <v>16675</v>
      </c>
      <c r="Q8" s="181">
        <f t="shared" si="3"/>
        <v>16675</v>
      </c>
      <c r="R8" s="181">
        <f t="shared" si="3"/>
        <v>16675</v>
      </c>
      <c r="S8" s="181">
        <f t="shared" si="3"/>
        <v>16675</v>
      </c>
      <c r="T8" s="181">
        <f t="shared" si="3"/>
        <v>16675</v>
      </c>
      <c r="U8" s="181">
        <f t="shared" si="3"/>
        <v>16675</v>
      </c>
      <c r="V8" s="181">
        <f t="shared" si="3"/>
        <v>16675</v>
      </c>
      <c r="W8" s="181">
        <f t="shared" si="3"/>
        <v>16675</v>
      </c>
      <c r="X8" s="181">
        <f t="shared" si="3"/>
        <v>16675</v>
      </c>
      <c r="Y8" s="181">
        <f t="shared" si="3"/>
        <v>16675</v>
      </c>
      <c r="Z8" s="181">
        <f t="shared" si="3"/>
        <v>16675</v>
      </c>
      <c r="AA8" s="181">
        <f t="shared" si="3"/>
        <v>16675</v>
      </c>
      <c r="AB8" s="181">
        <f t="shared" si="3"/>
        <v>16675</v>
      </c>
      <c r="AC8" s="181">
        <f t="shared" si="3"/>
        <v>16675</v>
      </c>
      <c r="AD8" s="181">
        <f t="shared" si="3"/>
        <v>16675</v>
      </c>
      <c r="AE8" s="181">
        <f t="shared" si="3"/>
        <v>16675</v>
      </c>
      <c r="AF8" s="181">
        <f t="shared" si="3"/>
        <v>16675</v>
      </c>
      <c r="AG8" s="181">
        <f t="shared" si="3"/>
        <v>16675</v>
      </c>
      <c r="AH8" s="181">
        <f>SUM(AH5:AH7)</f>
        <v>16675</v>
      </c>
      <c r="AI8" s="181">
        <f>SUM(AI5:AI7)</f>
        <v>16675</v>
      </c>
      <c r="AJ8" s="181">
        <f>SUM(AJ5:AJ7)</f>
        <v>16675</v>
      </c>
      <c r="AK8" s="181">
        <f>SUM(AK5:AK7)</f>
        <v>16675</v>
      </c>
    </row>
    <row r="10" spans="1:37" ht="13.5" thickBot="1"/>
    <row r="11" spans="1:37" ht="13.5" thickBot="1">
      <c r="B11" s="382" t="s">
        <v>84</v>
      </c>
      <c r="C11" s="383"/>
      <c r="D11" s="384"/>
      <c r="E11" s="192" t="s">
        <v>85</v>
      </c>
      <c r="F11" s="324" t="s">
        <v>86</v>
      </c>
      <c r="G11" s="325"/>
      <c r="H11" s="326"/>
    </row>
    <row r="12" spans="1:37" ht="59.25" customHeight="1">
      <c r="A12" s="191" t="s">
        <v>78</v>
      </c>
      <c r="B12" s="386" t="s">
        <v>80</v>
      </c>
      <c r="C12" s="387" t="s">
        <v>106</v>
      </c>
      <c r="D12" s="388" t="s">
        <v>33</v>
      </c>
      <c r="E12" s="193" t="s">
        <v>83</v>
      </c>
      <c r="F12" s="184" t="s">
        <v>88</v>
      </c>
      <c r="G12" s="182" t="s">
        <v>87</v>
      </c>
      <c r="H12" s="185" t="s">
        <v>83</v>
      </c>
    </row>
    <row r="13" spans="1:37" ht="13.5" thickBot="1">
      <c r="A13" s="191" t="s">
        <v>116</v>
      </c>
      <c r="B13" s="389"/>
      <c r="C13" s="183"/>
      <c r="D13" s="390"/>
      <c r="E13" s="194">
        <v>60</v>
      </c>
      <c r="F13" s="186"/>
      <c r="G13" s="118"/>
      <c r="H13" s="187">
        <f t="shared" ref="H13:H14" si="4">+G13*F13</f>
        <v>0</v>
      </c>
    </row>
    <row r="14" spans="1:37" ht="13.5" thickBot="1">
      <c r="A14" s="191" t="s">
        <v>136</v>
      </c>
      <c r="B14" s="391">
        <v>1500</v>
      </c>
      <c r="C14" s="200">
        <v>0.45</v>
      </c>
      <c r="D14" s="392">
        <f t="shared" ref="D13:D14" si="5">+(C14+1)*B14</f>
        <v>2175</v>
      </c>
      <c r="E14" s="196"/>
      <c r="F14" s="188"/>
      <c r="G14" s="189"/>
      <c r="H14" s="190">
        <f t="shared" si="4"/>
        <v>0</v>
      </c>
      <c r="J14" s="201" t="s">
        <v>89</v>
      </c>
      <c r="K14" s="202"/>
    </row>
    <row r="15" spans="1:37" ht="13.5" thickBot="1">
      <c r="A15" s="172" t="s">
        <v>33</v>
      </c>
      <c r="D15" s="385">
        <f>SUM(D13:D14)</f>
        <v>2175</v>
      </c>
      <c r="E15" s="197">
        <f>SUM(E13:E14)</f>
        <v>60</v>
      </c>
      <c r="H15" s="197">
        <f>SUM(H13:H14)</f>
        <v>0</v>
      </c>
      <c r="J15" s="327">
        <f>+H15+E15+D15</f>
        <v>2235</v>
      </c>
      <c r="K15" s="328"/>
    </row>
    <row r="16" spans="1:37" ht="13.5" thickBot="1"/>
    <row r="17" spans="1:11">
      <c r="B17" s="324" t="s">
        <v>84</v>
      </c>
      <c r="C17" s="325"/>
      <c r="D17" s="326"/>
      <c r="E17" s="192" t="s">
        <v>85</v>
      </c>
      <c r="F17" s="324" t="s">
        <v>86</v>
      </c>
      <c r="G17" s="325"/>
      <c r="H17" s="326"/>
    </row>
    <row r="18" spans="1:11" ht="38.25">
      <c r="A18" s="393" t="s">
        <v>79</v>
      </c>
      <c r="B18" s="198" t="s">
        <v>80</v>
      </c>
      <c r="C18" s="182" t="s">
        <v>106</v>
      </c>
      <c r="D18" s="199" t="s">
        <v>33</v>
      </c>
      <c r="E18" s="193" t="s">
        <v>83</v>
      </c>
      <c r="F18" s="184" t="s">
        <v>88</v>
      </c>
      <c r="G18" s="182" t="s">
        <v>87</v>
      </c>
      <c r="H18" s="185" t="s">
        <v>83</v>
      </c>
    </row>
    <row r="19" spans="1:11">
      <c r="A19" s="393" t="s">
        <v>137</v>
      </c>
      <c r="B19" s="389">
        <v>1800</v>
      </c>
      <c r="C19" s="183">
        <v>0.45</v>
      </c>
      <c r="D19" s="390">
        <f t="shared" ref="D19:D24" si="6">+(C19+1)*B19</f>
        <v>2610</v>
      </c>
      <c r="E19" s="194"/>
      <c r="F19" s="186"/>
      <c r="G19" s="118"/>
      <c r="H19" s="187">
        <f t="shared" ref="H19:H24" si="7">+G19*F19</f>
        <v>0</v>
      </c>
    </row>
    <row r="20" spans="1:11">
      <c r="A20" s="393" t="s">
        <v>137</v>
      </c>
      <c r="B20" s="389">
        <v>1800</v>
      </c>
      <c r="C20" s="183">
        <v>0.45</v>
      </c>
      <c r="D20" s="390">
        <f t="shared" si="6"/>
        <v>2610</v>
      </c>
      <c r="E20" s="195"/>
      <c r="F20" s="186"/>
      <c r="G20" s="118"/>
      <c r="H20" s="187">
        <f t="shared" si="7"/>
        <v>0</v>
      </c>
    </row>
    <row r="21" spans="1:11">
      <c r="A21" s="191" t="s">
        <v>138</v>
      </c>
      <c r="B21" s="389">
        <v>3000</v>
      </c>
      <c r="C21" s="183">
        <v>0.45</v>
      </c>
      <c r="D21" s="390">
        <f t="shared" si="6"/>
        <v>4350</v>
      </c>
      <c r="E21" s="194"/>
      <c r="F21" s="186"/>
      <c r="G21" s="118"/>
      <c r="H21" s="187">
        <f t="shared" si="7"/>
        <v>0</v>
      </c>
    </row>
    <row r="22" spans="1:11">
      <c r="A22" s="393" t="s">
        <v>139</v>
      </c>
      <c r="B22" s="389">
        <v>1200</v>
      </c>
      <c r="C22" s="183">
        <v>0.45</v>
      </c>
      <c r="D22" s="390">
        <f t="shared" si="6"/>
        <v>1740</v>
      </c>
      <c r="E22" s="194"/>
      <c r="F22" s="186"/>
      <c r="G22" s="118"/>
      <c r="H22" s="187">
        <f t="shared" si="7"/>
        <v>0</v>
      </c>
    </row>
    <row r="23" spans="1:11" ht="13.5" thickBot="1">
      <c r="A23" s="393" t="s">
        <v>140</v>
      </c>
      <c r="B23" s="389">
        <v>2200</v>
      </c>
      <c r="C23" s="183">
        <v>0.45</v>
      </c>
      <c r="D23" s="390">
        <f t="shared" si="6"/>
        <v>3190</v>
      </c>
      <c r="E23" s="194"/>
      <c r="F23" s="186"/>
      <c r="G23" s="118"/>
      <c r="H23" s="187">
        <f t="shared" si="7"/>
        <v>0</v>
      </c>
    </row>
    <row r="24" spans="1:11" ht="13.5" thickBot="1">
      <c r="A24" s="393" t="s">
        <v>141</v>
      </c>
      <c r="B24" s="391"/>
      <c r="C24" s="394"/>
      <c r="D24" s="392"/>
      <c r="E24" s="196">
        <v>400</v>
      </c>
      <c r="F24" s="188"/>
      <c r="G24" s="189"/>
      <c r="H24" s="190">
        <f t="shared" si="7"/>
        <v>0</v>
      </c>
      <c r="J24" s="201" t="s">
        <v>90</v>
      </c>
      <c r="K24" s="202"/>
    </row>
    <row r="25" spans="1:11" ht="13.5" thickBot="1">
      <c r="A25" s="171" t="s">
        <v>33</v>
      </c>
      <c r="D25" s="385">
        <f>SUM(D19:D24)</f>
        <v>14500</v>
      </c>
      <c r="E25" s="197">
        <f>SUM(E19:E24)</f>
        <v>400</v>
      </c>
      <c r="H25" s="197">
        <f>SUM(H19:H24)</f>
        <v>0</v>
      </c>
      <c r="J25" s="327">
        <f>+H25+E25+D25</f>
        <v>14900</v>
      </c>
      <c r="K25" s="328"/>
    </row>
    <row r="29" spans="1:11">
      <c r="A29" s="172" t="s">
        <v>91</v>
      </c>
      <c r="B29" s="172" t="s">
        <v>92</v>
      </c>
    </row>
    <row r="30" spans="1:11">
      <c r="A30" s="172" t="s">
        <v>93</v>
      </c>
      <c r="B30" s="172"/>
    </row>
    <row r="31" spans="1:11">
      <c r="A31" s="172" t="s">
        <v>94</v>
      </c>
      <c r="B31" s="172"/>
    </row>
    <row r="32" spans="1:11">
      <c r="A32" s="172" t="s">
        <v>95</v>
      </c>
      <c r="B32" s="172"/>
    </row>
    <row r="33" spans="1:2">
      <c r="A33" s="172" t="s">
        <v>96</v>
      </c>
      <c r="B33" s="172"/>
    </row>
    <row r="34" spans="1:2">
      <c r="A34" s="172" t="s">
        <v>97</v>
      </c>
      <c r="B34" s="172"/>
    </row>
    <row r="35" spans="1:2">
      <c r="A35" s="172" t="s">
        <v>98</v>
      </c>
      <c r="B35" s="172"/>
    </row>
    <row r="36" spans="1:2">
      <c r="A36" s="203" t="s">
        <v>62</v>
      </c>
      <c r="B36" s="204">
        <f>SUM(B30:B35)</f>
        <v>0</v>
      </c>
    </row>
  </sheetData>
  <mergeCells count="9">
    <mergeCell ref="J25:K25"/>
    <mergeCell ref="B3:M3"/>
    <mergeCell ref="N3:Y3"/>
    <mergeCell ref="Z3:AK3"/>
    <mergeCell ref="B11:D11"/>
    <mergeCell ref="F11:H11"/>
    <mergeCell ref="J15:K15"/>
    <mergeCell ref="B17:D17"/>
    <mergeCell ref="F17:H17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6"/>
  <sheetViews>
    <sheetView zoomScale="115" zoomScaleNormal="115" workbookViewId="0">
      <selection activeCell="Z12" sqref="Z12"/>
    </sheetView>
  </sheetViews>
  <sheetFormatPr baseColWidth="10" defaultRowHeight="12.75"/>
  <cols>
    <col min="1" max="1" width="33.7109375" bestFit="1" customWidth="1"/>
    <col min="2" max="25" width="0" hidden="1" customWidth="1"/>
  </cols>
  <sheetData>
    <row r="2" spans="1:37">
      <c r="A2" s="366" t="s">
        <v>117</v>
      </c>
      <c r="B2" s="323">
        <v>1</v>
      </c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>
        <v>2</v>
      </c>
      <c r="O2" s="323"/>
      <c r="P2" s="323"/>
      <c r="Q2" s="323"/>
      <c r="R2" s="323"/>
      <c r="S2" s="323"/>
      <c r="T2" s="323"/>
      <c r="U2" s="323"/>
      <c r="V2" s="323"/>
      <c r="W2" s="323"/>
      <c r="X2" s="323"/>
      <c r="Y2" s="323"/>
      <c r="Z2" s="323">
        <v>3</v>
      </c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</row>
    <row r="3" spans="1:37">
      <c r="A3" s="367"/>
      <c r="B3" s="120">
        <f>+RRHH!B4</f>
        <v>43831</v>
      </c>
      <c r="C3" s="120">
        <f>+RRHH!C4</f>
        <v>43862</v>
      </c>
      <c r="D3" s="120">
        <f>+RRHH!D4</f>
        <v>43891</v>
      </c>
      <c r="E3" s="120">
        <f>+RRHH!E4</f>
        <v>43922</v>
      </c>
      <c r="F3" s="120">
        <f>+RRHH!F4</f>
        <v>43952</v>
      </c>
      <c r="G3" s="120">
        <f>+RRHH!G4</f>
        <v>43983</v>
      </c>
      <c r="H3" s="120">
        <f>+RRHH!H4</f>
        <v>44013</v>
      </c>
      <c r="I3" s="120">
        <f>+RRHH!I4</f>
        <v>44044</v>
      </c>
      <c r="J3" s="120">
        <f>+RRHH!J4</f>
        <v>44075</v>
      </c>
      <c r="K3" s="120">
        <f>+RRHH!K4</f>
        <v>44105</v>
      </c>
      <c r="L3" s="120">
        <f>+RRHH!L4</f>
        <v>44136</v>
      </c>
      <c r="M3" s="120">
        <f>+RRHH!M4</f>
        <v>44166</v>
      </c>
      <c r="N3" s="120">
        <f>+RRHH!N4</f>
        <v>44197</v>
      </c>
      <c r="O3" s="120">
        <f>+RRHH!O4</f>
        <v>44228</v>
      </c>
      <c r="P3" s="120">
        <f>+RRHH!P4</f>
        <v>44256</v>
      </c>
      <c r="Q3" s="120">
        <f>+RRHH!Q4</f>
        <v>44287</v>
      </c>
      <c r="R3" s="120">
        <f>+RRHH!R4</f>
        <v>44317</v>
      </c>
      <c r="S3" s="120">
        <f>+RRHH!S4</f>
        <v>44348</v>
      </c>
      <c r="T3" s="120">
        <f>+RRHH!T4</f>
        <v>44378</v>
      </c>
      <c r="U3" s="120">
        <f>+RRHH!U4</f>
        <v>44409</v>
      </c>
      <c r="V3" s="120">
        <f>+RRHH!V4</f>
        <v>44440</v>
      </c>
      <c r="W3" s="120">
        <f>+RRHH!W4</f>
        <v>44470</v>
      </c>
      <c r="X3" s="120">
        <f>+RRHH!X4</f>
        <v>44501</v>
      </c>
      <c r="Y3" s="120">
        <f>+RRHH!Y4</f>
        <v>44531</v>
      </c>
      <c r="Z3" s="120">
        <f>+RRHH!Z4</f>
        <v>44562</v>
      </c>
      <c r="AA3" s="120">
        <f>+RRHH!AA4</f>
        <v>44593</v>
      </c>
      <c r="AB3" s="120">
        <f>+RRHH!AB4</f>
        <v>44621</v>
      </c>
      <c r="AC3" s="120">
        <f>+RRHH!AC4</f>
        <v>44652</v>
      </c>
      <c r="AD3" s="120">
        <f>+RRHH!AD4</f>
        <v>44682</v>
      </c>
      <c r="AE3" s="120">
        <f>+RRHH!AE4</f>
        <v>44713</v>
      </c>
      <c r="AF3" s="120">
        <f>+RRHH!AF4</f>
        <v>44743</v>
      </c>
      <c r="AG3" s="120">
        <f>+RRHH!AG4</f>
        <v>44774</v>
      </c>
      <c r="AH3" s="120">
        <f>+RRHH!AH4</f>
        <v>44805</v>
      </c>
      <c r="AI3" s="120">
        <f>+RRHH!AI4</f>
        <v>44835</v>
      </c>
      <c r="AJ3" s="120">
        <f>+RRHH!AJ4</f>
        <v>44866</v>
      </c>
      <c r="AK3" s="120">
        <f>+RRHH!AK4</f>
        <v>44896</v>
      </c>
    </row>
    <row r="4" spans="1:37">
      <c r="A4" s="118" t="s">
        <v>118</v>
      </c>
      <c r="B4" s="210">
        <v>800</v>
      </c>
      <c r="C4" s="123">
        <f t="shared" ref="C4:C11" si="0">+B4</f>
        <v>800</v>
      </c>
      <c r="D4" s="123">
        <f t="shared" ref="D4:AK11" si="1">+C4</f>
        <v>800</v>
      </c>
      <c r="E4" s="123">
        <f t="shared" si="1"/>
        <v>800</v>
      </c>
      <c r="F4" s="123">
        <f t="shared" si="1"/>
        <v>800</v>
      </c>
      <c r="G4" s="123">
        <f t="shared" si="1"/>
        <v>800</v>
      </c>
      <c r="H4" s="123">
        <f t="shared" si="1"/>
        <v>800</v>
      </c>
      <c r="I4" s="123">
        <f t="shared" si="1"/>
        <v>800</v>
      </c>
      <c r="J4" s="123">
        <f t="shared" si="1"/>
        <v>800</v>
      </c>
      <c r="K4" s="123">
        <f t="shared" si="1"/>
        <v>800</v>
      </c>
      <c r="L4" s="123">
        <f t="shared" si="1"/>
        <v>800</v>
      </c>
      <c r="M4" s="123">
        <f t="shared" si="1"/>
        <v>800</v>
      </c>
      <c r="N4" s="123">
        <f t="shared" si="1"/>
        <v>800</v>
      </c>
      <c r="O4" s="123">
        <f t="shared" si="1"/>
        <v>800</v>
      </c>
      <c r="P4" s="123">
        <f t="shared" si="1"/>
        <v>800</v>
      </c>
      <c r="Q4" s="123">
        <f t="shared" si="1"/>
        <v>800</v>
      </c>
      <c r="R4" s="123">
        <f t="shared" si="1"/>
        <v>800</v>
      </c>
      <c r="S4" s="123">
        <f t="shared" si="1"/>
        <v>800</v>
      </c>
      <c r="T4" s="123">
        <f t="shared" si="1"/>
        <v>800</v>
      </c>
      <c r="U4" s="123">
        <f t="shared" si="1"/>
        <v>800</v>
      </c>
      <c r="V4" s="123">
        <f t="shared" si="1"/>
        <v>800</v>
      </c>
      <c r="W4" s="123">
        <f t="shared" si="1"/>
        <v>800</v>
      </c>
      <c r="X4" s="123">
        <f t="shared" si="1"/>
        <v>800</v>
      </c>
      <c r="Y4" s="123">
        <f t="shared" si="1"/>
        <v>800</v>
      </c>
      <c r="Z4" s="123">
        <f t="shared" si="1"/>
        <v>800</v>
      </c>
      <c r="AA4" s="123">
        <f t="shared" si="1"/>
        <v>800</v>
      </c>
      <c r="AB4" s="123">
        <f t="shared" si="1"/>
        <v>800</v>
      </c>
      <c r="AC4" s="123">
        <f t="shared" si="1"/>
        <v>800</v>
      </c>
      <c r="AD4" s="123">
        <f t="shared" si="1"/>
        <v>800</v>
      </c>
      <c r="AE4" s="123">
        <f t="shared" si="1"/>
        <v>800</v>
      </c>
      <c r="AF4" s="123">
        <f t="shared" si="1"/>
        <v>800</v>
      </c>
      <c r="AG4" s="123">
        <f t="shared" si="1"/>
        <v>800</v>
      </c>
      <c r="AH4" s="123">
        <f t="shared" si="1"/>
        <v>800</v>
      </c>
      <c r="AI4" s="123">
        <f t="shared" si="1"/>
        <v>800</v>
      </c>
      <c r="AJ4" s="123">
        <f t="shared" si="1"/>
        <v>800</v>
      </c>
      <c r="AK4" s="123">
        <f t="shared" si="1"/>
        <v>800</v>
      </c>
    </row>
    <row r="5" spans="1:37">
      <c r="A5" s="118" t="s">
        <v>44</v>
      </c>
      <c r="B5" s="210"/>
      <c r="C5" s="123">
        <f t="shared" si="0"/>
        <v>0</v>
      </c>
      <c r="D5" s="123">
        <f t="shared" ref="D5:R5" si="2">+C5</f>
        <v>0</v>
      </c>
      <c r="E5" s="123">
        <f t="shared" si="2"/>
        <v>0</v>
      </c>
      <c r="F5" s="123">
        <f t="shared" si="2"/>
        <v>0</v>
      </c>
      <c r="G5" s="123">
        <f t="shared" si="2"/>
        <v>0</v>
      </c>
      <c r="H5" s="123">
        <f t="shared" si="2"/>
        <v>0</v>
      </c>
      <c r="I5" s="123">
        <f t="shared" si="2"/>
        <v>0</v>
      </c>
      <c r="J5" s="123">
        <f t="shared" si="2"/>
        <v>0</v>
      </c>
      <c r="K5" s="123">
        <f t="shared" si="2"/>
        <v>0</v>
      </c>
      <c r="L5" s="123">
        <f t="shared" si="2"/>
        <v>0</v>
      </c>
      <c r="M5" s="123">
        <f t="shared" si="2"/>
        <v>0</v>
      </c>
      <c r="N5" s="123">
        <f t="shared" si="2"/>
        <v>0</v>
      </c>
      <c r="O5" s="123">
        <f t="shared" si="2"/>
        <v>0</v>
      </c>
      <c r="P5" s="123">
        <f t="shared" si="2"/>
        <v>0</v>
      </c>
      <c r="Q5" s="123">
        <f t="shared" si="2"/>
        <v>0</v>
      </c>
      <c r="R5" s="123">
        <f t="shared" si="2"/>
        <v>0</v>
      </c>
      <c r="S5" s="123">
        <f t="shared" si="1"/>
        <v>0</v>
      </c>
      <c r="T5" s="123">
        <f t="shared" si="1"/>
        <v>0</v>
      </c>
      <c r="U5" s="123">
        <f t="shared" si="1"/>
        <v>0</v>
      </c>
      <c r="V5" s="123">
        <f t="shared" si="1"/>
        <v>0</v>
      </c>
      <c r="W5" s="123">
        <f t="shared" si="1"/>
        <v>0</v>
      </c>
      <c r="X5" s="123">
        <f t="shared" si="1"/>
        <v>0</v>
      </c>
      <c r="Y5" s="123">
        <f t="shared" si="1"/>
        <v>0</v>
      </c>
      <c r="Z5" s="123">
        <f t="shared" si="1"/>
        <v>0</v>
      </c>
      <c r="AA5" s="123">
        <f t="shared" si="1"/>
        <v>0</v>
      </c>
      <c r="AB5" s="123">
        <f t="shared" si="1"/>
        <v>0</v>
      </c>
      <c r="AC5" s="123">
        <f t="shared" si="1"/>
        <v>0</v>
      </c>
      <c r="AD5" s="123">
        <f t="shared" si="1"/>
        <v>0</v>
      </c>
      <c r="AE5" s="123">
        <f t="shared" si="1"/>
        <v>0</v>
      </c>
      <c r="AF5" s="123">
        <f t="shared" si="1"/>
        <v>0</v>
      </c>
      <c r="AG5" s="123">
        <f t="shared" si="1"/>
        <v>0</v>
      </c>
      <c r="AH5" s="123">
        <f t="shared" si="1"/>
        <v>0</v>
      </c>
      <c r="AI5" s="123">
        <f t="shared" si="1"/>
        <v>0</v>
      </c>
      <c r="AJ5" s="123">
        <f t="shared" si="1"/>
        <v>0</v>
      </c>
      <c r="AK5" s="123">
        <f t="shared" si="1"/>
        <v>0</v>
      </c>
    </row>
    <row r="6" spans="1:37">
      <c r="A6" s="121" t="s">
        <v>104</v>
      </c>
      <c r="B6" s="210">
        <v>300</v>
      </c>
      <c r="C6" s="123">
        <f t="shared" si="0"/>
        <v>300</v>
      </c>
      <c r="D6" s="123">
        <f t="shared" si="1"/>
        <v>300</v>
      </c>
      <c r="E6" s="123">
        <f t="shared" si="1"/>
        <v>300</v>
      </c>
      <c r="F6" s="123">
        <f t="shared" si="1"/>
        <v>300</v>
      </c>
      <c r="G6" s="123">
        <f t="shared" si="1"/>
        <v>300</v>
      </c>
      <c r="H6" s="123">
        <f t="shared" si="1"/>
        <v>300</v>
      </c>
      <c r="I6" s="123">
        <f t="shared" si="1"/>
        <v>300</v>
      </c>
      <c r="J6" s="123">
        <f t="shared" si="1"/>
        <v>300</v>
      </c>
      <c r="K6" s="123">
        <f t="shared" si="1"/>
        <v>300</v>
      </c>
      <c r="L6" s="123">
        <f t="shared" si="1"/>
        <v>300</v>
      </c>
      <c r="M6" s="123">
        <f t="shared" si="1"/>
        <v>300</v>
      </c>
      <c r="N6" s="123">
        <f t="shared" si="1"/>
        <v>300</v>
      </c>
      <c r="O6" s="123">
        <f t="shared" si="1"/>
        <v>300</v>
      </c>
      <c r="P6" s="123">
        <f t="shared" si="1"/>
        <v>300</v>
      </c>
      <c r="Q6" s="123">
        <f t="shared" si="1"/>
        <v>300</v>
      </c>
      <c r="R6" s="123">
        <f t="shared" si="1"/>
        <v>300</v>
      </c>
      <c r="S6" s="123">
        <f t="shared" si="1"/>
        <v>300</v>
      </c>
      <c r="T6" s="123">
        <f t="shared" si="1"/>
        <v>300</v>
      </c>
      <c r="U6" s="123">
        <f t="shared" si="1"/>
        <v>300</v>
      </c>
      <c r="V6" s="123">
        <f t="shared" si="1"/>
        <v>300</v>
      </c>
      <c r="W6" s="123">
        <f t="shared" si="1"/>
        <v>300</v>
      </c>
      <c r="X6" s="123">
        <f t="shared" si="1"/>
        <v>300</v>
      </c>
      <c r="Y6" s="123">
        <f t="shared" si="1"/>
        <v>300</v>
      </c>
      <c r="Z6" s="123">
        <f t="shared" si="1"/>
        <v>300</v>
      </c>
      <c r="AA6" s="123">
        <f t="shared" si="1"/>
        <v>300</v>
      </c>
      <c r="AB6" s="123">
        <f t="shared" si="1"/>
        <v>300</v>
      </c>
      <c r="AC6" s="123">
        <f t="shared" si="1"/>
        <v>300</v>
      </c>
      <c r="AD6" s="123">
        <f t="shared" si="1"/>
        <v>300</v>
      </c>
      <c r="AE6" s="123">
        <f t="shared" si="1"/>
        <v>300</v>
      </c>
      <c r="AF6" s="123">
        <f t="shared" si="1"/>
        <v>300</v>
      </c>
      <c r="AG6" s="123">
        <f t="shared" si="1"/>
        <v>300</v>
      </c>
      <c r="AH6" s="123">
        <f t="shared" si="1"/>
        <v>300</v>
      </c>
      <c r="AI6" s="123">
        <f t="shared" si="1"/>
        <v>300</v>
      </c>
      <c r="AJ6" s="123">
        <f t="shared" si="1"/>
        <v>300</v>
      </c>
      <c r="AK6" s="123">
        <f t="shared" si="1"/>
        <v>300</v>
      </c>
    </row>
    <row r="7" spans="1:37">
      <c r="A7" s="121" t="s">
        <v>43</v>
      </c>
      <c r="B7" s="210">
        <v>50</v>
      </c>
      <c r="C7" s="123">
        <f t="shared" si="0"/>
        <v>50</v>
      </c>
      <c r="D7" s="123">
        <f t="shared" si="1"/>
        <v>50</v>
      </c>
      <c r="E7" s="123">
        <f t="shared" si="1"/>
        <v>50</v>
      </c>
      <c r="F7" s="123">
        <f t="shared" si="1"/>
        <v>50</v>
      </c>
      <c r="G7" s="123">
        <f t="shared" si="1"/>
        <v>50</v>
      </c>
      <c r="H7" s="123">
        <f t="shared" si="1"/>
        <v>50</v>
      </c>
      <c r="I7" s="123">
        <f t="shared" si="1"/>
        <v>50</v>
      </c>
      <c r="J7" s="123">
        <f t="shared" si="1"/>
        <v>50</v>
      </c>
      <c r="K7" s="123">
        <f t="shared" si="1"/>
        <v>50</v>
      </c>
      <c r="L7" s="123">
        <f t="shared" si="1"/>
        <v>50</v>
      </c>
      <c r="M7" s="123">
        <f t="shared" si="1"/>
        <v>50</v>
      </c>
      <c r="N7" s="123">
        <f t="shared" si="1"/>
        <v>50</v>
      </c>
      <c r="O7" s="123">
        <f t="shared" si="1"/>
        <v>50</v>
      </c>
      <c r="P7" s="123">
        <f t="shared" si="1"/>
        <v>50</v>
      </c>
      <c r="Q7" s="123">
        <f t="shared" si="1"/>
        <v>50</v>
      </c>
      <c r="R7" s="123">
        <f t="shared" si="1"/>
        <v>50</v>
      </c>
      <c r="S7" s="123">
        <f t="shared" si="1"/>
        <v>50</v>
      </c>
      <c r="T7" s="123">
        <f t="shared" si="1"/>
        <v>50</v>
      </c>
      <c r="U7" s="123">
        <f t="shared" si="1"/>
        <v>50</v>
      </c>
      <c r="V7" s="123">
        <f t="shared" si="1"/>
        <v>50</v>
      </c>
      <c r="W7" s="123">
        <f t="shared" si="1"/>
        <v>50</v>
      </c>
      <c r="X7" s="123">
        <f t="shared" si="1"/>
        <v>50</v>
      </c>
      <c r="Y7" s="123">
        <f t="shared" si="1"/>
        <v>50</v>
      </c>
      <c r="Z7" s="123">
        <f t="shared" si="1"/>
        <v>50</v>
      </c>
      <c r="AA7" s="123">
        <f t="shared" si="1"/>
        <v>50</v>
      </c>
      <c r="AB7" s="123">
        <f t="shared" si="1"/>
        <v>50</v>
      </c>
      <c r="AC7" s="123">
        <f t="shared" si="1"/>
        <v>50</v>
      </c>
      <c r="AD7" s="123">
        <f t="shared" si="1"/>
        <v>50</v>
      </c>
      <c r="AE7" s="123">
        <f t="shared" si="1"/>
        <v>50</v>
      </c>
      <c r="AF7" s="123">
        <f t="shared" si="1"/>
        <v>50</v>
      </c>
      <c r="AG7" s="123">
        <f t="shared" si="1"/>
        <v>50</v>
      </c>
      <c r="AH7" s="123">
        <f t="shared" si="1"/>
        <v>50</v>
      </c>
      <c r="AI7" s="123">
        <f t="shared" si="1"/>
        <v>50</v>
      </c>
      <c r="AJ7" s="123">
        <f t="shared" si="1"/>
        <v>50</v>
      </c>
      <c r="AK7" s="123">
        <f t="shared" si="1"/>
        <v>50</v>
      </c>
    </row>
    <row r="8" spans="1:37">
      <c r="A8" s="121" t="s">
        <v>108</v>
      </c>
      <c r="B8" s="210">
        <v>120</v>
      </c>
      <c r="C8" s="123">
        <f t="shared" si="0"/>
        <v>120</v>
      </c>
      <c r="D8" s="123">
        <f t="shared" si="1"/>
        <v>120</v>
      </c>
      <c r="E8" s="123">
        <f t="shared" si="1"/>
        <v>120</v>
      </c>
      <c r="F8" s="123">
        <f t="shared" si="1"/>
        <v>120</v>
      </c>
      <c r="G8" s="123">
        <f t="shared" si="1"/>
        <v>120</v>
      </c>
      <c r="H8" s="123">
        <f t="shared" si="1"/>
        <v>120</v>
      </c>
      <c r="I8" s="123">
        <f t="shared" si="1"/>
        <v>120</v>
      </c>
      <c r="J8" s="123">
        <f t="shared" si="1"/>
        <v>120</v>
      </c>
      <c r="K8" s="123">
        <f t="shared" si="1"/>
        <v>120</v>
      </c>
      <c r="L8" s="123">
        <f t="shared" si="1"/>
        <v>120</v>
      </c>
      <c r="M8" s="123">
        <f t="shared" si="1"/>
        <v>120</v>
      </c>
      <c r="N8" s="123">
        <f t="shared" si="1"/>
        <v>120</v>
      </c>
      <c r="O8" s="123">
        <f t="shared" si="1"/>
        <v>120</v>
      </c>
      <c r="P8" s="123">
        <f t="shared" si="1"/>
        <v>120</v>
      </c>
      <c r="Q8" s="123">
        <f t="shared" si="1"/>
        <v>120</v>
      </c>
      <c r="R8" s="123">
        <f t="shared" si="1"/>
        <v>120</v>
      </c>
      <c r="S8" s="123">
        <f t="shared" si="1"/>
        <v>120</v>
      </c>
      <c r="T8" s="123">
        <f t="shared" si="1"/>
        <v>120</v>
      </c>
      <c r="U8" s="123">
        <f t="shared" si="1"/>
        <v>120</v>
      </c>
      <c r="V8" s="123">
        <f t="shared" si="1"/>
        <v>120</v>
      </c>
      <c r="W8" s="123">
        <f t="shared" si="1"/>
        <v>120</v>
      </c>
      <c r="X8" s="123">
        <f t="shared" si="1"/>
        <v>120</v>
      </c>
      <c r="Y8" s="123">
        <f t="shared" si="1"/>
        <v>120</v>
      </c>
      <c r="Z8" s="123">
        <f t="shared" si="1"/>
        <v>120</v>
      </c>
      <c r="AA8" s="123">
        <f t="shared" si="1"/>
        <v>120</v>
      </c>
      <c r="AB8" s="123">
        <f t="shared" si="1"/>
        <v>120</v>
      </c>
      <c r="AC8" s="123">
        <f t="shared" si="1"/>
        <v>120</v>
      </c>
      <c r="AD8" s="123">
        <f t="shared" si="1"/>
        <v>120</v>
      </c>
      <c r="AE8" s="123">
        <f t="shared" si="1"/>
        <v>120</v>
      </c>
      <c r="AF8" s="123">
        <f t="shared" si="1"/>
        <v>120</v>
      </c>
      <c r="AG8" s="123">
        <f t="shared" si="1"/>
        <v>120</v>
      </c>
      <c r="AH8" s="123">
        <f t="shared" si="1"/>
        <v>120</v>
      </c>
      <c r="AI8" s="123">
        <f t="shared" si="1"/>
        <v>120</v>
      </c>
      <c r="AJ8" s="123">
        <f t="shared" si="1"/>
        <v>120</v>
      </c>
      <c r="AK8" s="123">
        <f t="shared" si="1"/>
        <v>120</v>
      </c>
    </row>
    <row r="9" spans="1:37">
      <c r="A9" s="122" t="s">
        <v>55</v>
      </c>
      <c r="B9" s="210"/>
      <c r="C9" s="123">
        <f t="shared" si="0"/>
        <v>0</v>
      </c>
      <c r="D9" s="123">
        <f t="shared" si="1"/>
        <v>0</v>
      </c>
      <c r="E9" s="123">
        <f t="shared" si="1"/>
        <v>0</v>
      </c>
      <c r="F9" s="123">
        <f t="shared" si="1"/>
        <v>0</v>
      </c>
      <c r="G9" s="123">
        <f t="shared" si="1"/>
        <v>0</v>
      </c>
      <c r="H9" s="123">
        <f t="shared" si="1"/>
        <v>0</v>
      </c>
      <c r="I9" s="123">
        <f t="shared" si="1"/>
        <v>0</v>
      </c>
      <c r="J9" s="123">
        <f t="shared" si="1"/>
        <v>0</v>
      </c>
      <c r="K9" s="123">
        <f t="shared" si="1"/>
        <v>0</v>
      </c>
      <c r="L9" s="123">
        <f t="shared" si="1"/>
        <v>0</v>
      </c>
      <c r="M9" s="123">
        <f t="shared" si="1"/>
        <v>0</v>
      </c>
      <c r="N9" s="123">
        <f t="shared" si="1"/>
        <v>0</v>
      </c>
      <c r="O9" s="123">
        <f t="shared" si="1"/>
        <v>0</v>
      </c>
      <c r="P9" s="123">
        <f t="shared" si="1"/>
        <v>0</v>
      </c>
      <c r="Q9" s="123">
        <f t="shared" si="1"/>
        <v>0</v>
      </c>
      <c r="R9" s="123">
        <f t="shared" si="1"/>
        <v>0</v>
      </c>
      <c r="S9" s="123">
        <f t="shared" si="1"/>
        <v>0</v>
      </c>
      <c r="T9" s="123">
        <f t="shared" si="1"/>
        <v>0</v>
      </c>
      <c r="U9" s="123">
        <f t="shared" si="1"/>
        <v>0</v>
      </c>
      <c r="V9" s="123">
        <f t="shared" si="1"/>
        <v>0</v>
      </c>
      <c r="W9" s="123">
        <f t="shared" si="1"/>
        <v>0</v>
      </c>
      <c r="X9" s="123">
        <f t="shared" si="1"/>
        <v>0</v>
      </c>
      <c r="Y9" s="123">
        <f t="shared" si="1"/>
        <v>0</v>
      </c>
      <c r="Z9" s="123">
        <f t="shared" si="1"/>
        <v>0</v>
      </c>
      <c r="AA9" s="123">
        <f t="shared" si="1"/>
        <v>0</v>
      </c>
      <c r="AB9" s="123">
        <f t="shared" si="1"/>
        <v>0</v>
      </c>
      <c r="AC9" s="123">
        <f t="shared" si="1"/>
        <v>0</v>
      </c>
      <c r="AD9" s="123">
        <f t="shared" si="1"/>
        <v>0</v>
      </c>
      <c r="AE9" s="123">
        <f t="shared" si="1"/>
        <v>0</v>
      </c>
      <c r="AF9" s="123">
        <f t="shared" si="1"/>
        <v>0</v>
      </c>
      <c r="AG9" s="123">
        <f t="shared" si="1"/>
        <v>0</v>
      </c>
      <c r="AH9" s="123">
        <f t="shared" si="1"/>
        <v>0</v>
      </c>
      <c r="AI9" s="123">
        <f t="shared" si="1"/>
        <v>0</v>
      </c>
      <c r="AJ9" s="123">
        <f t="shared" si="1"/>
        <v>0</v>
      </c>
      <c r="AK9" s="123">
        <f t="shared" si="1"/>
        <v>0</v>
      </c>
    </row>
    <row r="10" spans="1:37">
      <c r="A10" s="121" t="s">
        <v>54</v>
      </c>
      <c r="B10" s="210">
        <v>300</v>
      </c>
      <c r="C10" s="123">
        <f t="shared" si="0"/>
        <v>300</v>
      </c>
      <c r="D10" s="123">
        <f t="shared" si="1"/>
        <v>300</v>
      </c>
      <c r="E10" s="123">
        <f t="shared" si="1"/>
        <v>300</v>
      </c>
      <c r="F10" s="123">
        <f t="shared" si="1"/>
        <v>300</v>
      </c>
      <c r="G10" s="123">
        <f t="shared" si="1"/>
        <v>300</v>
      </c>
      <c r="H10" s="123">
        <f t="shared" si="1"/>
        <v>300</v>
      </c>
      <c r="I10" s="123">
        <f t="shared" si="1"/>
        <v>300</v>
      </c>
      <c r="J10" s="123">
        <f t="shared" si="1"/>
        <v>300</v>
      </c>
      <c r="K10" s="123">
        <f t="shared" si="1"/>
        <v>300</v>
      </c>
      <c r="L10" s="123">
        <f t="shared" si="1"/>
        <v>300</v>
      </c>
      <c r="M10" s="123">
        <f t="shared" si="1"/>
        <v>300</v>
      </c>
      <c r="N10" s="123">
        <f t="shared" si="1"/>
        <v>300</v>
      </c>
      <c r="O10" s="123">
        <f t="shared" si="1"/>
        <v>300</v>
      </c>
      <c r="P10" s="123">
        <f t="shared" si="1"/>
        <v>300</v>
      </c>
      <c r="Q10" s="123">
        <f t="shared" si="1"/>
        <v>300</v>
      </c>
      <c r="R10" s="123">
        <f t="shared" si="1"/>
        <v>300</v>
      </c>
      <c r="S10" s="123">
        <f t="shared" si="1"/>
        <v>300</v>
      </c>
      <c r="T10" s="123">
        <f t="shared" si="1"/>
        <v>300</v>
      </c>
      <c r="U10" s="123">
        <f t="shared" si="1"/>
        <v>300</v>
      </c>
      <c r="V10" s="123">
        <f t="shared" si="1"/>
        <v>300</v>
      </c>
      <c r="W10" s="123">
        <f t="shared" si="1"/>
        <v>300</v>
      </c>
      <c r="X10" s="123">
        <f t="shared" si="1"/>
        <v>300</v>
      </c>
      <c r="Y10" s="123">
        <f t="shared" si="1"/>
        <v>300</v>
      </c>
      <c r="Z10" s="123">
        <f t="shared" si="1"/>
        <v>300</v>
      </c>
      <c r="AA10" s="123">
        <f t="shared" si="1"/>
        <v>300</v>
      </c>
      <c r="AB10" s="123">
        <f t="shared" si="1"/>
        <v>300</v>
      </c>
      <c r="AC10" s="123">
        <f t="shared" si="1"/>
        <v>300</v>
      </c>
      <c r="AD10" s="123">
        <f t="shared" si="1"/>
        <v>300</v>
      </c>
      <c r="AE10" s="123">
        <f t="shared" si="1"/>
        <v>300</v>
      </c>
      <c r="AF10" s="123">
        <f t="shared" si="1"/>
        <v>300</v>
      </c>
      <c r="AG10" s="123">
        <f t="shared" si="1"/>
        <v>300</v>
      </c>
      <c r="AH10" s="123">
        <f t="shared" si="1"/>
        <v>300</v>
      </c>
      <c r="AI10" s="123">
        <f t="shared" si="1"/>
        <v>300</v>
      </c>
      <c r="AJ10" s="123">
        <f t="shared" si="1"/>
        <v>300</v>
      </c>
      <c r="AK10" s="123">
        <f t="shared" si="1"/>
        <v>300</v>
      </c>
    </row>
    <row r="11" spans="1:37">
      <c r="A11" s="121" t="s">
        <v>116</v>
      </c>
      <c r="B11" s="210">
        <v>60</v>
      </c>
      <c r="C11" s="123">
        <f t="shared" si="0"/>
        <v>60</v>
      </c>
      <c r="D11" s="123">
        <f t="shared" si="1"/>
        <v>60</v>
      </c>
      <c r="E11" s="123">
        <f t="shared" si="1"/>
        <v>60</v>
      </c>
      <c r="F11" s="123">
        <f t="shared" si="1"/>
        <v>60</v>
      </c>
      <c r="G11" s="123">
        <f t="shared" si="1"/>
        <v>60</v>
      </c>
      <c r="H11" s="123">
        <f t="shared" si="1"/>
        <v>60</v>
      </c>
      <c r="I11" s="123">
        <f t="shared" si="1"/>
        <v>60</v>
      </c>
      <c r="J11" s="123">
        <f t="shared" si="1"/>
        <v>60</v>
      </c>
      <c r="K11" s="123">
        <f t="shared" si="1"/>
        <v>60</v>
      </c>
      <c r="L11" s="123">
        <f t="shared" si="1"/>
        <v>60</v>
      </c>
      <c r="M11" s="123">
        <f t="shared" si="1"/>
        <v>60</v>
      </c>
      <c r="N11" s="123">
        <f t="shared" si="1"/>
        <v>60</v>
      </c>
      <c r="O11" s="123">
        <f t="shared" si="1"/>
        <v>60</v>
      </c>
      <c r="P11" s="123">
        <f t="shared" si="1"/>
        <v>60</v>
      </c>
      <c r="Q11" s="123">
        <f t="shared" si="1"/>
        <v>60</v>
      </c>
      <c r="R11" s="123">
        <f t="shared" si="1"/>
        <v>60</v>
      </c>
      <c r="S11" s="123">
        <f t="shared" si="1"/>
        <v>60</v>
      </c>
      <c r="T11" s="123">
        <f t="shared" si="1"/>
        <v>60</v>
      </c>
      <c r="U11" s="123">
        <f t="shared" si="1"/>
        <v>60</v>
      </c>
      <c r="V11" s="123">
        <f t="shared" si="1"/>
        <v>60</v>
      </c>
      <c r="W11" s="123">
        <f t="shared" si="1"/>
        <v>60</v>
      </c>
      <c r="X11" s="123">
        <f t="shared" si="1"/>
        <v>60</v>
      </c>
      <c r="Y11" s="123">
        <f t="shared" si="1"/>
        <v>60</v>
      </c>
      <c r="Z11" s="123">
        <f t="shared" si="1"/>
        <v>60</v>
      </c>
      <c r="AA11" s="123">
        <f t="shared" si="1"/>
        <v>60</v>
      </c>
      <c r="AB11" s="123">
        <f t="shared" si="1"/>
        <v>60</v>
      </c>
      <c r="AC11" s="123">
        <f t="shared" si="1"/>
        <v>60</v>
      </c>
      <c r="AD11" s="123">
        <f t="shared" si="1"/>
        <v>60</v>
      </c>
      <c r="AE11" s="123">
        <f t="shared" si="1"/>
        <v>60</v>
      </c>
      <c r="AF11" s="123">
        <f t="shared" si="1"/>
        <v>60</v>
      </c>
      <c r="AG11" s="123">
        <f t="shared" si="1"/>
        <v>60</v>
      </c>
      <c r="AH11" s="123">
        <f t="shared" si="1"/>
        <v>60</v>
      </c>
      <c r="AI11" s="123">
        <f t="shared" si="1"/>
        <v>60</v>
      </c>
      <c r="AJ11" s="123">
        <f t="shared" ref="AJ11:AK11" si="3">+AI11</f>
        <v>60</v>
      </c>
      <c r="AK11" s="123">
        <f t="shared" si="3"/>
        <v>60</v>
      </c>
    </row>
    <row r="12" spans="1:37" s="142" customFormat="1">
      <c r="A12" s="140" t="s">
        <v>33</v>
      </c>
      <c r="B12" s="141">
        <f>SUM(B4:B11)</f>
        <v>1630</v>
      </c>
      <c r="C12" s="141">
        <f>SUM(C4:C11)</f>
        <v>1630</v>
      </c>
      <c r="D12" s="141">
        <f t="shared" ref="D12:AK12" si="4">SUM(D4:D11)</f>
        <v>1630</v>
      </c>
      <c r="E12" s="141">
        <f t="shared" si="4"/>
        <v>1630</v>
      </c>
      <c r="F12" s="141">
        <f t="shared" si="4"/>
        <v>1630</v>
      </c>
      <c r="G12" s="141">
        <f t="shared" si="4"/>
        <v>1630</v>
      </c>
      <c r="H12" s="141">
        <f t="shared" si="4"/>
        <v>1630</v>
      </c>
      <c r="I12" s="141">
        <f t="shared" si="4"/>
        <v>1630</v>
      </c>
      <c r="J12" s="141">
        <f t="shared" si="4"/>
        <v>1630</v>
      </c>
      <c r="K12" s="141">
        <f t="shared" si="4"/>
        <v>1630</v>
      </c>
      <c r="L12" s="141">
        <f t="shared" si="4"/>
        <v>1630</v>
      </c>
      <c r="M12" s="141">
        <f t="shared" si="4"/>
        <v>1630</v>
      </c>
      <c r="N12" s="141">
        <f t="shared" si="4"/>
        <v>1630</v>
      </c>
      <c r="O12" s="141">
        <f t="shared" si="4"/>
        <v>1630</v>
      </c>
      <c r="P12" s="141">
        <f t="shared" si="4"/>
        <v>1630</v>
      </c>
      <c r="Q12" s="141">
        <f t="shared" si="4"/>
        <v>1630</v>
      </c>
      <c r="R12" s="141">
        <f t="shared" si="4"/>
        <v>1630</v>
      </c>
      <c r="S12" s="141">
        <f t="shared" si="4"/>
        <v>1630</v>
      </c>
      <c r="T12" s="141">
        <f t="shared" si="4"/>
        <v>1630</v>
      </c>
      <c r="U12" s="141">
        <f t="shared" si="4"/>
        <v>1630</v>
      </c>
      <c r="V12" s="141">
        <f t="shared" si="4"/>
        <v>1630</v>
      </c>
      <c r="W12" s="141">
        <f t="shared" si="4"/>
        <v>1630</v>
      </c>
      <c r="X12" s="141">
        <f t="shared" si="4"/>
        <v>1630</v>
      </c>
      <c r="Y12" s="141">
        <f t="shared" si="4"/>
        <v>1630</v>
      </c>
      <c r="Z12" s="141">
        <f t="shared" si="4"/>
        <v>1630</v>
      </c>
      <c r="AA12" s="141">
        <f t="shared" si="4"/>
        <v>1630</v>
      </c>
      <c r="AB12" s="141">
        <f t="shared" si="4"/>
        <v>1630</v>
      </c>
      <c r="AC12" s="141">
        <f t="shared" si="4"/>
        <v>1630</v>
      </c>
      <c r="AD12" s="141">
        <f t="shared" si="4"/>
        <v>1630</v>
      </c>
      <c r="AE12" s="141">
        <f t="shared" si="4"/>
        <v>1630</v>
      </c>
      <c r="AF12" s="141">
        <f t="shared" si="4"/>
        <v>1630</v>
      </c>
      <c r="AG12" s="141">
        <f t="shared" si="4"/>
        <v>1630</v>
      </c>
      <c r="AH12" s="141">
        <f t="shared" si="4"/>
        <v>1630</v>
      </c>
      <c r="AI12" s="141">
        <f t="shared" si="4"/>
        <v>1630</v>
      </c>
      <c r="AJ12" s="141">
        <f t="shared" si="4"/>
        <v>1630</v>
      </c>
      <c r="AK12" s="141">
        <f t="shared" si="4"/>
        <v>1630</v>
      </c>
    </row>
    <row r="16" spans="1:37">
      <c r="AF16">
        <f>19560*3</f>
        <v>58680</v>
      </c>
    </row>
  </sheetData>
  <mergeCells count="3">
    <mergeCell ref="B2:M2"/>
    <mergeCell ref="N2:Y2"/>
    <mergeCell ref="Z2:AK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22"/>
  <sheetViews>
    <sheetView zoomScaleNormal="100" workbookViewId="0">
      <selection activeCell="J19" sqref="J19:J20"/>
    </sheetView>
  </sheetViews>
  <sheetFormatPr baseColWidth="10" defaultRowHeight="12.75"/>
  <cols>
    <col min="1" max="1" width="14.140625" style="338" customWidth="1"/>
    <col min="2" max="13" width="11.28515625" style="338" customWidth="1"/>
    <col min="14" max="37" width="9.85546875" style="338" customWidth="1"/>
    <col min="38" max="16384" width="11.42578125" style="338"/>
  </cols>
  <sheetData>
    <row r="2" spans="1:37">
      <c r="A2" s="364" t="s">
        <v>51</v>
      </c>
      <c r="B2" s="340">
        <v>1</v>
      </c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>
        <v>2</v>
      </c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>
        <v>3</v>
      </c>
      <c r="AA2" s="340"/>
      <c r="AB2" s="340"/>
      <c r="AC2" s="340"/>
      <c r="AD2" s="340"/>
      <c r="AE2" s="340"/>
      <c r="AF2" s="340"/>
      <c r="AG2" s="340"/>
      <c r="AH2" s="340"/>
      <c r="AI2" s="340"/>
      <c r="AJ2" s="340"/>
      <c r="AK2" s="340"/>
    </row>
    <row r="3" spans="1:37">
      <c r="A3" s="364"/>
      <c r="B3" s="341">
        <f>+CIF!B3</f>
        <v>43831</v>
      </c>
      <c r="C3" s="341">
        <f>+CIF!C3</f>
        <v>43862</v>
      </c>
      <c r="D3" s="341">
        <f>+CIF!D3</f>
        <v>43891</v>
      </c>
      <c r="E3" s="341">
        <f>+CIF!E3</f>
        <v>43922</v>
      </c>
      <c r="F3" s="341">
        <f>+CIF!F3</f>
        <v>43952</v>
      </c>
      <c r="G3" s="341">
        <f>+CIF!G3</f>
        <v>43983</v>
      </c>
      <c r="H3" s="341">
        <f>+CIF!H3</f>
        <v>44013</v>
      </c>
      <c r="I3" s="341">
        <f>+CIF!I3</f>
        <v>44044</v>
      </c>
      <c r="J3" s="341">
        <f>+CIF!J3</f>
        <v>44075</v>
      </c>
      <c r="K3" s="341">
        <f>+CIF!K3</f>
        <v>44105</v>
      </c>
      <c r="L3" s="341">
        <f>+CIF!L3</f>
        <v>44136</v>
      </c>
      <c r="M3" s="341">
        <f>+CIF!M3</f>
        <v>44166</v>
      </c>
      <c r="N3" s="341">
        <f>+CIF!N3</f>
        <v>44197</v>
      </c>
      <c r="O3" s="341">
        <f>+CIF!O3</f>
        <v>44228</v>
      </c>
      <c r="P3" s="341">
        <f>+CIF!P3</f>
        <v>44256</v>
      </c>
      <c r="Q3" s="341">
        <f>+CIF!Q3</f>
        <v>44287</v>
      </c>
      <c r="R3" s="341">
        <f>+CIF!R3</f>
        <v>44317</v>
      </c>
      <c r="S3" s="341">
        <f>+CIF!S3</f>
        <v>44348</v>
      </c>
      <c r="T3" s="341">
        <f>+CIF!T3</f>
        <v>44378</v>
      </c>
      <c r="U3" s="341">
        <f>+CIF!U3</f>
        <v>44409</v>
      </c>
      <c r="V3" s="341">
        <f>+CIF!V3</f>
        <v>44440</v>
      </c>
      <c r="W3" s="341">
        <f>+CIF!W3</f>
        <v>44470</v>
      </c>
      <c r="X3" s="341">
        <f>+CIF!X3</f>
        <v>44501</v>
      </c>
      <c r="Y3" s="341">
        <f>+CIF!Y3</f>
        <v>44531</v>
      </c>
      <c r="Z3" s="341">
        <f>+CIF!Z3</f>
        <v>44562</v>
      </c>
      <c r="AA3" s="341">
        <f>+CIF!AA3</f>
        <v>44593</v>
      </c>
      <c r="AB3" s="341">
        <f>+CIF!AB3</f>
        <v>44621</v>
      </c>
      <c r="AC3" s="341">
        <f>+CIF!AC3</f>
        <v>44652</v>
      </c>
      <c r="AD3" s="341">
        <f>+CIF!AD3</f>
        <v>44682</v>
      </c>
      <c r="AE3" s="341">
        <f>+CIF!AE3</f>
        <v>44713</v>
      </c>
      <c r="AF3" s="341">
        <f>+CIF!AF3</f>
        <v>44743</v>
      </c>
      <c r="AG3" s="341">
        <f>+CIF!AG3</f>
        <v>44774</v>
      </c>
      <c r="AH3" s="341">
        <f>+CIF!AH3</f>
        <v>44805</v>
      </c>
      <c r="AI3" s="341">
        <f>+CIF!AI3</f>
        <v>44835</v>
      </c>
      <c r="AJ3" s="341">
        <f>+CIF!AJ3</f>
        <v>44866</v>
      </c>
      <c r="AK3" s="341">
        <f>+CIF!AK3</f>
        <v>44896</v>
      </c>
    </row>
    <row r="4" spans="1:37">
      <c r="A4" s="342" t="s">
        <v>72</v>
      </c>
      <c r="B4" s="343">
        <f>SUM($H$17:$H$21)/12</f>
        <v>1352.925</v>
      </c>
      <c r="C4" s="343">
        <f t="shared" ref="C4:M4" si="0">SUM($H$17:$H$21)/12</f>
        <v>1352.925</v>
      </c>
      <c r="D4" s="343">
        <f t="shared" si="0"/>
        <v>1352.925</v>
      </c>
      <c r="E4" s="343">
        <f t="shared" si="0"/>
        <v>1352.925</v>
      </c>
      <c r="F4" s="343">
        <f t="shared" si="0"/>
        <v>1352.925</v>
      </c>
      <c r="G4" s="343">
        <f t="shared" si="0"/>
        <v>1352.925</v>
      </c>
      <c r="H4" s="343">
        <f t="shared" si="0"/>
        <v>1352.925</v>
      </c>
      <c r="I4" s="343">
        <f t="shared" si="0"/>
        <v>1352.925</v>
      </c>
      <c r="J4" s="343">
        <f t="shared" si="0"/>
        <v>1352.925</v>
      </c>
      <c r="K4" s="343">
        <f t="shared" si="0"/>
        <v>1352.925</v>
      </c>
      <c r="L4" s="343">
        <f t="shared" si="0"/>
        <v>1352.925</v>
      </c>
      <c r="M4" s="343">
        <f t="shared" si="0"/>
        <v>1352.925</v>
      </c>
      <c r="N4" s="343">
        <f>($H$17+$H$18+$H$21)/12</f>
        <v>640.42499999999995</v>
      </c>
      <c r="O4" s="343">
        <f t="shared" ref="O4:AK4" si="1">($H$17+$H$18+$H$21)/12</f>
        <v>640.42499999999995</v>
      </c>
      <c r="P4" s="343">
        <f t="shared" si="1"/>
        <v>640.42499999999995</v>
      </c>
      <c r="Q4" s="343">
        <f t="shared" si="1"/>
        <v>640.42499999999995</v>
      </c>
      <c r="R4" s="343">
        <f t="shared" si="1"/>
        <v>640.42499999999995</v>
      </c>
      <c r="S4" s="343">
        <f t="shared" si="1"/>
        <v>640.42499999999995</v>
      </c>
      <c r="T4" s="343">
        <f t="shared" si="1"/>
        <v>640.42499999999995</v>
      </c>
      <c r="U4" s="343">
        <f t="shared" si="1"/>
        <v>640.42499999999995</v>
      </c>
      <c r="V4" s="343">
        <f t="shared" si="1"/>
        <v>640.42499999999995</v>
      </c>
      <c r="W4" s="343">
        <f t="shared" si="1"/>
        <v>640.42499999999995</v>
      </c>
      <c r="X4" s="343">
        <f t="shared" si="1"/>
        <v>640.42499999999995</v>
      </c>
      <c r="Y4" s="343">
        <f t="shared" si="1"/>
        <v>640.42499999999995</v>
      </c>
      <c r="Z4" s="343">
        <f t="shared" si="1"/>
        <v>640.42499999999995</v>
      </c>
      <c r="AA4" s="343">
        <f t="shared" si="1"/>
        <v>640.42499999999995</v>
      </c>
      <c r="AB4" s="343">
        <f t="shared" si="1"/>
        <v>640.42499999999995</v>
      </c>
      <c r="AC4" s="343">
        <f t="shared" si="1"/>
        <v>640.42499999999995</v>
      </c>
      <c r="AD4" s="343">
        <f t="shared" si="1"/>
        <v>640.42499999999995</v>
      </c>
      <c r="AE4" s="343">
        <f t="shared" si="1"/>
        <v>640.42499999999995</v>
      </c>
      <c r="AF4" s="343">
        <f t="shared" si="1"/>
        <v>640.42499999999995</v>
      </c>
      <c r="AG4" s="343">
        <f t="shared" si="1"/>
        <v>640.42499999999995</v>
      </c>
      <c r="AH4" s="343">
        <f t="shared" si="1"/>
        <v>640.42499999999995</v>
      </c>
      <c r="AI4" s="343">
        <f t="shared" si="1"/>
        <v>640.42499999999995</v>
      </c>
      <c r="AJ4" s="343">
        <f t="shared" si="1"/>
        <v>640.42499999999995</v>
      </c>
      <c r="AK4" s="343">
        <f t="shared" si="1"/>
        <v>640.42499999999995</v>
      </c>
    </row>
    <row r="5" spans="1:37" s="346" customFormat="1">
      <c r="A5" s="344" t="s">
        <v>33</v>
      </c>
      <c r="B5" s="345">
        <f>SUM(B4:B4)</f>
        <v>1352.925</v>
      </c>
      <c r="C5" s="345">
        <f>SUM(C4:C4)</f>
        <v>1352.925</v>
      </c>
      <c r="D5" s="345">
        <f>SUM(D4:D4)</f>
        <v>1352.925</v>
      </c>
      <c r="E5" s="345">
        <f>SUM(E4:E4)</f>
        <v>1352.925</v>
      </c>
      <c r="F5" s="345">
        <f>SUM(F4:F4)</f>
        <v>1352.925</v>
      </c>
      <c r="G5" s="345">
        <f>SUM(G4:G4)</f>
        <v>1352.925</v>
      </c>
      <c r="H5" s="345">
        <f>SUM(H4:H4)</f>
        <v>1352.925</v>
      </c>
      <c r="I5" s="345">
        <f>SUM(I4:I4)</f>
        <v>1352.925</v>
      </c>
      <c r="J5" s="345">
        <f>SUM(J4:J4)</f>
        <v>1352.925</v>
      </c>
      <c r="K5" s="345">
        <f>SUM(K4:K4)</f>
        <v>1352.925</v>
      </c>
      <c r="L5" s="345">
        <f>SUM(L4:L4)</f>
        <v>1352.925</v>
      </c>
      <c r="M5" s="345">
        <f>SUM(M4:M4)</f>
        <v>1352.925</v>
      </c>
      <c r="N5" s="345">
        <f>SUM(N4:N4)</f>
        <v>640.42499999999995</v>
      </c>
      <c r="O5" s="345">
        <f>SUM(O4:O4)</f>
        <v>640.42499999999995</v>
      </c>
      <c r="P5" s="345">
        <f>SUM(P4:P4)</f>
        <v>640.42499999999995</v>
      </c>
      <c r="Q5" s="345">
        <f>SUM(Q4:Q4)</f>
        <v>640.42499999999995</v>
      </c>
      <c r="R5" s="345">
        <f>SUM(R4:R4)</f>
        <v>640.42499999999995</v>
      </c>
      <c r="S5" s="345">
        <f>SUM(S4:S4)</f>
        <v>640.42499999999995</v>
      </c>
      <c r="T5" s="345">
        <f>SUM(T4:T4)</f>
        <v>640.42499999999995</v>
      </c>
      <c r="U5" s="345">
        <f>SUM(U4:U4)</f>
        <v>640.42499999999995</v>
      </c>
      <c r="V5" s="345">
        <f>SUM(V4:V4)</f>
        <v>640.42499999999995</v>
      </c>
      <c r="W5" s="345">
        <f>SUM(W4:W4)</f>
        <v>640.42499999999995</v>
      </c>
      <c r="X5" s="345">
        <f>SUM(X4:X4)</f>
        <v>640.42499999999995</v>
      </c>
      <c r="Y5" s="345">
        <f>SUM(Y4:Y4)</f>
        <v>640.42499999999995</v>
      </c>
      <c r="Z5" s="345">
        <f>SUM(Z4:Z4)</f>
        <v>640.42499999999995</v>
      </c>
      <c r="AA5" s="345">
        <f>SUM(AA4:AA4)</f>
        <v>640.42499999999995</v>
      </c>
      <c r="AB5" s="345">
        <f>SUM(AB4:AB4)</f>
        <v>640.42499999999995</v>
      </c>
      <c r="AC5" s="345">
        <f>SUM(AC4:AC4)</f>
        <v>640.42499999999995</v>
      </c>
      <c r="AD5" s="345">
        <f>SUM(AD4:AD4)</f>
        <v>640.42499999999995</v>
      </c>
      <c r="AE5" s="345">
        <f>SUM(AE4:AE4)</f>
        <v>640.42499999999995</v>
      </c>
      <c r="AF5" s="345">
        <f>SUM(AF4:AF4)</f>
        <v>640.42499999999995</v>
      </c>
      <c r="AG5" s="345">
        <f>SUM(AG4:AG4)</f>
        <v>640.42499999999995</v>
      </c>
      <c r="AH5" s="345">
        <f>SUM(AH4:AH4)</f>
        <v>640.42499999999995</v>
      </c>
      <c r="AI5" s="345">
        <f>SUM(AI4:AI4)</f>
        <v>640.42499999999995</v>
      </c>
      <c r="AJ5" s="345">
        <f>SUM(AJ4:AJ4)</f>
        <v>640.42499999999995</v>
      </c>
      <c r="AK5" s="345">
        <f>SUM(AK4:AK4)</f>
        <v>640.42499999999995</v>
      </c>
    </row>
    <row r="7" spans="1:37">
      <c r="A7" s="364" t="s">
        <v>53</v>
      </c>
      <c r="B7" s="340">
        <v>1</v>
      </c>
      <c r="C7" s="340"/>
      <c r="D7" s="340"/>
      <c r="E7" s="340"/>
      <c r="F7" s="340"/>
      <c r="G7" s="340"/>
      <c r="H7" s="340"/>
      <c r="I7" s="340"/>
      <c r="J7" s="340"/>
      <c r="K7" s="340"/>
      <c r="L7" s="340"/>
      <c r="M7" s="340"/>
      <c r="N7" s="340">
        <v>2</v>
      </c>
      <c r="O7" s="340"/>
      <c r="P7" s="340"/>
      <c r="Q7" s="340"/>
      <c r="R7" s="340"/>
      <c r="S7" s="340"/>
      <c r="T7" s="340"/>
      <c r="U7" s="340"/>
      <c r="V7" s="340"/>
      <c r="W7" s="340"/>
      <c r="X7" s="340"/>
      <c r="Y7" s="340"/>
      <c r="Z7" s="340">
        <v>3</v>
      </c>
      <c r="AA7" s="340"/>
      <c r="AB7" s="340"/>
      <c r="AC7" s="340"/>
      <c r="AD7" s="340"/>
      <c r="AE7" s="340"/>
      <c r="AF7" s="340"/>
      <c r="AG7" s="340"/>
      <c r="AH7" s="340"/>
      <c r="AI7" s="340"/>
      <c r="AJ7" s="340"/>
      <c r="AK7" s="340"/>
    </row>
    <row r="8" spans="1:37">
      <c r="A8" s="364" t="s">
        <v>115</v>
      </c>
      <c r="B8" s="347">
        <f>+B3</f>
        <v>43831</v>
      </c>
      <c r="C8" s="347">
        <f>+C3</f>
        <v>43862</v>
      </c>
      <c r="D8" s="347">
        <f>+D3</f>
        <v>43891</v>
      </c>
      <c r="E8" s="347">
        <f>+E3</f>
        <v>43922</v>
      </c>
      <c r="F8" s="347">
        <f>+F3</f>
        <v>43952</v>
      </c>
      <c r="G8" s="347">
        <f>+G3</f>
        <v>43983</v>
      </c>
      <c r="H8" s="347">
        <f>+H3</f>
        <v>44013</v>
      </c>
      <c r="I8" s="347">
        <f>+I3</f>
        <v>44044</v>
      </c>
      <c r="J8" s="347">
        <f>+J3</f>
        <v>44075</v>
      </c>
      <c r="K8" s="347">
        <f>+K3</f>
        <v>44105</v>
      </c>
      <c r="L8" s="347">
        <f>+L3</f>
        <v>44136</v>
      </c>
      <c r="M8" s="347">
        <f>+M3</f>
        <v>44166</v>
      </c>
      <c r="N8" s="347">
        <f>+N3</f>
        <v>44197</v>
      </c>
      <c r="O8" s="347">
        <f>+O3</f>
        <v>44228</v>
      </c>
      <c r="P8" s="347">
        <f>+P3</f>
        <v>44256</v>
      </c>
      <c r="Q8" s="347">
        <f>+Q3</f>
        <v>44287</v>
      </c>
      <c r="R8" s="347">
        <f>+R3</f>
        <v>44317</v>
      </c>
      <c r="S8" s="347">
        <f>+S3</f>
        <v>44348</v>
      </c>
      <c r="T8" s="347">
        <f>+T3</f>
        <v>44378</v>
      </c>
      <c r="U8" s="347">
        <f>+U3</f>
        <v>44409</v>
      </c>
      <c r="V8" s="347">
        <f>+V3</f>
        <v>44440</v>
      </c>
      <c r="W8" s="347">
        <f>+W3</f>
        <v>44470</v>
      </c>
      <c r="X8" s="347">
        <f>+X3</f>
        <v>44501</v>
      </c>
      <c r="Y8" s="347">
        <f>+Y3</f>
        <v>44531</v>
      </c>
      <c r="Z8" s="347">
        <f>+Z3</f>
        <v>44562</v>
      </c>
      <c r="AA8" s="347">
        <f>+AA3</f>
        <v>44593</v>
      </c>
      <c r="AB8" s="347">
        <f>+AB3</f>
        <v>44621</v>
      </c>
      <c r="AC8" s="347">
        <f>+AC3</f>
        <v>44652</v>
      </c>
      <c r="AD8" s="347">
        <f>+AD3</f>
        <v>44682</v>
      </c>
      <c r="AE8" s="347">
        <f>+AE3</f>
        <v>44713</v>
      </c>
      <c r="AF8" s="347">
        <f>+AF3</f>
        <v>44743</v>
      </c>
      <c r="AG8" s="347">
        <f>+AG3</f>
        <v>44774</v>
      </c>
      <c r="AH8" s="347">
        <f>+AH3</f>
        <v>44805</v>
      </c>
      <c r="AI8" s="347">
        <f>+AI3</f>
        <v>44835</v>
      </c>
      <c r="AJ8" s="347">
        <f>+AJ3</f>
        <v>44866</v>
      </c>
      <c r="AK8" s="347">
        <f>+AK3</f>
        <v>44896</v>
      </c>
    </row>
    <row r="9" spans="1:37">
      <c r="A9" s="342" t="s">
        <v>72</v>
      </c>
      <c r="B9" s="348">
        <f>+Ingresos!B12</f>
        <v>5</v>
      </c>
      <c r="C9" s="348">
        <f>+Ingresos!C12</f>
        <v>20</v>
      </c>
      <c r="D9" s="348">
        <f>+Ingresos!D12</f>
        <v>40</v>
      </c>
      <c r="E9" s="348">
        <f>+Ingresos!E12</f>
        <v>60</v>
      </c>
      <c r="F9" s="348">
        <f>+Ingresos!F12</f>
        <v>80</v>
      </c>
      <c r="G9" s="348">
        <f>+Ingresos!G12</f>
        <v>100</v>
      </c>
      <c r="H9" s="348">
        <f>+Ingresos!H12</f>
        <v>120</v>
      </c>
      <c r="I9" s="348">
        <f>+Ingresos!I12</f>
        <v>140</v>
      </c>
      <c r="J9" s="348">
        <f>+Ingresos!J12</f>
        <v>160</v>
      </c>
      <c r="K9" s="348">
        <f>+Ingresos!K12</f>
        <v>180</v>
      </c>
      <c r="L9" s="348">
        <f>+Ingresos!L12</f>
        <v>200</v>
      </c>
      <c r="M9" s="348">
        <f>+Ingresos!M12</f>
        <v>220</v>
      </c>
      <c r="N9" s="348">
        <f>+Ingresos!N12</f>
        <v>240</v>
      </c>
      <c r="O9" s="348">
        <f>+Ingresos!O12</f>
        <v>260</v>
      </c>
      <c r="P9" s="348">
        <f>+Ingresos!P12</f>
        <v>280</v>
      </c>
      <c r="Q9" s="348">
        <f>+Ingresos!Q12</f>
        <v>300</v>
      </c>
      <c r="R9" s="348">
        <f>+Ingresos!R12</f>
        <v>320</v>
      </c>
      <c r="S9" s="348">
        <f>+Ingresos!S12</f>
        <v>340</v>
      </c>
      <c r="T9" s="348">
        <f>+Ingresos!T12</f>
        <v>360</v>
      </c>
      <c r="U9" s="348">
        <f>+Ingresos!U12</f>
        <v>380</v>
      </c>
      <c r="V9" s="348">
        <f>+Ingresos!V12</f>
        <v>400</v>
      </c>
      <c r="W9" s="348">
        <f>+Ingresos!W12</f>
        <v>420</v>
      </c>
      <c r="X9" s="348">
        <f>+Ingresos!X12</f>
        <v>440</v>
      </c>
      <c r="Y9" s="348">
        <f>+Ingresos!Y12</f>
        <v>460</v>
      </c>
      <c r="Z9" s="348">
        <f>+Ingresos!Z12</f>
        <v>480</v>
      </c>
      <c r="AA9" s="348">
        <f>+Ingresos!AA12</f>
        <v>500</v>
      </c>
      <c r="AB9" s="348">
        <f>+Ingresos!AB12</f>
        <v>520</v>
      </c>
      <c r="AC9" s="348">
        <f>+Ingresos!AC12</f>
        <v>540</v>
      </c>
      <c r="AD9" s="348">
        <f>+Ingresos!AD12</f>
        <v>560</v>
      </c>
      <c r="AE9" s="348">
        <f>+Ingresos!AE12</f>
        <v>580</v>
      </c>
      <c r="AF9" s="348">
        <f>+Ingresos!AF12</f>
        <v>600</v>
      </c>
      <c r="AG9" s="348">
        <f>+Ingresos!AG12</f>
        <v>620</v>
      </c>
      <c r="AH9" s="348">
        <f>+Ingresos!AH12</f>
        <v>640</v>
      </c>
      <c r="AI9" s="348">
        <f>+Ingresos!AI12</f>
        <v>660</v>
      </c>
      <c r="AJ9" s="348">
        <f>+Ingresos!AJ12</f>
        <v>680</v>
      </c>
      <c r="AK9" s="348">
        <f>+Ingresos!AK12</f>
        <v>700</v>
      </c>
    </row>
    <row r="10" spans="1:37">
      <c r="A10" s="344" t="s">
        <v>33</v>
      </c>
      <c r="B10" s="344">
        <f>B5/B9</f>
        <v>270.58499999999998</v>
      </c>
      <c r="C10" s="344">
        <f t="shared" ref="C10:AK10" si="2">C5/C9</f>
        <v>67.646249999999995</v>
      </c>
      <c r="D10" s="344">
        <f t="shared" si="2"/>
        <v>33.823124999999997</v>
      </c>
      <c r="E10" s="344">
        <f t="shared" si="2"/>
        <v>22.548749999999998</v>
      </c>
      <c r="F10" s="344">
        <f t="shared" si="2"/>
        <v>16.911562499999999</v>
      </c>
      <c r="G10" s="344">
        <f t="shared" si="2"/>
        <v>13.529249999999999</v>
      </c>
      <c r="H10" s="344">
        <f t="shared" si="2"/>
        <v>11.274374999999999</v>
      </c>
      <c r="I10" s="344">
        <f t="shared" si="2"/>
        <v>9.6637500000000003</v>
      </c>
      <c r="J10" s="344">
        <f t="shared" si="2"/>
        <v>8.4557812499999994</v>
      </c>
      <c r="K10" s="344">
        <f t="shared" si="2"/>
        <v>7.5162499999999994</v>
      </c>
      <c r="L10" s="344">
        <f t="shared" si="2"/>
        <v>6.7646249999999997</v>
      </c>
      <c r="M10" s="344">
        <f t="shared" si="2"/>
        <v>6.1496590909090907</v>
      </c>
      <c r="N10" s="344">
        <f t="shared" si="2"/>
        <v>2.6684375</v>
      </c>
      <c r="O10" s="344">
        <f t="shared" si="2"/>
        <v>2.4631730769230766</v>
      </c>
      <c r="P10" s="344">
        <f t="shared" si="2"/>
        <v>2.2872321428571425</v>
      </c>
      <c r="Q10" s="344">
        <f t="shared" si="2"/>
        <v>2.1347499999999999</v>
      </c>
      <c r="R10" s="344">
        <f t="shared" si="2"/>
        <v>2.0013281249999997</v>
      </c>
      <c r="S10" s="344">
        <f t="shared" si="2"/>
        <v>1.8836029411764705</v>
      </c>
      <c r="T10" s="344">
        <f t="shared" si="2"/>
        <v>1.7789583333333332</v>
      </c>
      <c r="U10" s="344">
        <f t="shared" si="2"/>
        <v>1.685328947368421</v>
      </c>
      <c r="V10" s="344">
        <f t="shared" si="2"/>
        <v>1.6010624999999998</v>
      </c>
      <c r="W10" s="344">
        <f t="shared" si="2"/>
        <v>1.5248214285714285</v>
      </c>
      <c r="X10" s="344">
        <f t="shared" si="2"/>
        <v>1.4555113636363635</v>
      </c>
      <c r="Y10" s="344">
        <f t="shared" si="2"/>
        <v>1.3922282608695651</v>
      </c>
      <c r="Z10" s="344">
        <f t="shared" si="2"/>
        <v>1.33421875</v>
      </c>
      <c r="AA10" s="344">
        <f t="shared" si="2"/>
        <v>1.2808499999999998</v>
      </c>
      <c r="AB10" s="344">
        <f t="shared" si="2"/>
        <v>1.2315865384615383</v>
      </c>
      <c r="AC10" s="344">
        <f t="shared" si="2"/>
        <v>1.1859722222222222</v>
      </c>
      <c r="AD10" s="344">
        <f t="shared" si="2"/>
        <v>1.1436160714285712</v>
      </c>
      <c r="AE10" s="344">
        <f t="shared" si="2"/>
        <v>1.1041810344827585</v>
      </c>
      <c r="AF10" s="344">
        <f t="shared" si="2"/>
        <v>1.067375</v>
      </c>
      <c r="AG10" s="344">
        <f t="shared" si="2"/>
        <v>1.0329435483870968</v>
      </c>
      <c r="AH10" s="344">
        <f t="shared" si="2"/>
        <v>1.0006640624999998</v>
      </c>
      <c r="AI10" s="344">
        <f t="shared" si="2"/>
        <v>0.97034090909090898</v>
      </c>
      <c r="AJ10" s="344">
        <f t="shared" si="2"/>
        <v>0.94180147058823527</v>
      </c>
      <c r="AK10" s="344">
        <f t="shared" si="2"/>
        <v>0.91489285714285706</v>
      </c>
    </row>
    <row r="11" spans="1:37">
      <c r="A11" s="349"/>
      <c r="B11" s="349"/>
      <c r="C11" s="349"/>
      <c r="D11" s="349"/>
      <c r="E11" s="349"/>
      <c r="F11" s="349"/>
      <c r="G11" s="349"/>
      <c r="H11" s="349"/>
      <c r="I11" s="349"/>
      <c r="J11" s="349"/>
      <c r="K11" s="349"/>
      <c r="L11" s="349"/>
      <c r="M11" s="349"/>
      <c r="N11" s="349"/>
      <c r="O11" s="349"/>
      <c r="P11" s="349"/>
      <c r="Q11" s="349"/>
      <c r="R11" s="349"/>
      <c r="S11" s="349"/>
      <c r="T11" s="349"/>
      <c r="U11" s="349"/>
      <c r="V11" s="349"/>
      <c r="W11" s="349"/>
      <c r="X11" s="349"/>
      <c r="Y11" s="349"/>
      <c r="Z11" s="349"/>
      <c r="AA11" s="349"/>
      <c r="AB11" s="349"/>
      <c r="AC11" s="349"/>
      <c r="AD11" s="349"/>
      <c r="AE11" s="349"/>
      <c r="AF11" s="349"/>
      <c r="AG11" s="349"/>
      <c r="AH11" s="349"/>
      <c r="AI11" s="349"/>
      <c r="AJ11" s="349"/>
      <c r="AK11" s="349"/>
    </row>
    <row r="12" spans="1:37" s="349" customFormat="1">
      <c r="D12" s="351"/>
    </row>
    <row r="13" spans="1:37" s="349" customFormat="1"/>
    <row r="14" spans="1:37" s="349" customFormat="1"/>
    <row r="15" spans="1:37" ht="13.5" thickBot="1"/>
    <row r="16" spans="1:37" s="350" customFormat="1">
      <c r="B16" s="352" t="s">
        <v>5</v>
      </c>
      <c r="C16" s="353"/>
      <c r="D16" s="353"/>
      <c r="E16" s="354" t="s">
        <v>101</v>
      </c>
      <c r="F16" s="355" t="s">
        <v>102</v>
      </c>
      <c r="G16" s="356" t="s">
        <v>29</v>
      </c>
      <c r="H16" s="357" t="s">
        <v>92</v>
      </c>
      <c r="I16" s="338"/>
      <c r="K16" s="338"/>
      <c r="L16" s="338"/>
    </row>
    <row r="17" spans="2:10">
      <c r="B17" s="358" t="s">
        <v>109</v>
      </c>
      <c r="C17" s="359"/>
      <c r="D17" s="359"/>
      <c r="E17" s="332">
        <v>2371.6999999999998</v>
      </c>
      <c r="F17" s="330" t="s">
        <v>110</v>
      </c>
      <c r="G17" s="333">
        <v>3</v>
      </c>
      <c r="H17" s="334">
        <f>+G17*$E17</f>
        <v>7115.0999999999995</v>
      </c>
    </row>
    <row r="18" spans="2:10">
      <c r="B18" s="358" t="s">
        <v>111</v>
      </c>
      <c r="C18" s="359"/>
      <c r="D18" s="359"/>
      <c r="E18" s="332">
        <v>70</v>
      </c>
      <c r="F18" s="330" t="s">
        <v>110</v>
      </c>
      <c r="G18" s="333">
        <v>3</v>
      </c>
      <c r="H18" s="334">
        <f>+G18*$E18</f>
        <v>210</v>
      </c>
    </row>
    <row r="19" spans="2:10">
      <c r="B19" s="358" t="s">
        <v>112</v>
      </c>
      <c r="C19" s="359"/>
      <c r="D19" s="359"/>
      <c r="E19" s="332">
        <v>2500</v>
      </c>
      <c r="F19" s="330" t="s">
        <v>110</v>
      </c>
      <c r="G19" s="333">
        <v>3</v>
      </c>
      <c r="H19" s="334">
        <f>+G19*$E19</f>
        <v>7500</v>
      </c>
      <c r="J19" s="365"/>
    </row>
    <row r="20" spans="2:10">
      <c r="B20" s="358" t="s">
        <v>113</v>
      </c>
      <c r="C20" s="359"/>
      <c r="D20" s="359"/>
      <c r="E20" s="332">
        <v>350</v>
      </c>
      <c r="F20" s="330" t="s">
        <v>110</v>
      </c>
      <c r="G20" s="333">
        <v>3</v>
      </c>
      <c r="H20" s="334">
        <f>+G20*$E20</f>
        <v>1050</v>
      </c>
      <c r="J20" s="365"/>
    </row>
    <row r="21" spans="2:10" ht="13.5" thickBot="1">
      <c r="B21" s="360" t="s">
        <v>114</v>
      </c>
      <c r="C21" s="361"/>
      <c r="D21" s="361"/>
      <c r="E21" s="335">
        <v>120</v>
      </c>
      <c r="F21" s="331" t="s">
        <v>110</v>
      </c>
      <c r="G21" s="336">
        <v>3</v>
      </c>
      <c r="H21" s="337">
        <f>+G21*$E21</f>
        <v>360</v>
      </c>
    </row>
    <row r="22" spans="2:10">
      <c r="B22" s="362"/>
      <c r="C22" s="362"/>
      <c r="D22" s="362" t="s">
        <v>62</v>
      </c>
      <c r="E22" s="362"/>
      <c r="F22" s="362"/>
      <c r="G22" s="362"/>
      <c r="H22" s="363">
        <f>SUM(H17:H21)</f>
        <v>16235.099999999999</v>
      </c>
    </row>
  </sheetData>
  <mergeCells count="12">
    <mergeCell ref="B7:M7"/>
    <mergeCell ref="B18:D18"/>
    <mergeCell ref="B19:D19"/>
    <mergeCell ref="B2:M2"/>
    <mergeCell ref="N2:Y2"/>
    <mergeCell ref="B20:D20"/>
    <mergeCell ref="B21:D21"/>
    <mergeCell ref="Z2:AK2"/>
    <mergeCell ref="B16:D16"/>
    <mergeCell ref="B17:D17"/>
    <mergeCell ref="N7:Y7"/>
    <mergeCell ref="Z7:AK7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Q93"/>
  <sheetViews>
    <sheetView tabSelected="1" topLeftCell="A2" zoomScale="40" zoomScaleNormal="40" workbookViewId="0">
      <selection activeCell="AO40" sqref="C2:AO40"/>
    </sheetView>
  </sheetViews>
  <sheetFormatPr baseColWidth="10" defaultColWidth="14.42578125" defaultRowHeight="15"/>
  <cols>
    <col min="1" max="1" width="10.28515625" style="211" customWidth="1"/>
    <col min="2" max="2" width="8.28515625" style="211" customWidth="1"/>
    <col min="3" max="3" width="25.7109375" style="306" customWidth="1"/>
    <col min="4" max="4" width="16.42578125" style="306" customWidth="1"/>
    <col min="5" max="5" width="10.42578125" style="215" customWidth="1"/>
    <col min="6" max="6" width="14.5703125" style="215" customWidth="1"/>
    <col min="7" max="7" width="13.42578125" style="215" bestFit="1" customWidth="1"/>
    <col min="8" max="17" width="12.7109375" style="215" customWidth="1"/>
    <col min="18" max="19" width="12.7109375" style="211" customWidth="1"/>
    <col min="20" max="20" width="13.42578125" style="211" customWidth="1"/>
    <col min="21" max="21" width="13.42578125" style="211" bestFit="1" customWidth="1"/>
    <col min="22" max="41" width="12.7109375" style="211" customWidth="1"/>
    <col min="42" max="42" width="14.42578125" style="211"/>
    <col min="43" max="43" width="16" style="211" bestFit="1" customWidth="1"/>
    <col min="44" max="16384" width="14.42578125" style="211"/>
  </cols>
  <sheetData>
    <row r="1" spans="2:43" ht="15.75" hidden="1">
      <c r="C1" s="212"/>
      <c r="D1" s="213"/>
      <c r="E1" s="214"/>
      <c r="F1" s="214"/>
    </row>
    <row r="2" spans="2:43">
      <c r="C2" s="216" t="s">
        <v>45</v>
      </c>
      <c r="D2" s="217">
        <v>3.403</v>
      </c>
      <c r="E2" s="218"/>
      <c r="F2" s="218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</row>
    <row r="3" spans="2:43">
      <c r="C3" s="221" t="s">
        <v>30</v>
      </c>
      <c r="D3" s="216">
        <v>36</v>
      </c>
      <c r="E3" s="218"/>
      <c r="F3" s="222"/>
      <c r="G3" s="223"/>
      <c r="H3" s="223"/>
      <c r="I3" s="223"/>
      <c r="J3" s="219"/>
      <c r="K3" s="219"/>
      <c r="L3" s="219"/>
      <c r="M3" s="219"/>
      <c r="N3" s="219"/>
      <c r="O3" s="219"/>
      <c r="P3" s="219"/>
      <c r="Q3" s="219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</row>
    <row r="4" spans="2:43">
      <c r="C4" s="221"/>
      <c r="D4" s="216"/>
      <c r="E4" s="218"/>
      <c r="F4" s="151"/>
      <c r="G4" s="151"/>
      <c r="H4" s="151"/>
      <c r="I4" s="151"/>
      <c r="J4" s="151"/>
      <c r="K4" s="151"/>
      <c r="L4" s="152"/>
      <c r="M4" s="151"/>
      <c r="N4" s="151"/>
      <c r="O4" s="151"/>
      <c r="P4" s="151"/>
      <c r="Q4" s="151"/>
      <c r="R4" s="152"/>
      <c r="S4" s="151"/>
      <c r="T4" s="151"/>
      <c r="U4" s="151"/>
      <c r="V4" s="151"/>
      <c r="W4" s="151"/>
      <c r="X4" s="152"/>
      <c r="Y4" s="151"/>
      <c r="Z4" s="151"/>
      <c r="AA4" s="151"/>
      <c r="AB4" s="151"/>
      <c r="AC4" s="151"/>
      <c r="AD4" s="152"/>
      <c r="AE4" s="151"/>
      <c r="AF4" s="151"/>
      <c r="AG4" s="151"/>
      <c r="AH4" s="151"/>
      <c r="AI4" s="151"/>
      <c r="AJ4" s="152"/>
      <c r="AK4" s="151"/>
      <c r="AL4" s="151"/>
      <c r="AM4" s="151"/>
      <c r="AN4" s="151"/>
      <c r="AO4" s="151"/>
    </row>
    <row r="5" spans="2:43" s="224" customFormat="1">
      <c r="C5" s="216"/>
      <c r="D5" s="225" t="s">
        <v>6</v>
      </c>
      <c r="E5" s="225">
        <v>0</v>
      </c>
      <c r="F5" s="225">
        <v>1</v>
      </c>
      <c r="G5" s="225">
        <f t="shared" ref="G5:AO5" si="0">+F5+1</f>
        <v>2</v>
      </c>
      <c r="H5" s="225">
        <f t="shared" si="0"/>
        <v>3</v>
      </c>
      <c r="I5" s="225">
        <f t="shared" si="0"/>
        <v>4</v>
      </c>
      <c r="J5" s="225">
        <f t="shared" si="0"/>
        <v>5</v>
      </c>
      <c r="K5" s="225">
        <f t="shared" si="0"/>
        <v>6</v>
      </c>
      <c r="L5" s="225">
        <f t="shared" si="0"/>
        <v>7</v>
      </c>
      <c r="M5" s="225">
        <f t="shared" si="0"/>
        <v>8</v>
      </c>
      <c r="N5" s="225">
        <f t="shared" si="0"/>
        <v>9</v>
      </c>
      <c r="O5" s="225">
        <f t="shared" si="0"/>
        <v>10</v>
      </c>
      <c r="P5" s="225">
        <f t="shared" si="0"/>
        <v>11</v>
      </c>
      <c r="Q5" s="225">
        <f t="shared" si="0"/>
        <v>12</v>
      </c>
      <c r="R5" s="225">
        <f t="shared" si="0"/>
        <v>13</v>
      </c>
      <c r="S5" s="225">
        <f t="shared" si="0"/>
        <v>14</v>
      </c>
      <c r="T5" s="225">
        <f t="shared" si="0"/>
        <v>15</v>
      </c>
      <c r="U5" s="225">
        <f t="shared" si="0"/>
        <v>16</v>
      </c>
      <c r="V5" s="225">
        <f t="shared" si="0"/>
        <v>17</v>
      </c>
      <c r="W5" s="225">
        <f t="shared" si="0"/>
        <v>18</v>
      </c>
      <c r="X5" s="225">
        <f t="shared" si="0"/>
        <v>19</v>
      </c>
      <c r="Y5" s="225">
        <f t="shared" si="0"/>
        <v>20</v>
      </c>
      <c r="Z5" s="225">
        <f t="shared" si="0"/>
        <v>21</v>
      </c>
      <c r="AA5" s="225">
        <f t="shared" si="0"/>
        <v>22</v>
      </c>
      <c r="AB5" s="225">
        <f t="shared" si="0"/>
        <v>23</v>
      </c>
      <c r="AC5" s="225">
        <f t="shared" si="0"/>
        <v>24</v>
      </c>
      <c r="AD5" s="225">
        <f t="shared" si="0"/>
        <v>25</v>
      </c>
      <c r="AE5" s="225">
        <f t="shared" si="0"/>
        <v>26</v>
      </c>
      <c r="AF5" s="225">
        <f t="shared" si="0"/>
        <v>27</v>
      </c>
      <c r="AG5" s="225">
        <f t="shared" si="0"/>
        <v>28</v>
      </c>
      <c r="AH5" s="225">
        <f t="shared" si="0"/>
        <v>29</v>
      </c>
      <c r="AI5" s="225">
        <f t="shared" si="0"/>
        <v>30</v>
      </c>
      <c r="AJ5" s="225">
        <f t="shared" si="0"/>
        <v>31</v>
      </c>
      <c r="AK5" s="225">
        <f t="shared" si="0"/>
        <v>32</v>
      </c>
      <c r="AL5" s="225">
        <f t="shared" si="0"/>
        <v>33</v>
      </c>
      <c r="AM5" s="225">
        <f t="shared" si="0"/>
        <v>34</v>
      </c>
      <c r="AN5" s="225">
        <f t="shared" si="0"/>
        <v>35</v>
      </c>
      <c r="AO5" s="225">
        <f t="shared" si="0"/>
        <v>36</v>
      </c>
    </row>
    <row r="6" spans="2:43">
      <c r="C6" s="226" t="s">
        <v>7</v>
      </c>
      <c r="D6" s="227"/>
      <c r="E6" s="228">
        <v>0</v>
      </c>
      <c r="F6" s="229">
        <f>SUM(F8:F8)</f>
        <v>497.47499999999997</v>
      </c>
      <c r="G6" s="229">
        <f t="shared" ref="G6:AO6" si="1">SUM(G8:G8)</f>
        <v>1989.8999999999999</v>
      </c>
      <c r="H6" s="229">
        <f t="shared" si="1"/>
        <v>3979.7999999999997</v>
      </c>
      <c r="I6" s="229">
        <f t="shared" si="1"/>
        <v>5969.7</v>
      </c>
      <c r="J6" s="229">
        <f t="shared" si="1"/>
        <v>7959.5999999999995</v>
      </c>
      <c r="K6" s="229">
        <f t="shared" si="1"/>
        <v>9949.4999999999982</v>
      </c>
      <c r="L6" s="229">
        <f t="shared" si="1"/>
        <v>11939.4</v>
      </c>
      <c r="M6" s="229">
        <f t="shared" si="1"/>
        <v>13929.3</v>
      </c>
      <c r="N6" s="229">
        <f t="shared" si="1"/>
        <v>15919.199999999999</v>
      </c>
      <c r="O6" s="229">
        <f t="shared" si="1"/>
        <v>17909.099999999999</v>
      </c>
      <c r="P6" s="229">
        <f t="shared" si="1"/>
        <v>19898.999999999996</v>
      </c>
      <c r="Q6" s="229">
        <f t="shared" si="1"/>
        <v>21888.899999999998</v>
      </c>
      <c r="R6" s="229">
        <f t="shared" si="1"/>
        <v>23878.799999999999</v>
      </c>
      <c r="S6" s="229">
        <f t="shared" si="1"/>
        <v>25868.699999999997</v>
      </c>
      <c r="T6" s="229">
        <f t="shared" si="1"/>
        <v>27858.6</v>
      </c>
      <c r="U6" s="229">
        <f t="shared" si="1"/>
        <v>29848.499999999996</v>
      </c>
      <c r="V6" s="229">
        <f t="shared" si="1"/>
        <v>31838.399999999998</v>
      </c>
      <c r="W6" s="229">
        <f t="shared" si="1"/>
        <v>33828.299999999996</v>
      </c>
      <c r="X6" s="229">
        <f t="shared" si="1"/>
        <v>35818.199999999997</v>
      </c>
      <c r="Y6" s="229">
        <f t="shared" si="1"/>
        <v>37808.1</v>
      </c>
      <c r="Z6" s="229">
        <f t="shared" si="1"/>
        <v>39797.999999999993</v>
      </c>
      <c r="AA6" s="229">
        <f t="shared" si="1"/>
        <v>41787.899999999994</v>
      </c>
      <c r="AB6" s="229">
        <f t="shared" si="1"/>
        <v>43777.799999999996</v>
      </c>
      <c r="AC6" s="229">
        <f t="shared" si="1"/>
        <v>45767.7</v>
      </c>
      <c r="AD6" s="229">
        <f t="shared" si="1"/>
        <v>47757.599999999999</v>
      </c>
      <c r="AE6" s="229">
        <f t="shared" si="1"/>
        <v>49747.499999999993</v>
      </c>
      <c r="AF6" s="229">
        <f t="shared" si="1"/>
        <v>51737.399999999994</v>
      </c>
      <c r="AG6" s="229">
        <f t="shared" si="1"/>
        <v>53727.299999999996</v>
      </c>
      <c r="AH6" s="229">
        <f t="shared" si="1"/>
        <v>55717.2</v>
      </c>
      <c r="AI6" s="229">
        <f t="shared" si="1"/>
        <v>57707.099999999991</v>
      </c>
      <c r="AJ6" s="229">
        <f t="shared" si="1"/>
        <v>59696.999999999993</v>
      </c>
      <c r="AK6" s="229">
        <f t="shared" si="1"/>
        <v>61686.899999999994</v>
      </c>
      <c r="AL6" s="229">
        <f t="shared" si="1"/>
        <v>63676.799999999996</v>
      </c>
      <c r="AM6" s="229">
        <f t="shared" si="1"/>
        <v>65666.7</v>
      </c>
      <c r="AN6" s="229">
        <f t="shared" si="1"/>
        <v>67656.599999999991</v>
      </c>
      <c r="AO6" s="229">
        <f t="shared" si="1"/>
        <v>69646.5</v>
      </c>
    </row>
    <row r="7" spans="2:43" ht="15.75">
      <c r="B7" s="230"/>
      <c r="C7" s="217"/>
      <c r="D7" s="221"/>
      <c r="E7" s="231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</row>
    <row r="8" spans="2:43">
      <c r="C8" s="308" t="s">
        <v>46</v>
      </c>
      <c r="D8" s="308"/>
      <c r="E8" s="310"/>
      <c r="F8" s="310">
        <f>+Ingresos!B5</f>
        <v>497.47499999999997</v>
      </c>
      <c r="G8" s="310">
        <f>+Ingresos!C5</f>
        <v>1989.8999999999999</v>
      </c>
      <c r="H8" s="310">
        <f>+Ingresos!D5</f>
        <v>3979.7999999999997</v>
      </c>
      <c r="I8" s="310">
        <f>+Ingresos!E5</f>
        <v>5969.7</v>
      </c>
      <c r="J8" s="310">
        <f>+Ingresos!F5</f>
        <v>7959.5999999999995</v>
      </c>
      <c r="K8" s="310">
        <f>+Ingresos!G5</f>
        <v>9949.4999999999982</v>
      </c>
      <c r="L8" s="310">
        <f>+Ingresos!H5</f>
        <v>11939.4</v>
      </c>
      <c r="M8" s="310">
        <f>+Ingresos!I5</f>
        <v>13929.3</v>
      </c>
      <c r="N8" s="310">
        <f>+Ingresos!J5</f>
        <v>15919.199999999999</v>
      </c>
      <c r="O8" s="310">
        <f>+Ingresos!K5</f>
        <v>17909.099999999999</v>
      </c>
      <c r="P8" s="310">
        <f>+Ingresos!L5</f>
        <v>19898.999999999996</v>
      </c>
      <c r="Q8" s="310">
        <f>+Ingresos!M5</f>
        <v>21888.899999999998</v>
      </c>
      <c r="R8" s="310">
        <f>+Ingresos!N5</f>
        <v>23878.799999999999</v>
      </c>
      <c r="S8" s="310">
        <f>+Ingresos!O5</f>
        <v>25868.699999999997</v>
      </c>
      <c r="T8" s="310">
        <f>+Ingresos!P5</f>
        <v>27858.6</v>
      </c>
      <c r="U8" s="310">
        <f>+Ingresos!Q5</f>
        <v>29848.499999999996</v>
      </c>
      <c r="V8" s="310">
        <f>+Ingresos!R5</f>
        <v>31838.399999999998</v>
      </c>
      <c r="W8" s="310">
        <f>+Ingresos!S5</f>
        <v>33828.299999999996</v>
      </c>
      <c r="X8" s="310">
        <f>+Ingresos!T5</f>
        <v>35818.199999999997</v>
      </c>
      <c r="Y8" s="310">
        <f>+Ingresos!U5</f>
        <v>37808.1</v>
      </c>
      <c r="Z8" s="310">
        <f>+Ingresos!V5</f>
        <v>39797.999999999993</v>
      </c>
      <c r="AA8" s="310">
        <f>+Ingresos!W5</f>
        <v>41787.899999999994</v>
      </c>
      <c r="AB8" s="310">
        <f>+Ingresos!X5</f>
        <v>43777.799999999996</v>
      </c>
      <c r="AC8" s="310">
        <f>+Ingresos!Y5</f>
        <v>45767.7</v>
      </c>
      <c r="AD8" s="310">
        <f>+Ingresos!Z5</f>
        <v>47757.599999999999</v>
      </c>
      <c r="AE8" s="310">
        <f>+Ingresos!AA5</f>
        <v>49747.499999999993</v>
      </c>
      <c r="AF8" s="310">
        <f>+Ingresos!AB5</f>
        <v>51737.399999999994</v>
      </c>
      <c r="AG8" s="310">
        <f>+Ingresos!AC5</f>
        <v>53727.299999999996</v>
      </c>
      <c r="AH8" s="310">
        <f>+Ingresos!AD5</f>
        <v>55717.2</v>
      </c>
      <c r="AI8" s="310">
        <f>+Ingresos!AE5</f>
        <v>57707.099999999991</v>
      </c>
      <c r="AJ8" s="310">
        <f>+Ingresos!AF5</f>
        <v>59696.999999999993</v>
      </c>
      <c r="AK8" s="310">
        <f>+Ingresos!AG5</f>
        <v>61686.899999999994</v>
      </c>
      <c r="AL8" s="310">
        <f>+Ingresos!AH5</f>
        <v>63676.799999999996</v>
      </c>
      <c r="AM8" s="310">
        <f>+Ingresos!AI5</f>
        <v>65666.7</v>
      </c>
      <c r="AN8" s="310">
        <f>+Ingresos!AJ5</f>
        <v>67656.599999999991</v>
      </c>
      <c r="AO8" s="310">
        <f>+Ingresos!AK5</f>
        <v>69646.5</v>
      </c>
    </row>
    <row r="9" spans="2:43">
      <c r="C9" s="221"/>
      <c r="D9" s="22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</row>
    <row r="10" spans="2:43">
      <c r="C10" s="226" t="s">
        <v>2</v>
      </c>
      <c r="D10" s="227"/>
      <c r="E10" s="229">
        <f>SUM(E15:E19)</f>
        <v>3612.5320345</v>
      </c>
      <c r="F10" s="229">
        <f>SUM(F12:F19)</f>
        <v>26886.593820055554</v>
      </c>
      <c r="G10" s="229">
        <f t="shared" ref="G10:AO10" si="2">SUM(G12:G19)</f>
        <v>26964.946132555553</v>
      </c>
      <c r="H10" s="229">
        <f t="shared" si="2"/>
        <v>27069.415882555557</v>
      </c>
      <c r="I10" s="229">
        <f t="shared" si="2"/>
        <v>27173.885632555557</v>
      </c>
      <c r="J10" s="229">
        <f t="shared" si="2"/>
        <v>27278.355382555554</v>
      </c>
      <c r="K10" s="229">
        <f t="shared" si="2"/>
        <v>27382.825132555554</v>
      </c>
      <c r="L10" s="229">
        <f t="shared" si="2"/>
        <v>27487.294882555558</v>
      </c>
      <c r="M10" s="229">
        <f t="shared" si="2"/>
        <v>27591.764632555554</v>
      </c>
      <c r="N10" s="229">
        <f t="shared" si="2"/>
        <v>27696.234382555554</v>
      </c>
      <c r="O10" s="229">
        <f t="shared" si="2"/>
        <v>27800.704132555558</v>
      </c>
      <c r="P10" s="229">
        <f t="shared" si="2"/>
        <v>27905.173882555555</v>
      </c>
      <c r="Q10" s="229">
        <f t="shared" si="2"/>
        <v>28009.643632555555</v>
      </c>
      <c r="R10" s="229">
        <f t="shared" si="2"/>
        <v>27365.988382555555</v>
      </c>
      <c r="S10" s="229">
        <f t="shared" si="2"/>
        <v>27470.458132555555</v>
      </c>
      <c r="T10" s="229">
        <f t="shared" si="2"/>
        <v>27574.927882555556</v>
      </c>
      <c r="U10" s="229">
        <f t="shared" si="2"/>
        <v>27679.397632555552</v>
      </c>
      <c r="V10" s="229">
        <f t="shared" si="2"/>
        <v>27783.867382555552</v>
      </c>
      <c r="W10" s="229">
        <f t="shared" si="2"/>
        <v>27888.337132555556</v>
      </c>
      <c r="X10" s="229">
        <f t="shared" si="2"/>
        <v>27992.806882555557</v>
      </c>
      <c r="Y10" s="229">
        <f t="shared" si="2"/>
        <v>28097.276632555553</v>
      </c>
      <c r="Z10" s="229">
        <f t="shared" si="2"/>
        <v>28201.746382555557</v>
      </c>
      <c r="AA10" s="229">
        <f t="shared" si="2"/>
        <v>28306.216132555553</v>
      </c>
      <c r="AB10" s="229">
        <f t="shared" si="2"/>
        <v>28410.685882555554</v>
      </c>
      <c r="AC10" s="229">
        <f t="shared" si="2"/>
        <v>28515.155632555554</v>
      </c>
      <c r="AD10" s="229">
        <f t="shared" si="2"/>
        <v>28619.625382555558</v>
      </c>
      <c r="AE10" s="229">
        <f t="shared" si="2"/>
        <v>28724.095132555554</v>
      </c>
      <c r="AF10" s="229">
        <f t="shared" si="2"/>
        <v>28828.564882555555</v>
      </c>
      <c r="AG10" s="229">
        <f t="shared" si="2"/>
        <v>28933.034632555555</v>
      </c>
      <c r="AH10" s="229">
        <f t="shared" si="2"/>
        <v>29037.504382555555</v>
      </c>
      <c r="AI10" s="229">
        <f t="shared" si="2"/>
        <v>29141.974132555555</v>
      </c>
      <c r="AJ10" s="229">
        <f t="shared" si="2"/>
        <v>29246.443882555552</v>
      </c>
      <c r="AK10" s="229">
        <f t="shared" si="2"/>
        <v>29350.913632555556</v>
      </c>
      <c r="AL10" s="229">
        <f t="shared" si="2"/>
        <v>29455.383382555556</v>
      </c>
      <c r="AM10" s="229">
        <f t="shared" si="2"/>
        <v>29559.853132555556</v>
      </c>
      <c r="AN10" s="229">
        <f t="shared" si="2"/>
        <v>29664.322882555556</v>
      </c>
      <c r="AO10" s="229">
        <f t="shared" si="2"/>
        <v>29768.792632555556</v>
      </c>
    </row>
    <row r="11" spans="2:43">
      <c r="C11" s="221"/>
      <c r="D11" s="233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Q11" s="396"/>
    </row>
    <row r="12" spans="2:43">
      <c r="C12" s="308" t="s">
        <v>48</v>
      </c>
      <c r="D12" s="309"/>
      <c r="E12" s="310">
        <v>2850</v>
      </c>
      <c r="F12" s="311">
        <f>+'Marketing y Ventas'!B12</f>
        <v>2850</v>
      </c>
      <c r="G12" s="311">
        <f>+'Marketing y Ventas'!C12</f>
        <v>2850</v>
      </c>
      <c r="H12" s="311">
        <f>+'Marketing y Ventas'!D12</f>
        <v>2850</v>
      </c>
      <c r="I12" s="311">
        <f>+'Marketing y Ventas'!E12</f>
        <v>2850</v>
      </c>
      <c r="J12" s="311">
        <f>+'Marketing y Ventas'!F12</f>
        <v>2850</v>
      </c>
      <c r="K12" s="311">
        <f>+'Marketing y Ventas'!G12</f>
        <v>2850</v>
      </c>
      <c r="L12" s="311">
        <f>+'Marketing y Ventas'!H12</f>
        <v>2850</v>
      </c>
      <c r="M12" s="311">
        <f>+'Marketing y Ventas'!I12</f>
        <v>2850</v>
      </c>
      <c r="N12" s="311">
        <f>+'Marketing y Ventas'!J12</f>
        <v>2850</v>
      </c>
      <c r="O12" s="311">
        <f>+'Marketing y Ventas'!K12</f>
        <v>2850</v>
      </c>
      <c r="P12" s="311">
        <f>+'Marketing y Ventas'!L12</f>
        <v>2850</v>
      </c>
      <c r="Q12" s="311">
        <f>+'Marketing y Ventas'!M12</f>
        <v>2850</v>
      </c>
      <c r="R12" s="311">
        <f>+'Marketing y Ventas'!N12</f>
        <v>2850</v>
      </c>
      <c r="S12" s="311">
        <f>+'Marketing y Ventas'!O12</f>
        <v>2850</v>
      </c>
      <c r="T12" s="311">
        <f>+'Marketing y Ventas'!P12</f>
        <v>2850</v>
      </c>
      <c r="U12" s="311">
        <f>+'Marketing y Ventas'!Q12</f>
        <v>2850</v>
      </c>
      <c r="V12" s="311">
        <f>+'Marketing y Ventas'!R12</f>
        <v>2850</v>
      </c>
      <c r="W12" s="311">
        <f>+'Marketing y Ventas'!S12</f>
        <v>2850</v>
      </c>
      <c r="X12" s="311">
        <f>+'Marketing y Ventas'!T12</f>
        <v>2850</v>
      </c>
      <c r="Y12" s="311">
        <f>+'Marketing y Ventas'!U12</f>
        <v>2850</v>
      </c>
      <c r="Z12" s="311">
        <f>+'Marketing y Ventas'!V12</f>
        <v>2850</v>
      </c>
      <c r="AA12" s="311">
        <f>+'Marketing y Ventas'!W12</f>
        <v>2850</v>
      </c>
      <c r="AB12" s="311">
        <f>+'Marketing y Ventas'!X12</f>
        <v>2850</v>
      </c>
      <c r="AC12" s="311">
        <f>+'Marketing y Ventas'!Y12</f>
        <v>2850</v>
      </c>
      <c r="AD12" s="311">
        <f>+'Marketing y Ventas'!Z12</f>
        <v>2850</v>
      </c>
      <c r="AE12" s="311">
        <f>+'Marketing y Ventas'!AA12</f>
        <v>2850</v>
      </c>
      <c r="AF12" s="311">
        <f>+'Marketing y Ventas'!AB12</f>
        <v>2850</v>
      </c>
      <c r="AG12" s="311">
        <f>+'Marketing y Ventas'!AC12</f>
        <v>2850</v>
      </c>
      <c r="AH12" s="311">
        <f>+'Marketing y Ventas'!AD12</f>
        <v>2850</v>
      </c>
      <c r="AI12" s="311">
        <f>+'Marketing y Ventas'!AE12</f>
        <v>2850</v>
      </c>
      <c r="AJ12" s="311">
        <f>+'Marketing y Ventas'!AF12</f>
        <v>2850</v>
      </c>
      <c r="AK12" s="311">
        <f>+'Marketing y Ventas'!AG12</f>
        <v>2850</v>
      </c>
      <c r="AL12" s="311">
        <f>+'Marketing y Ventas'!AH12</f>
        <v>2850</v>
      </c>
      <c r="AM12" s="311">
        <f>+'Marketing y Ventas'!AI12</f>
        <v>2850</v>
      </c>
      <c r="AN12" s="311">
        <f>+'Marketing y Ventas'!AJ12</f>
        <v>2850</v>
      </c>
      <c r="AO12" s="311">
        <f>+'Marketing y Ventas'!AK12</f>
        <v>2850</v>
      </c>
    </row>
    <row r="13" spans="2:43">
      <c r="C13" s="308" t="s">
        <v>41</v>
      </c>
      <c r="D13" s="309"/>
      <c r="E13" s="310">
        <v>3309.2156899999995</v>
      </c>
      <c r="F13" s="311">
        <f>+Tecnología!$B$7</f>
        <v>2556.4356899999998</v>
      </c>
      <c r="G13" s="310">
        <f>+Tecnología!C7</f>
        <v>2556.4356899999998</v>
      </c>
      <c r="H13" s="310">
        <f>+Tecnología!D7</f>
        <v>2556.4356899999998</v>
      </c>
      <c r="I13" s="310">
        <f>+Tecnología!E7</f>
        <v>2556.4356899999998</v>
      </c>
      <c r="J13" s="310">
        <f>+Tecnología!F7</f>
        <v>2556.4356899999998</v>
      </c>
      <c r="K13" s="310">
        <f>+Tecnología!G7</f>
        <v>2556.4356899999998</v>
      </c>
      <c r="L13" s="310">
        <f>+Tecnología!H7</f>
        <v>2556.4356899999998</v>
      </c>
      <c r="M13" s="310">
        <f>+Tecnología!I7</f>
        <v>2556.4356899999998</v>
      </c>
      <c r="N13" s="310">
        <f>+Tecnología!J7</f>
        <v>2556.4356899999998</v>
      </c>
      <c r="O13" s="310">
        <f>+Tecnología!K7</f>
        <v>2556.4356899999998</v>
      </c>
      <c r="P13" s="310">
        <f>+Tecnología!L7</f>
        <v>2556.4356899999998</v>
      </c>
      <c r="Q13" s="310">
        <f>+Tecnología!M7</f>
        <v>2556.4356899999998</v>
      </c>
      <c r="R13" s="310">
        <f>+Tecnología!N7</f>
        <v>2556.4356899999998</v>
      </c>
      <c r="S13" s="310">
        <f>+Tecnología!O7</f>
        <v>2556.4356899999998</v>
      </c>
      <c r="T13" s="310">
        <f>+Tecnología!P7</f>
        <v>2556.4356899999998</v>
      </c>
      <c r="U13" s="310">
        <f>+Tecnología!Q7</f>
        <v>2556.4356899999998</v>
      </c>
      <c r="V13" s="310">
        <f>+Tecnología!R7</f>
        <v>2556.4356899999998</v>
      </c>
      <c r="W13" s="310">
        <f>+Tecnología!S7</f>
        <v>2556.4356899999998</v>
      </c>
      <c r="X13" s="310">
        <f>+Tecnología!T7</f>
        <v>2556.4356899999998</v>
      </c>
      <c r="Y13" s="310">
        <f>+Tecnología!U7</f>
        <v>2556.4356899999998</v>
      </c>
      <c r="Z13" s="310">
        <f>+Tecnología!V7</f>
        <v>2556.4356899999998</v>
      </c>
      <c r="AA13" s="310">
        <f>+Tecnología!W7</f>
        <v>2556.4356899999998</v>
      </c>
      <c r="AB13" s="310">
        <f>+Tecnología!X7</f>
        <v>2556.4356899999998</v>
      </c>
      <c r="AC13" s="310">
        <f>+Tecnología!Y7</f>
        <v>2556.4356899999998</v>
      </c>
      <c r="AD13" s="310">
        <f>+Tecnología!Z7</f>
        <v>2556.4356899999998</v>
      </c>
      <c r="AE13" s="310">
        <f>+Tecnología!AA7</f>
        <v>2556.4356899999998</v>
      </c>
      <c r="AF13" s="310">
        <f>+Tecnología!AB7</f>
        <v>2556.4356899999998</v>
      </c>
      <c r="AG13" s="310">
        <f>+Tecnología!AC7</f>
        <v>2556.4356899999998</v>
      </c>
      <c r="AH13" s="310">
        <f>+Tecnología!AD7</f>
        <v>2556.4356899999998</v>
      </c>
      <c r="AI13" s="310">
        <f>+Tecnología!AE7</f>
        <v>2556.4356899999998</v>
      </c>
      <c r="AJ13" s="310">
        <f>+Tecnología!AF7</f>
        <v>2556.4356899999998</v>
      </c>
      <c r="AK13" s="310">
        <f>+Tecnología!AG7</f>
        <v>2556.4356899999998</v>
      </c>
      <c r="AL13" s="310">
        <f>+Tecnología!AH7</f>
        <v>2556.4356899999998</v>
      </c>
      <c r="AM13" s="310">
        <f>+Tecnología!AI7</f>
        <v>2556.4356899999998</v>
      </c>
      <c r="AN13" s="310">
        <f>+Tecnología!AJ7</f>
        <v>2556.4356899999998</v>
      </c>
      <c r="AO13" s="310">
        <f>+Tecnología!AK7</f>
        <v>2556.4356899999998</v>
      </c>
    </row>
    <row r="14" spans="2:43">
      <c r="C14" s="308" t="s">
        <v>42</v>
      </c>
      <c r="D14" s="309"/>
      <c r="E14" s="310">
        <v>0</v>
      </c>
      <c r="F14" s="311">
        <f>+RRHH!B8</f>
        <v>16675</v>
      </c>
      <c r="G14" s="311">
        <f>+RRHH!C8</f>
        <v>16675</v>
      </c>
      <c r="H14" s="311">
        <f>+RRHH!D8</f>
        <v>16675</v>
      </c>
      <c r="I14" s="311">
        <f>+RRHH!E8</f>
        <v>16675</v>
      </c>
      <c r="J14" s="311">
        <f>+RRHH!F8</f>
        <v>16675</v>
      </c>
      <c r="K14" s="311">
        <f>+RRHH!G8</f>
        <v>16675</v>
      </c>
      <c r="L14" s="311">
        <f>+RRHH!H8</f>
        <v>16675</v>
      </c>
      <c r="M14" s="311">
        <f>+RRHH!I8</f>
        <v>16675</v>
      </c>
      <c r="N14" s="311">
        <f>+RRHH!J8</f>
        <v>16675</v>
      </c>
      <c r="O14" s="311">
        <f>+RRHH!K8</f>
        <v>16675</v>
      </c>
      <c r="P14" s="311">
        <f>+RRHH!L8</f>
        <v>16675</v>
      </c>
      <c r="Q14" s="311">
        <f>+RRHH!M8</f>
        <v>16675</v>
      </c>
      <c r="R14" s="311">
        <f>+RRHH!N8</f>
        <v>16675</v>
      </c>
      <c r="S14" s="311">
        <f>+RRHH!O8</f>
        <v>16675</v>
      </c>
      <c r="T14" s="311">
        <f>+RRHH!P8</f>
        <v>16675</v>
      </c>
      <c r="U14" s="311">
        <f>+RRHH!Q8</f>
        <v>16675</v>
      </c>
      <c r="V14" s="311">
        <f>+RRHH!R8</f>
        <v>16675</v>
      </c>
      <c r="W14" s="311">
        <f>+RRHH!S8</f>
        <v>16675</v>
      </c>
      <c r="X14" s="311">
        <f>+RRHH!T8</f>
        <v>16675</v>
      </c>
      <c r="Y14" s="311">
        <f>+RRHH!U8</f>
        <v>16675</v>
      </c>
      <c r="Z14" s="311">
        <f>+RRHH!V8</f>
        <v>16675</v>
      </c>
      <c r="AA14" s="311">
        <f>+RRHH!W8</f>
        <v>16675</v>
      </c>
      <c r="AB14" s="311">
        <f>+RRHH!X8</f>
        <v>16675</v>
      </c>
      <c r="AC14" s="311">
        <f>+RRHH!Y8</f>
        <v>16675</v>
      </c>
      <c r="AD14" s="311">
        <f>+RRHH!Z8</f>
        <v>16675</v>
      </c>
      <c r="AE14" s="311">
        <f>+RRHH!AA8</f>
        <v>16675</v>
      </c>
      <c r="AF14" s="311">
        <f>+RRHH!AB8</f>
        <v>16675</v>
      </c>
      <c r="AG14" s="311">
        <f>+RRHH!AC8</f>
        <v>16675</v>
      </c>
      <c r="AH14" s="311">
        <f>+RRHH!AD8</f>
        <v>16675</v>
      </c>
      <c r="AI14" s="311">
        <f>+RRHH!AE8</f>
        <v>16675</v>
      </c>
      <c r="AJ14" s="311">
        <f>+RRHH!AF8</f>
        <v>16675</v>
      </c>
      <c r="AK14" s="311">
        <f>+RRHH!AG8</f>
        <v>16675</v>
      </c>
      <c r="AL14" s="311">
        <f>+RRHH!AH8</f>
        <v>16675</v>
      </c>
      <c r="AM14" s="311">
        <f>+RRHH!AI8</f>
        <v>16675</v>
      </c>
      <c r="AN14" s="311">
        <f>+RRHH!AJ8</f>
        <v>16675</v>
      </c>
      <c r="AO14" s="311">
        <f>+RRHH!AK8</f>
        <v>16675</v>
      </c>
    </row>
    <row r="15" spans="2:43">
      <c r="C15" s="308" t="s">
        <v>40</v>
      </c>
      <c r="D15" s="309"/>
      <c r="E15" s="310">
        <v>1630</v>
      </c>
      <c r="F15" s="311">
        <f>+CIF!$B$12</f>
        <v>1630</v>
      </c>
      <c r="G15" s="311">
        <f>+CIF!$B$12</f>
        <v>1630</v>
      </c>
      <c r="H15" s="311">
        <f>+CIF!$B$12</f>
        <v>1630</v>
      </c>
      <c r="I15" s="311">
        <f>+CIF!$B$12</f>
        <v>1630</v>
      </c>
      <c r="J15" s="311">
        <f>+CIF!$B$12</f>
        <v>1630</v>
      </c>
      <c r="K15" s="311">
        <f>+CIF!$B$12</f>
        <v>1630</v>
      </c>
      <c r="L15" s="311">
        <f>+CIF!$B$12</f>
        <v>1630</v>
      </c>
      <c r="M15" s="311">
        <f>+CIF!$B$12</f>
        <v>1630</v>
      </c>
      <c r="N15" s="311">
        <f>+CIF!$B$12</f>
        <v>1630</v>
      </c>
      <c r="O15" s="311">
        <f>+CIF!$B$12</f>
        <v>1630</v>
      </c>
      <c r="P15" s="311">
        <f>+CIF!$B$12</f>
        <v>1630</v>
      </c>
      <c r="Q15" s="311">
        <f>+CIF!$B$12</f>
        <v>1630</v>
      </c>
      <c r="R15" s="311">
        <f>+CIF!$B$12</f>
        <v>1630</v>
      </c>
      <c r="S15" s="311">
        <f>+CIF!$B$12</f>
        <v>1630</v>
      </c>
      <c r="T15" s="311">
        <f>+CIF!$B$12</f>
        <v>1630</v>
      </c>
      <c r="U15" s="311">
        <f>+CIF!$B$12</f>
        <v>1630</v>
      </c>
      <c r="V15" s="311">
        <f>+CIF!$B$12</f>
        <v>1630</v>
      </c>
      <c r="W15" s="311">
        <f>+CIF!$B$12</f>
        <v>1630</v>
      </c>
      <c r="X15" s="311">
        <f>+CIF!$B$12</f>
        <v>1630</v>
      </c>
      <c r="Y15" s="311">
        <f>+CIF!$B$12</f>
        <v>1630</v>
      </c>
      <c r="Z15" s="311">
        <f>+CIF!$B$12</f>
        <v>1630</v>
      </c>
      <c r="AA15" s="311">
        <f>+CIF!$B$12</f>
        <v>1630</v>
      </c>
      <c r="AB15" s="311">
        <f>+CIF!$B$12</f>
        <v>1630</v>
      </c>
      <c r="AC15" s="311">
        <f>+CIF!$B$12</f>
        <v>1630</v>
      </c>
      <c r="AD15" s="311">
        <f>+CIF!$B$12</f>
        <v>1630</v>
      </c>
      <c r="AE15" s="311">
        <f>+CIF!$B$12</f>
        <v>1630</v>
      </c>
      <c r="AF15" s="311">
        <f>+CIF!$B$12</f>
        <v>1630</v>
      </c>
      <c r="AG15" s="311">
        <f>+CIF!$B$12</f>
        <v>1630</v>
      </c>
      <c r="AH15" s="311">
        <f>+CIF!$B$12</f>
        <v>1630</v>
      </c>
      <c r="AI15" s="311">
        <f>+CIF!$B$12</f>
        <v>1630</v>
      </c>
      <c r="AJ15" s="311">
        <f>+CIF!$B$12</f>
        <v>1630</v>
      </c>
      <c r="AK15" s="311">
        <f>+CIF!$B$12</f>
        <v>1630</v>
      </c>
      <c r="AL15" s="311">
        <f>+CIF!$B$12</f>
        <v>1630</v>
      </c>
      <c r="AM15" s="311">
        <f>+CIF!$B$12</f>
        <v>1630</v>
      </c>
      <c r="AN15" s="311">
        <f>+CIF!$B$12</f>
        <v>1630</v>
      </c>
      <c r="AO15" s="311">
        <f>+CIF!$B$12</f>
        <v>1630</v>
      </c>
    </row>
    <row r="16" spans="2:43">
      <c r="C16" s="308" t="s">
        <v>47</v>
      </c>
      <c r="D16" s="313">
        <v>0.05</v>
      </c>
      <c r="E16" s="310">
        <v>300</v>
      </c>
      <c r="F16" s="311">
        <f>+F8*$D$16</f>
        <v>24.873750000000001</v>
      </c>
      <c r="G16" s="311">
        <f t="shared" ref="G16:AO16" si="3">+G8*$D$16</f>
        <v>99.495000000000005</v>
      </c>
      <c r="H16" s="311">
        <f t="shared" si="3"/>
        <v>198.99</v>
      </c>
      <c r="I16" s="311">
        <f t="shared" si="3"/>
        <v>298.48500000000001</v>
      </c>
      <c r="J16" s="311">
        <f t="shared" si="3"/>
        <v>397.98</v>
      </c>
      <c r="K16" s="311">
        <f t="shared" si="3"/>
        <v>497.47499999999991</v>
      </c>
      <c r="L16" s="311">
        <f t="shared" si="3"/>
        <v>596.97</v>
      </c>
      <c r="M16" s="311">
        <f t="shared" si="3"/>
        <v>696.46500000000003</v>
      </c>
      <c r="N16" s="311">
        <f t="shared" si="3"/>
        <v>795.96</v>
      </c>
      <c r="O16" s="311">
        <f t="shared" si="3"/>
        <v>895.45499999999993</v>
      </c>
      <c r="P16" s="311">
        <f t="shared" si="3"/>
        <v>994.94999999999982</v>
      </c>
      <c r="Q16" s="311">
        <f t="shared" si="3"/>
        <v>1094.4449999999999</v>
      </c>
      <c r="R16" s="311">
        <f t="shared" si="3"/>
        <v>1193.94</v>
      </c>
      <c r="S16" s="311">
        <f t="shared" si="3"/>
        <v>1293.4349999999999</v>
      </c>
      <c r="T16" s="311">
        <f t="shared" si="3"/>
        <v>1392.93</v>
      </c>
      <c r="U16" s="311">
        <f t="shared" si="3"/>
        <v>1492.425</v>
      </c>
      <c r="V16" s="311">
        <f t="shared" si="3"/>
        <v>1591.92</v>
      </c>
      <c r="W16" s="311">
        <f t="shared" si="3"/>
        <v>1691.415</v>
      </c>
      <c r="X16" s="311">
        <f t="shared" si="3"/>
        <v>1790.9099999999999</v>
      </c>
      <c r="Y16" s="311">
        <f t="shared" si="3"/>
        <v>1890.405</v>
      </c>
      <c r="Z16" s="311">
        <f t="shared" si="3"/>
        <v>1989.8999999999996</v>
      </c>
      <c r="AA16" s="311">
        <f t="shared" si="3"/>
        <v>2089.395</v>
      </c>
      <c r="AB16" s="311">
        <f t="shared" si="3"/>
        <v>2188.89</v>
      </c>
      <c r="AC16" s="311">
        <f t="shared" si="3"/>
        <v>2288.3849999999998</v>
      </c>
      <c r="AD16" s="311">
        <f t="shared" si="3"/>
        <v>2387.88</v>
      </c>
      <c r="AE16" s="311">
        <f t="shared" si="3"/>
        <v>2487.375</v>
      </c>
      <c r="AF16" s="311">
        <f t="shared" si="3"/>
        <v>2586.87</v>
      </c>
      <c r="AG16" s="311">
        <f t="shared" si="3"/>
        <v>2686.3649999999998</v>
      </c>
      <c r="AH16" s="311">
        <f t="shared" si="3"/>
        <v>2785.86</v>
      </c>
      <c r="AI16" s="311">
        <f t="shared" si="3"/>
        <v>2885.3549999999996</v>
      </c>
      <c r="AJ16" s="311">
        <f t="shared" si="3"/>
        <v>2984.85</v>
      </c>
      <c r="AK16" s="311">
        <f t="shared" si="3"/>
        <v>3084.3449999999998</v>
      </c>
      <c r="AL16" s="311">
        <f t="shared" si="3"/>
        <v>3183.84</v>
      </c>
      <c r="AM16" s="311">
        <f t="shared" si="3"/>
        <v>3283.335</v>
      </c>
      <c r="AN16" s="311">
        <f t="shared" si="3"/>
        <v>3382.83</v>
      </c>
      <c r="AO16" s="311">
        <f t="shared" si="3"/>
        <v>3482.3250000000003</v>
      </c>
    </row>
    <row r="17" spans="2:41">
      <c r="B17" s="234"/>
      <c r="C17" s="308" t="s">
        <v>100</v>
      </c>
      <c r="D17" s="312"/>
      <c r="E17" s="310">
        <v>1352.925</v>
      </c>
      <c r="F17" s="310">
        <f>+'Costos directos de prod o servi'!B5</f>
        <v>1352.925</v>
      </c>
      <c r="G17" s="310">
        <f>+'Costos directos de prod o servi'!C5</f>
        <v>1352.925</v>
      </c>
      <c r="H17" s="310">
        <f>+'Costos directos de prod o servi'!D5</f>
        <v>1352.925</v>
      </c>
      <c r="I17" s="310">
        <f>+'Costos directos de prod o servi'!E5</f>
        <v>1352.925</v>
      </c>
      <c r="J17" s="310">
        <f>+'Costos directos de prod o servi'!F5</f>
        <v>1352.925</v>
      </c>
      <c r="K17" s="310">
        <f>+'Costos directos de prod o servi'!G5</f>
        <v>1352.925</v>
      </c>
      <c r="L17" s="310">
        <f>+'Costos directos de prod o servi'!H5</f>
        <v>1352.925</v>
      </c>
      <c r="M17" s="310">
        <f>+'Costos directos de prod o servi'!I5</f>
        <v>1352.925</v>
      </c>
      <c r="N17" s="310">
        <f>+'Costos directos de prod o servi'!J5</f>
        <v>1352.925</v>
      </c>
      <c r="O17" s="310">
        <f>+'Costos directos de prod o servi'!K5</f>
        <v>1352.925</v>
      </c>
      <c r="P17" s="310">
        <f>+'Costos directos de prod o servi'!L5</f>
        <v>1352.925</v>
      </c>
      <c r="Q17" s="310">
        <f>+'Costos directos de prod o servi'!M5</f>
        <v>1352.925</v>
      </c>
      <c r="R17" s="310">
        <f>+'Costos directos de prod o servi'!N5</f>
        <v>640.42499999999995</v>
      </c>
      <c r="S17" s="310">
        <f>+'Costos directos de prod o servi'!O5</f>
        <v>640.42499999999995</v>
      </c>
      <c r="T17" s="310">
        <f>+'Costos directos de prod o servi'!P5</f>
        <v>640.42499999999995</v>
      </c>
      <c r="U17" s="310">
        <f>+'Costos directos de prod o servi'!Q5</f>
        <v>640.42499999999995</v>
      </c>
      <c r="V17" s="310">
        <f>+'Costos directos de prod o servi'!R5</f>
        <v>640.42499999999995</v>
      </c>
      <c r="W17" s="310">
        <f>+'Costos directos de prod o servi'!S5</f>
        <v>640.42499999999995</v>
      </c>
      <c r="X17" s="310">
        <f>+'Costos directos de prod o servi'!T5</f>
        <v>640.42499999999995</v>
      </c>
      <c r="Y17" s="310">
        <f>+'Costos directos de prod o servi'!U5</f>
        <v>640.42499999999995</v>
      </c>
      <c r="Z17" s="310">
        <f>+'Costos directos de prod o servi'!V5</f>
        <v>640.42499999999995</v>
      </c>
      <c r="AA17" s="310">
        <f>+'Costos directos de prod o servi'!W5</f>
        <v>640.42499999999995</v>
      </c>
      <c r="AB17" s="310">
        <f>+'Costos directos de prod o servi'!X5</f>
        <v>640.42499999999995</v>
      </c>
      <c r="AC17" s="310">
        <f>+'Costos directos de prod o servi'!Y5</f>
        <v>640.42499999999995</v>
      </c>
      <c r="AD17" s="310">
        <f>+'Costos directos de prod o servi'!Z5</f>
        <v>640.42499999999995</v>
      </c>
      <c r="AE17" s="310">
        <f>+'Costos directos de prod o servi'!AA5</f>
        <v>640.42499999999995</v>
      </c>
      <c r="AF17" s="310">
        <f>+'Costos directos de prod o servi'!AB5</f>
        <v>640.42499999999995</v>
      </c>
      <c r="AG17" s="310">
        <f>+'Costos directos de prod o servi'!AC5</f>
        <v>640.42499999999995</v>
      </c>
      <c r="AH17" s="310">
        <f>+'Costos directos de prod o servi'!AD5</f>
        <v>640.42499999999995</v>
      </c>
      <c r="AI17" s="310">
        <f>+'Costos directos de prod o servi'!AE5</f>
        <v>640.42499999999995</v>
      </c>
      <c r="AJ17" s="310">
        <f>+'Costos directos de prod o servi'!AF5</f>
        <v>640.42499999999995</v>
      </c>
      <c r="AK17" s="310">
        <f>+'Costos directos de prod o servi'!AG5</f>
        <v>640.42499999999995</v>
      </c>
      <c r="AL17" s="310">
        <f>+'Costos directos de prod o servi'!AH5</f>
        <v>640.42499999999995</v>
      </c>
      <c r="AM17" s="310">
        <f>+'Costos directos de prod o servi'!AI5</f>
        <v>640.42499999999995</v>
      </c>
      <c r="AN17" s="310">
        <f>+'Costos directos de prod o servi'!AJ5</f>
        <v>640.42499999999995</v>
      </c>
      <c r="AO17" s="310">
        <f>+'Costos directos de prod o servi'!AK5</f>
        <v>640.42499999999995</v>
      </c>
    </row>
    <row r="18" spans="2:41">
      <c r="B18" s="234"/>
      <c r="C18" s="308" t="s">
        <v>18</v>
      </c>
      <c r="D18" s="313">
        <v>0.05</v>
      </c>
      <c r="E18" s="310">
        <f>$D$18*SUM(E13:E17)</f>
        <v>329.6070345</v>
      </c>
      <c r="F18" s="310">
        <f>$D$18*SUM(F12:F17)</f>
        <v>1254.461722</v>
      </c>
      <c r="G18" s="310">
        <f t="shared" ref="G18:AO18" si="4">$D$18*SUM(G12:G17)</f>
        <v>1258.1927845</v>
      </c>
      <c r="H18" s="310">
        <f t="shared" si="4"/>
        <v>1263.1675345000001</v>
      </c>
      <c r="I18" s="310">
        <f t="shared" si="4"/>
        <v>1268.1422845</v>
      </c>
      <c r="J18" s="310">
        <f t="shared" si="4"/>
        <v>1273.1170345</v>
      </c>
      <c r="K18" s="310">
        <f t="shared" si="4"/>
        <v>1278.0917844999999</v>
      </c>
      <c r="L18" s="310">
        <f t="shared" si="4"/>
        <v>1283.0665345</v>
      </c>
      <c r="M18" s="310">
        <f t="shared" si="4"/>
        <v>1288.0412845000001</v>
      </c>
      <c r="N18" s="310">
        <f t="shared" si="4"/>
        <v>1293.0160344999999</v>
      </c>
      <c r="O18" s="310">
        <f t="shared" si="4"/>
        <v>1297.9907845</v>
      </c>
      <c r="P18" s="310">
        <f t="shared" si="4"/>
        <v>1302.9655345000001</v>
      </c>
      <c r="Q18" s="310">
        <f t="shared" si="4"/>
        <v>1307.9402845</v>
      </c>
      <c r="R18" s="310">
        <f t="shared" si="4"/>
        <v>1277.2900344999998</v>
      </c>
      <c r="S18" s="310">
        <f t="shared" si="4"/>
        <v>1282.2647845000001</v>
      </c>
      <c r="T18" s="310">
        <f t="shared" si="4"/>
        <v>1287.2395345</v>
      </c>
      <c r="U18" s="310">
        <f t="shared" si="4"/>
        <v>1292.2142844999998</v>
      </c>
      <c r="V18" s="310">
        <f t="shared" si="4"/>
        <v>1297.1890344999999</v>
      </c>
      <c r="W18" s="310">
        <f t="shared" si="4"/>
        <v>1302.1637845</v>
      </c>
      <c r="X18" s="310">
        <f t="shared" si="4"/>
        <v>1307.1385344999999</v>
      </c>
      <c r="Y18" s="310">
        <f t="shared" si="4"/>
        <v>1312.1132845</v>
      </c>
      <c r="Z18" s="310">
        <f t="shared" si="4"/>
        <v>1317.0880345</v>
      </c>
      <c r="AA18" s="310">
        <f t="shared" si="4"/>
        <v>1322.0627844999999</v>
      </c>
      <c r="AB18" s="310">
        <f t="shared" si="4"/>
        <v>1327.0375345</v>
      </c>
      <c r="AC18" s="310">
        <f t="shared" si="4"/>
        <v>1332.0122844999999</v>
      </c>
      <c r="AD18" s="310">
        <f t="shared" si="4"/>
        <v>1336.9870344999999</v>
      </c>
      <c r="AE18" s="310">
        <f t="shared" si="4"/>
        <v>1341.9617845</v>
      </c>
      <c r="AF18" s="310">
        <f t="shared" si="4"/>
        <v>1346.9365344999999</v>
      </c>
      <c r="AG18" s="310">
        <f t="shared" si="4"/>
        <v>1351.9112845</v>
      </c>
      <c r="AH18" s="310">
        <f t="shared" si="4"/>
        <v>1356.8860345000001</v>
      </c>
      <c r="AI18" s="310">
        <f t="shared" si="4"/>
        <v>1361.8607844999999</v>
      </c>
      <c r="AJ18" s="310">
        <f t="shared" si="4"/>
        <v>1366.8355345</v>
      </c>
      <c r="AK18" s="310">
        <f t="shared" si="4"/>
        <v>1371.8102845000001</v>
      </c>
      <c r="AL18" s="310">
        <f t="shared" si="4"/>
        <v>1376.7850344999999</v>
      </c>
      <c r="AM18" s="310">
        <f t="shared" si="4"/>
        <v>1381.7597845</v>
      </c>
      <c r="AN18" s="310">
        <f t="shared" si="4"/>
        <v>1386.7345345000001</v>
      </c>
      <c r="AO18" s="310">
        <f t="shared" si="4"/>
        <v>1391.7092845</v>
      </c>
    </row>
    <row r="19" spans="2:41">
      <c r="B19" s="234"/>
      <c r="C19" s="308" t="s">
        <v>0</v>
      </c>
      <c r="D19" s="308"/>
      <c r="E19" s="310"/>
      <c r="F19" s="310">
        <f t="shared" ref="F19:AO19" si="5">$E$38/36</f>
        <v>542.89765805555555</v>
      </c>
      <c r="G19" s="310">
        <f t="shared" si="5"/>
        <v>542.89765805555555</v>
      </c>
      <c r="H19" s="310">
        <f t="shared" si="5"/>
        <v>542.89765805555555</v>
      </c>
      <c r="I19" s="310">
        <f t="shared" si="5"/>
        <v>542.89765805555555</v>
      </c>
      <c r="J19" s="310">
        <f t="shared" si="5"/>
        <v>542.89765805555555</v>
      </c>
      <c r="K19" s="310">
        <f t="shared" si="5"/>
        <v>542.89765805555555</v>
      </c>
      <c r="L19" s="310">
        <f t="shared" si="5"/>
        <v>542.89765805555555</v>
      </c>
      <c r="M19" s="310">
        <f t="shared" si="5"/>
        <v>542.89765805555555</v>
      </c>
      <c r="N19" s="310">
        <f t="shared" si="5"/>
        <v>542.89765805555555</v>
      </c>
      <c r="O19" s="310">
        <f t="shared" si="5"/>
        <v>542.89765805555555</v>
      </c>
      <c r="P19" s="310">
        <f t="shared" si="5"/>
        <v>542.89765805555555</v>
      </c>
      <c r="Q19" s="310">
        <f t="shared" si="5"/>
        <v>542.89765805555555</v>
      </c>
      <c r="R19" s="310">
        <f t="shared" si="5"/>
        <v>542.89765805555555</v>
      </c>
      <c r="S19" s="310">
        <f t="shared" si="5"/>
        <v>542.89765805555555</v>
      </c>
      <c r="T19" s="310">
        <f t="shared" si="5"/>
        <v>542.89765805555555</v>
      </c>
      <c r="U19" s="310">
        <f t="shared" si="5"/>
        <v>542.89765805555555</v>
      </c>
      <c r="V19" s="310">
        <f t="shared" si="5"/>
        <v>542.89765805555555</v>
      </c>
      <c r="W19" s="310">
        <f t="shared" si="5"/>
        <v>542.89765805555555</v>
      </c>
      <c r="X19" s="310">
        <f t="shared" si="5"/>
        <v>542.89765805555555</v>
      </c>
      <c r="Y19" s="310">
        <f t="shared" si="5"/>
        <v>542.89765805555555</v>
      </c>
      <c r="Z19" s="310">
        <f t="shared" si="5"/>
        <v>542.89765805555555</v>
      </c>
      <c r="AA19" s="310">
        <f t="shared" si="5"/>
        <v>542.89765805555555</v>
      </c>
      <c r="AB19" s="310">
        <f t="shared" si="5"/>
        <v>542.89765805555555</v>
      </c>
      <c r="AC19" s="310">
        <f t="shared" si="5"/>
        <v>542.89765805555555</v>
      </c>
      <c r="AD19" s="310">
        <f t="shared" si="5"/>
        <v>542.89765805555555</v>
      </c>
      <c r="AE19" s="310">
        <f t="shared" si="5"/>
        <v>542.89765805555555</v>
      </c>
      <c r="AF19" s="310">
        <f t="shared" si="5"/>
        <v>542.89765805555555</v>
      </c>
      <c r="AG19" s="310">
        <f t="shared" si="5"/>
        <v>542.89765805555555</v>
      </c>
      <c r="AH19" s="310">
        <f t="shared" si="5"/>
        <v>542.89765805555555</v>
      </c>
      <c r="AI19" s="310">
        <f t="shared" si="5"/>
        <v>542.89765805555555</v>
      </c>
      <c r="AJ19" s="310">
        <f t="shared" si="5"/>
        <v>542.89765805555555</v>
      </c>
      <c r="AK19" s="310">
        <f t="shared" si="5"/>
        <v>542.89765805555555</v>
      </c>
      <c r="AL19" s="310">
        <f t="shared" si="5"/>
        <v>542.89765805555555</v>
      </c>
      <c r="AM19" s="310">
        <f t="shared" si="5"/>
        <v>542.89765805555555</v>
      </c>
      <c r="AN19" s="310">
        <f t="shared" si="5"/>
        <v>542.89765805555555</v>
      </c>
      <c r="AO19" s="310">
        <f t="shared" si="5"/>
        <v>542.89765805555555</v>
      </c>
    </row>
    <row r="20" spans="2:41">
      <c r="C20" s="235"/>
      <c r="D20" s="221"/>
      <c r="E20" s="231"/>
      <c r="F20" s="231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</row>
    <row r="21" spans="2:41">
      <c r="C21" s="236" t="s">
        <v>8</v>
      </c>
      <c r="D21" s="226"/>
      <c r="E21" s="237">
        <f t="shared" ref="E21:AO21" si="6">+E6-E10</f>
        <v>-3612.5320345</v>
      </c>
      <c r="F21" s="237">
        <f t="shared" si="6"/>
        <v>-26389.118820055555</v>
      </c>
      <c r="G21" s="237">
        <f t="shared" si="6"/>
        <v>-24975.046132555552</v>
      </c>
      <c r="H21" s="237">
        <f t="shared" si="6"/>
        <v>-23089.615882555558</v>
      </c>
      <c r="I21" s="237">
        <f t="shared" si="6"/>
        <v>-21204.185632555556</v>
      </c>
      <c r="J21" s="237">
        <f t="shared" si="6"/>
        <v>-19318.755382555555</v>
      </c>
      <c r="K21" s="237">
        <f t="shared" si="6"/>
        <v>-17433.325132555554</v>
      </c>
      <c r="L21" s="237">
        <f t="shared" si="6"/>
        <v>-15547.894882555558</v>
      </c>
      <c r="M21" s="237">
        <f t="shared" si="6"/>
        <v>-13662.464632555555</v>
      </c>
      <c r="N21" s="237">
        <f t="shared" si="6"/>
        <v>-11777.034382555556</v>
      </c>
      <c r="O21" s="237">
        <f t="shared" si="6"/>
        <v>-9891.6041325555598</v>
      </c>
      <c r="P21" s="237">
        <f t="shared" si="6"/>
        <v>-8006.1738825555585</v>
      </c>
      <c r="Q21" s="237">
        <f t="shared" si="6"/>
        <v>-6120.7436325555573</v>
      </c>
      <c r="R21" s="237">
        <f t="shared" si="6"/>
        <v>-3487.188382555556</v>
      </c>
      <c r="S21" s="237">
        <f t="shared" si="6"/>
        <v>-1601.7581325555584</v>
      </c>
      <c r="T21" s="237">
        <f t="shared" si="6"/>
        <v>283.67211744444285</v>
      </c>
      <c r="U21" s="237">
        <f t="shared" si="6"/>
        <v>2169.1023674444441</v>
      </c>
      <c r="V21" s="237">
        <f t="shared" si="6"/>
        <v>4054.5326174444453</v>
      </c>
      <c r="W21" s="237">
        <f t="shared" si="6"/>
        <v>5939.9628674444393</v>
      </c>
      <c r="X21" s="237">
        <f t="shared" si="6"/>
        <v>7825.3931174444406</v>
      </c>
      <c r="Y21" s="237">
        <f t="shared" si="6"/>
        <v>9710.8233674444455</v>
      </c>
      <c r="Z21" s="237">
        <f t="shared" si="6"/>
        <v>11596.253617444436</v>
      </c>
      <c r="AA21" s="237">
        <f t="shared" si="6"/>
        <v>13481.683867444441</v>
      </c>
      <c r="AB21" s="237">
        <f t="shared" si="6"/>
        <v>15367.114117444442</v>
      </c>
      <c r="AC21" s="237">
        <f t="shared" si="6"/>
        <v>17252.544367444443</v>
      </c>
      <c r="AD21" s="237">
        <f t="shared" si="6"/>
        <v>19137.974617444441</v>
      </c>
      <c r="AE21" s="237">
        <f t="shared" si="6"/>
        <v>21023.404867444438</v>
      </c>
      <c r="AF21" s="237">
        <f t="shared" si="6"/>
        <v>22908.83511744444</v>
      </c>
      <c r="AG21" s="237">
        <f t="shared" si="6"/>
        <v>24794.265367444441</v>
      </c>
      <c r="AH21" s="237">
        <f t="shared" si="6"/>
        <v>26679.695617444442</v>
      </c>
      <c r="AI21" s="237">
        <f t="shared" si="6"/>
        <v>28565.125867444436</v>
      </c>
      <c r="AJ21" s="237">
        <f t="shared" si="6"/>
        <v>30450.556117444441</v>
      </c>
      <c r="AK21" s="237">
        <f t="shared" si="6"/>
        <v>32335.986367444439</v>
      </c>
      <c r="AL21" s="237">
        <f t="shared" si="6"/>
        <v>34221.41661744444</v>
      </c>
      <c r="AM21" s="237">
        <f t="shared" si="6"/>
        <v>36106.846867444445</v>
      </c>
      <c r="AN21" s="237">
        <f t="shared" si="6"/>
        <v>37992.277117444435</v>
      </c>
      <c r="AO21" s="237">
        <f t="shared" si="6"/>
        <v>39877.70736744444</v>
      </c>
    </row>
    <row r="22" spans="2:41">
      <c r="C22" s="235"/>
      <c r="D22" s="221"/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</row>
    <row r="23" spans="2:41">
      <c r="C23" s="226" t="s">
        <v>3</v>
      </c>
      <c r="D23" s="238"/>
      <c r="E23" s="229">
        <f>SUM(E25:E25)</f>
        <v>0</v>
      </c>
      <c r="F23" s="229">
        <f t="shared" ref="E23:AO23" si="7">SUM(F25:F25)</f>
        <v>4.9747499999999993</v>
      </c>
      <c r="G23" s="229">
        <f t="shared" si="7"/>
        <v>19.898999999999997</v>
      </c>
      <c r="H23" s="229">
        <f t="shared" si="7"/>
        <v>39.797999999999995</v>
      </c>
      <c r="I23" s="229">
        <f t="shared" si="7"/>
        <v>59.697000000000003</v>
      </c>
      <c r="J23" s="229">
        <f t="shared" si="7"/>
        <v>79.595999999999989</v>
      </c>
      <c r="K23" s="229">
        <f t="shared" si="7"/>
        <v>99.49499999999999</v>
      </c>
      <c r="L23" s="229">
        <f t="shared" si="7"/>
        <v>119.39400000000001</v>
      </c>
      <c r="M23" s="229">
        <f t="shared" si="7"/>
        <v>139.29300000000001</v>
      </c>
      <c r="N23" s="229">
        <f t="shared" si="7"/>
        <v>159.19199999999998</v>
      </c>
      <c r="O23" s="229">
        <f t="shared" si="7"/>
        <v>179.09099999999998</v>
      </c>
      <c r="P23" s="229">
        <f t="shared" si="7"/>
        <v>198.98999999999998</v>
      </c>
      <c r="Q23" s="229">
        <f t="shared" si="7"/>
        <v>218.88899999999998</v>
      </c>
      <c r="R23" s="229">
        <f t="shared" si="7"/>
        <v>238.78800000000001</v>
      </c>
      <c r="S23" s="229">
        <f t="shared" si="7"/>
        <v>258.68699999999995</v>
      </c>
      <c r="T23" s="229">
        <f t="shared" si="7"/>
        <v>278.58600000000001</v>
      </c>
      <c r="U23" s="229">
        <f t="shared" si="7"/>
        <v>298.48499999999996</v>
      </c>
      <c r="V23" s="229">
        <f t="shared" si="7"/>
        <v>318.38399999999996</v>
      </c>
      <c r="W23" s="229">
        <f t="shared" si="7"/>
        <v>338.28299999999996</v>
      </c>
      <c r="X23" s="229">
        <f t="shared" si="7"/>
        <v>358.18199999999996</v>
      </c>
      <c r="Y23" s="229">
        <f t="shared" si="7"/>
        <v>378.08100000000002</v>
      </c>
      <c r="Z23" s="229">
        <f t="shared" si="7"/>
        <v>397.97999999999996</v>
      </c>
      <c r="AA23" s="229">
        <f t="shared" si="7"/>
        <v>417.87899999999996</v>
      </c>
      <c r="AB23" s="229">
        <f t="shared" si="7"/>
        <v>437.77799999999996</v>
      </c>
      <c r="AC23" s="229">
        <f t="shared" si="7"/>
        <v>457.67699999999996</v>
      </c>
      <c r="AD23" s="229">
        <f t="shared" si="7"/>
        <v>477.57600000000002</v>
      </c>
      <c r="AE23" s="229">
        <f t="shared" si="7"/>
        <v>497.47499999999997</v>
      </c>
      <c r="AF23" s="229">
        <f t="shared" si="7"/>
        <v>517.37399999999991</v>
      </c>
      <c r="AG23" s="229">
        <f t="shared" si="7"/>
        <v>537.27299999999991</v>
      </c>
      <c r="AH23" s="229">
        <f t="shared" si="7"/>
        <v>557.17200000000003</v>
      </c>
      <c r="AI23" s="229">
        <f t="shared" si="7"/>
        <v>577.07099999999991</v>
      </c>
      <c r="AJ23" s="229">
        <f t="shared" si="7"/>
        <v>596.96999999999991</v>
      </c>
      <c r="AK23" s="229">
        <f t="shared" si="7"/>
        <v>616.86899999999991</v>
      </c>
      <c r="AL23" s="229">
        <f t="shared" si="7"/>
        <v>636.76799999999992</v>
      </c>
      <c r="AM23" s="229">
        <f t="shared" si="7"/>
        <v>656.66700000000003</v>
      </c>
      <c r="AN23" s="229">
        <f t="shared" si="7"/>
        <v>676.56599999999992</v>
      </c>
      <c r="AO23" s="229">
        <f t="shared" si="7"/>
        <v>696.46500000000003</v>
      </c>
    </row>
    <row r="24" spans="2:41">
      <c r="C24" s="235"/>
      <c r="D24" s="221"/>
      <c r="E24" s="231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</row>
    <row r="25" spans="2:41">
      <c r="C25" s="312" t="s">
        <v>19</v>
      </c>
      <c r="D25" s="317">
        <v>0.01</v>
      </c>
      <c r="E25" s="310">
        <f t="shared" ref="E25:AO25" si="8">+$D$25*E6</f>
        <v>0</v>
      </c>
      <c r="F25" s="310">
        <f>+$D$25*F6</f>
        <v>4.9747499999999993</v>
      </c>
      <c r="G25" s="310">
        <f t="shared" si="8"/>
        <v>19.898999999999997</v>
      </c>
      <c r="H25" s="310">
        <f t="shared" si="8"/>
        <v>39.797999999999995</v>
      </c>
      <c r="I25" s="310">
        <f t="shared" si="8"/>
        <v>59.697000000000003</v>
      </c>
      <c r="J25" s="310">
        <f t="shared" si="8"/>
        <v>79.595999999999989</v>
      </c>
      <c r="K25" s="310">
        <f t="shared" si="8"/>
        <v>99.49499999999999</v>
      </c>
      <c r="L25" s="310">
        <f t="shared" si="8"/>
        <v>119.39400000000001</v>
      </c>
      <c r="M25" s="310">
        <f t="shared" si="8"/>
        <v>139.29300000000001</v>
      </c>
      <c r="N25" s="310">
        <f t="shared" si="8"/>
        <v>159.19199999999998</v>
      </c>
      <c r="O25" s="310">
        <f t="shared" si="8"/>
        <v>179.09099999999998</v>
      </c>
      <c r="P25" s="310">
        <f t="shared" si="8"/>
        <v>198.98999999999998</v>
      </c>
      <c r="Q25" s="310">
        <f t="shared" si="8"/>
        <v>218.88899999999998</v>
      </c>
      <c r="R25" s="310">
        <f t="shared" si="8"/>
        <v>238.78800000000001</v>
      </c>
      <c r="S25" s="310">
        <f t="shared" si="8"/>
        <v>258.68699999999995</v>
      </c>
      <c r="T25" s="310">
        <f t="shared" si="8"/>
        <v>278.58600000000001</v>
      </c>
      <c r="U25" s="310">
        <f t="shared" si="8"/>
        <v>298.48499999999996</v>
      </c>
      <c r="V25" s="310">
        <f t="shared" si="8"/>
        <v>318.38399999999996</v>
      </c>
      <c r="W25" s="310">
        <f t="shared" si="8"/>
        <v>338.28299999999996</v>
      </c>
      <c r="X25" s="310">
        <f t="shared" si="8"/>
        <v>358.18199999999996</v>
      </c>
      <c r="Y25" s="310">
        <f t="shared" si="8"/>
        <v>378.08100000000002</v>
      </c>
      <c r="Z25" s="310">
        <f t="shared" si="8"/>
        <v>397.97999999999996</v>
      </c>
      <c r="AA25" s="310">
        <f t="shared" si="8"/>
        <v>417.87899999999996</v>
      </c>
      <c r="AB25" s="310">
        <f t="shared" si="8"/>
        <v>437.77799999999996</v>
      </c>
      <c r="AC25" s="310">
        <f t="shared" si="8"/>
        <v>457.67699999999996</v>
      </c>
      <c r="AD25" s="310">
        <f t="shared" si="8"/>
        <v>477.57600000000002</v>
      </c>
      <c r="AE25" s="310">
        <f t="shared" si="8"/>
        <v>497.47499999999997</v>
      </c>
      <c r="AF25" s="310">
        <f t="shared" si="8"/>
        <v>517.37399999999991</v>
      </c>
      <c r="AG25" s="310">
        <f t="shared" si="8"/>
        <v>537.27299999999991</v>
      </c>
      <c r="AH25" s="310">
        <f t="shared" si="8"/>
        <v>557.17200000000003</v>
      </c>
      <c r="AI25" s="310">
        <f t="shared" si="8"/>
        <v>577.07099999999991</v>
      </c>
      <c r="AJ25" s="310">
        <f t="shared" si="8"/>
        <v>596.96999999999991</v>
      </c>
      <c r="AK25" s="310">
        <f t="shared" si="8"/>
        <v>616.86899999999991</v>
      </c>
      <c r="AL25" s="310">
        <f t="shared" si="8"/>
        <v>636.76799999999992</v>
      </c>
      <c r="AM25" s="310">
        <f t="shared" si="8"/>
        <v>656.66700000000003</v>
      </c>
      <c r="AN25" s="310">
        <f t="shared" si="8"/>
        <v>676.56599999999992</v>
      </c>
      <c r="AO25" s="310">
        <f t="shared" si="8"/>
        <v>696.46500000000003</v>
      </c>
    </row>
    <row r="26" spans="2:41">
      <c r="C26" s="239"/>
      <c r="D26" s="22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</row>
    <row r="27" spans="2:41">
      <c r="C27" s="236" t="s">
        <v>9</v>
      </c>
      <c r="D27" s="238"/>
      <c r="E27" s="229">
        <f>E6-E10-E23</f>
        <v>-3612.5320345</v>
      </c>
      <c r="F27" s="229">
        <f t="shared" ref="E27:AO27" si="9">+F6-F10-F23</f>
        <v>-26394.093570055556</v>
      </c>
      <c r="G27" s="229">
        <f t="shared" si="9"/>
        <v>-24994.945132555553</v>
      </c>
      <c r="H27" s="229">
        <f t="shared" si="9"/>
        <v>-23129.413882555556</v>
      </c>
      <c r="I27" s="229">
        <f t="shared" si="9"/>
        <v>-21263.882632555556</v>
      </c>
      <c r="J27" s="229">
        <f t="shared" si="9"/>
        <v>-19398.351382555556</v>
      </c>
      <c r="K27" s="229">
        <f t="shared" si="9"/>
        <v>-17532.820132555553</v>
      </c>
      <c r="L27" s="229">
        <f t="shared" si="9"/>
        <v>-15667.288882555558</v>
      </c>
      <c r="M27" s="229">
        <f t="shared" si="9"/>
        <v>-13801.757632555555</v>
      </c>
      <c r="N27" s="229">
        <f t="shared" si="9"/>
        <v>-11936.226382555555</v>
      </c>
      <c r="O27" s="229">
        <f t="shared" si="9"/>
        <v>-10070.69513255556</v>
      </c>
      <c r="P27" s="229">
        <f t="shared" si="9"/>
        <v>-8205.1638825555583</v>
      </c>
      <c r="Q27" s="229">
        <f t="shared" si="9"/>
        <v>-6339.6326325555574</v>
      </c>
      <c r="R27" s="229">
        <f t="shared" si="9"/>
        <v>-3725.976382555556</v>
      </c>
      <c r="S27" s="229">
        <f t="shared" si="9"/>
        <v>-1860.4451325555583</v>
      </c>
      <c r="T27" s="229">
        <f t="shared" si="9"/>
        <v>5.0861174444428343</v>
      </c>
      <c r="U27" s="229">
        <f t="shared" si="9"/>
        <v>1870.6173674444442</v>
      </c>
      <c r="V27" s="229">
        <f t="shared" si="9"/>
        <v>3736.1486174444453</v>
      </c>
      <c r="W27" s="229">
        <f t="shared" si="9"/>
        <v>5601.679867444439</v>
      </c>
      <c r="X27" s="229">
        <f t="shared" si="9"/>
        <v>7467.2111174444408</v>
      </c>
      <c r="Y27" s="229">
        <f t="shared" si="9"/>
        <v>9332.7423674444453</v>
      </c>
      <c r="Z27" s="229">
        <f t="shared" si="9"/>
        <v>11198.273617444436</v>
      </c>
      <c r="AA27" s="229">
        <f t="shared" si="9"/>
        <v>13063.80486744444</v>
      </c>
      <c r="AB27" s="229">
        <f t="shared" si="9"/>
        <v>14929.336117444442</v>
      </c>
      <c r="AC27" s="229">
        <f t="shared" si="9"/>
        <v>16794.867367444444</v>
      </c>
      <c r="AD27" s="229">
        <f t="shared" si="9"/>
        <v>18660.39861744444</v>
      </c>
      <c r="AE27" s="229">
        <f t="shared" si="9"/>
        <v>20525.92986744444</v>
      </c>
      <c r="AF27" s="229">
        <f t="shared" si="9"/>
        <v>22391.46111744444</v>
      </c>
      <c r="AG27" s="229">
        <f t="shared" si="9"/>
        <v>24256.99236744444</v>
      </c>
      <c r="AH27" s="229">
        <f t="shared" si="9"/>
        <v>26122.523617444444</v>
      </c>
      <c r="AI27" s="229">
        <f t="shared" si="9"/>
        <v>27988.054867444436</v>
      </c>
      <c r="AJ27" s="229">
        <f t="shared" si="9"/>
        <v>29853.58611744444</v>
      </c>
      <c r="AK27" s="229">
        <f t="shared" si="9"/>
        <v>31719.11736744444</v>
      </c>
      <c r="AL27" s="229">
        <f t="shared" si="9"/>
        <v>33584.648617444444</v>
      </c>
      <c r="AM27" s="229">
        <f t="shared" si="9"/>
        <v>35450.179867444444</v>
      </c>
      <c r="AN27" s="229">
        <f t="shared" si="9"/>
        <v>37315.711117444436</v>
      </c>
      <c r="AO27" s="229">
        <f t="shared" si="9"/>
        <v>39181.242367444444</v>
      </c>
    </row>
    <row r="28" spans="2:41">
      <c r="C28" s="235"/>
      <c r="D28" s="221"/>
      <c r="E28" s="231"/>
      <c r="F28" s="231">
        <f>SUM($E27:F$27)</f>
        <v>-30006.625604555556</v>
      </c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</row>
    <row r="29" spans="2:41" ht="24">
      <c r="C29" s="312" t="s">
        <v>103</v>
      </c>
      <c r="D29" s="395">
        <v>2.4580000000000001E-2</v>
      </c>
      <c r="E29" s="310">
        <f>E27*$D$29</f>
        <v>-88.796037408010008</v>
      </c>
      <c r="F29" s="310">
        <f>F27*$D$29</f>
        <v>-648.76681995196566</v>
      </c>
      <c r="G29" s="310">
        <f t="shared" ref="G29:AO29" si="10">G27*$D$29</f>
        <v>-614.37575135821555</v>
      </c>
      <c r="H29" s="310">
        <f t="shared" si="10"/>
        <v>-568.52099323321556</v>
      </c>
      <c r="I29" s="310">
        <f t="shared" si="10"/>
        <v>-522.66623510821557</v>
      </c>
      <c r="J29" s="310">
        <f t="shared" si="10"/>
        <v>-476.81147698321558</v>
      </c>
      <c r="K29" s="310">
        <f t="shared" si="10"/>
        <v>-430.95671885821548</v>
      </c>
      <c r="L29" s="310">
        <f t="shared" si="10"/>
        <v>-385.10196073321566</v>
      </c>
      <c r="M29" s="310">
        <f t="shared" si="10"/>
        <v>-339.24720260821556</v>
      </c>
      <c r="N29" s="310">
        <f t="shared" si="10"/>
        <v>-293.39244448321557</v>
      </c>
      <c r="O29" s="310">
        <f t="shared" si="10"/>
        <v>-247.53768635821567</v>
      </c>
      <c r="P29" s="310">
        <f t="shared" si="10"/>
        <v>-201.68292823321562</v>
      </c>
      <c r="Q29" s="310">
        <f t="shared" si="10"/>
        <v>-155.8281701082156</v>
      </c>
      <c r="R29" s="310">
        <f t="shared" si="10"/>
        <v>-91.584499483215566</v>
      </c>
      <c r="S29" s="310">
        <f t="shared" si="10"/>
        <v>-45.729741358215627</v>
      </c>
      <c r="T29" s="310">
        <f t="shared" si="10"/>
        <v>0.12501676678440488</v>
      </c>
      <c r="U29" s="310">
        <f t="shared" si="10"/>
        <v>45.979774891784437</v>
      </c>
      <c r="V29" s="310">
        <f t="shared" si="10"/>
        <v>91.834533016784476</v>
      </c>
      <c r="W29" s="310">
        <f t="shared" si="10"/>
        <v>137.68929114178431</v>
      </c>
      <c r="X29" s="310">
        <f t="shared" si="10"/>
        <v>183.54404926678436</v>
      </c>
      <c r="Y29" s="310">
        <f t="shared" si="10"/>
        <v>229.39880739178449</v>
      </c>
      <c r="Z29" s="310">
        <f t="shared" si="10"/>
        <v>275.25356551678425</v>
      </c>
      <c r="AA29" s="310">
        <f t="shared" si="10"/>
        <v>321.10832364178435</v>
      </c>
      <c r="AB29" s="310">
        <f t="shared" si="10"/>
        <v>366.9630817667844</v>
      </c>
      <c r="AC29" s="310">
        <f t="shared" si="10"/>
        <v>412.81783989178444</v>
      </c>
      <c r="AD29" s="310">
        <f t="shared" si="10"/>
        <v>458.67259801678438</v>
      </c>
      <c r="AE29" s="310">
        <f t="shared" si="10"/>
        <v>504.52735614178437</v>
      </c>
      <c r="AF29" s="310">
        <f t="shared" si="10"/>
        <v>550.38211426678436</v>
      </c>
      <c r="AG29" s="310">
        <f t="shared" si="10"/>
        <v>596.23687239178435</v>
      </c>
      <c r="AH29" s="310">
        <f t="shared" si="10"/>
        <v>642.09163051678445</v>
      </c>
      <c r="AI29" s="310">
        <f t="shared" si="10"/>
        <v>687.94638864178432</v>
      </c>
      <c r="AJ29" s="310">
        <f t="shared" si="10"/>
        <v>733.80114676678431</v>
      </c>
      <c r="AK29" s="310">
        <f t="shared" si="10"/>
        <v>779.65590489178442</v>
      </c>
      <c r="AL29" s="310">
        <f t="shared" si="10"/>
        <v>825.51066301678441</v>
      </c>
      <c r="AM29" s="310">
        <f t="shared" si="10"/>
        <v>871.36542114178451</v>
      </c>
      <c r="AN29" s="310">
        <f t="shared" si="10"/>
        <v>917.22017926678427</v>
      </c>
      <c r="AO29" s="310">
        <f t="shared" si="10"/>
        <v>963.07493739178449</v>
      </c>
    </row>
    <row r="30" spans="2:41">
      <c r="C30" s="235"/>
      <c r="D30" s="22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H30" s="231"/>
      <c r="AI30" s="231"/>
      <c r="AJ30" s="231"/>
      <c r="AK30" s="231"/>
      <c r="AL30" s="231"/>
      <c r="AM30" s="231"/>
      <c r="AN30" s="231"/>
      <c r="AO30" s="231"/>
    </row>
    <row r="31" spans="2:41">
      <c r="C31" s="226" t="s">
        <v>11</v>
      </c>
      <c r="D31" s="238"/>
      <c r="E31" s="229">
        <f t="shared" ref="E31:AO31" si="11">+E27-E29</f>
        <v>-3523.7359970919902</v>
      </c>
      <c r="F31" s="229">
        <f t="shared" si="11"/>
        <v>-25745.326750103592</v>
      </c>
      <c r="G31" s="229">
        <f t="shared" si="11"/>
        <v>-24380.569381197336</v>
      </c>
      <c r="H31" s="229">
        <f t="shared" si="11"/>
        <v>-22560.892889322342</v>
      </c>
      <c r="I31" s="229">
        <f t="shared" si="11"/>
        <v>-20741.216397447341</v>
      </c>
      <c r="J31" s="229">
        <f t="shared" si="11"/>
        <v>-18921.539905572339</v>
      </c>
      <c r="K31" s="229">
        <f t="shared" si="11"/>
        <v>-17101.863413697338</v>
      </c>
      <c r="L31" s="229">
        <f t="shared" si="11"/>
        <v>-15282.186921822342</v>
      </c>
      <c r="M31" s="229">
        <f t="shared" si="11"/>
        <v>-13462.510429947339</v>
      </c>
      <c r="N31" s="229">
        <f t="shared" si="11"/>
        <v>-11642.833938072339</v>
      </c>
      <c r="O31" s="229">
        <f t="shared" si="11"/>
        <v>-9823.1574461973451</v>
      </c>
      <c r="P31" s="229">
        <f t="shared" si="11"/>
        <v>-8003.4809543223428</v>
      </c>
      <c r="Q31" s="229">
        <f t="shared" si="11"/>
        <v>-6183.8044624473414</v>
      </c>
      <c r="R31" s="229">
        <f t="shared" si="11"/>
        <v>-3634.3918830723405</v>
      </c>
      <c r="S31" s="229">
        <f t="shared" si="11"/>
        <v>-1814.7153911973426</v>
      </c>
      <c r="T31" s="229">
        <f t="shared" si="11"/>
        <v>4.961100677658429</v>
      </c>
      <c r="U31" s="229">
        <f t="shared" si="11"/>
        <v>1824.6375925526597</v>
      </c>
      <c r="V31" s="229">
        <f t="shared" si="11"/>
        <v>3644.3140844276609</v>
      </c>
      <c r="W31" s="229">
        <f t="shared" si="11"/>
        <v>5463.9905763026545</v>
      </c>
      <c r="X31" s="229">
        <f t="shared" si="11"/>
        <v>7283.6670681776568</v>
      </c>
      <c r="Y31" s="229">
        <f t="shared" si="11"/>
        <v>9103.3435600526609</v>
      </c>
      <c r="Z31" s="229">
        <f t="shared" si="11"/>
        <v>10923.020051927651</v>
      </c>
      <c r="AA31" s="229">
        <f t="shared" si="11"/>
        <v>12742.696543802656</v>
      </c>
      <c r="AB31" s="229">
        <f t="shared" si="11"/>
        <v>14562.373035677658</v>
      </c>
      <c r="AC31" s="229">
        <f t="shared" si="11"/>
        <v>16382.049527552659</v>
      </c>
      <c r="AD31" s="229">
        <f t="shared" si="11"/>
        <v>18201.726019427657</v>
      </c>
      <c r="AE31" s="229">
        <f t="shared" si="11"/>
        <v>20021.402511302655</v>
      </c>
      <c r="AF31" s="229">
        <f t="shared" si="11"/>
        <v>21841.079003177656</v>
      </c>
      <c r="AG31" s="229">
        <f t="shared" si="11"/>
        <v>23660.755495052654</v>
      </c>
      <c r="AH31" s="229">
        <f t="shared" si="11"/>
        <v>25480.431986927659</v>
      </c>
      <c r="AI31" s="229">
        <f t="shared" si="11"/>
        <v>27300.108478802653</v>
      </c>
      <c r="AJ31" s="229">
        <f t="shared" si="11"/>
        <v>29119.784970677654</v>
      </c>
      <c r="AK31" s="229">
        <f t="shared" si="11"/>
        <v>30939.461462552656</v>
      </c>
      <c r="AL31" s="229">
        <f t="shared" si="11"/>
        <v>32759.137954427661</v>
      </c>
      <c r="AM31" s="229">
        <f t="shared" si="11"/>
        <v>34578.814446302662</v>
      </c>
      <c r="AN31" s="229">
        <f t="shared" si="11"/>
        <v>36398.490938177652</v>
      </c>
      <c r="AO31" s="229">
        <f t="shared" si="11"/>
        <v>38218.167430052657</v>
      </c>
    </row>
    <row r="32" spans="2:41">
      <c r="C32" s="217"/>
      <c r="D32" s="217"/>
      <c r="E32" s="232"/>
      <c r="F32" s="240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1"/>
      <c r="AJ32" s="231"/>
      <c r="AK32" s="231"/>
      <c r="AL32" s="231"/>
      <c r="AM32" s="231"/>
      <c r="AN32" s="231"/>
      <c r="AO32" s="231"/>
    </row>
    <row r="33" spans="3:41">
      <c r="C33" s="241"/>
      <c r="D33" s="241"/>
      <c r="E33" s="241"/>
      <c r="F33" s="242"/>
      <c r="G33" s="242"/>
      <c r="H33" s="242"/>
      <c r="I33" s="242"/>
      <c r="J33" s="242"/>
      <c r="K33" s="243"/>
      <c r="L33" s="243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21"/>
      <c r="AB33" s="221"/>
      <c r="AC33" s="221"/>
      <c r="AD33" s="221"/>
      <c r="AE33" s="221"/>
      <c r="AF33" s="221"/>
      <c r="AG33" s="221"/>
      <c r="AH33" s="221"/>
      <c r="AI33" s="221"/>
      <c r="AJ33" s="221"/>
      <c r="AK33" s="221"/>
      <c r="AL33" s="221"/>
      <c r="AM33" s="221"/>
      <c r="AN33" s="221"/>
      <c r="AO33" s="221"/>
    </row>
    <row r="34" spans="3:41">
      <c r="C34" s="226" t="s">
        <v>12</v>
      </c>
      <c r="D34" s="226"/>
      <c r="E34" s="226"/>
      <c r="F34" s="226"/>
      <c r="G34" s="226"/>
      <c r="H34" s="226"/>
      <c r="I34" s="244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</row>
    <row r="35" spans="3:41">
      <c r="C35" s="221"/>
      <c r="D35" s="217" t="s">
        <v>6</v>
      </c>
      <c r="E35" s="217">
        <v>0</v>
      </c>
      <c r="F35" s="245">
        <v>1</v>
      </c>
      <c r="G35" s="217">
        <v>2</v>
      </c>
      <c r="H35" s="217">
        <v>3</v>
      </c>
      <c r="I35" s="245">
        <v>4</v>
      </c>
      <c r="J35" s="217">
        <v>5</v>
      </c>
      <c r="K35" s="245">
        <v>6</v>
      </c>
      <c r="L35" s="245">
        <v>7</v>
      </c>
      <c r="M35" s="217">
        <v>8</v>
      </c>
      <c r="N35" s="217">
        <v>9</v>
      </c>
      <c r="O35" s="245">
        <v>10</v>
      </c>
      <c r="P35" s="217">
        <v>11</v>
      </c>
      <c r="Q35" s="245">
        <v>12</v>
      </c>
      <c r="R35" s="245">
        <v>13</v>
      </c>
      <c r="S35" s="245">
        <v>14</v>
      </c>
      <c r="T35" s="245">
        <v>15</v>
      </c>
      <c r="U35" s="245">
        <v>16</v>
      </c>
      <c r="V35" s="245">
        <v>17</v>
      </c>
      <c r="W35" s="245">
        <v>18</v>
      </c>
      <c r="X35" s="245">
        <v>19</v>
      </c>
      <c r="Y35" s="245">
        <v>20</v>
      </c>
      <c r="Z35" s="245">
        <v>21</v>
      </c>
      <c r="AA35" s="245">
        <v>22</v>
      </c>
      <c r="AB35" s="245">
        <v>23</v>
      </c>
      <c r="AC35" s="245">
        <v>24</v>
      </c>
      <c r="AD35" s="245">
        <v>25</v>
      </c>
      <c r="AE35" s="245">
        <v>26</v>
      </c>
      <c r="AF35" s="245">
        <v>27</v>
      </c>
      <c r="AG35" s="245">
        <v>28</v>
      </c>
      <c r="AH35" s="245">
        <v>29</v>
      </c>
      <c r="AI35" s="245">
        <v>30</v>
      </c>
      <c r="AJ35" s="245">
        <v>31</v>
      </c>
      <c r="AK35" s="245">
        <v>32</v>
      </c>
      <c r="AL35" s="245">
        <v>33</v>
      </c>
      <c r="AM35" s="245">
        <v>34</v>
      </c>
      <c r="AN35" s="245">
        <v>35</v>
      </c>
      <c r="AO35" s="245">
        <v>36</v>
      </c>
    </row>
    <row r="36" spans="3:41">
      <c r="C36" s="221"/>
      <c r="D36" s="217"/>
      <c r="E36" s="217"/>
      <c r="F36" s="245"/>
      <c r="G36" s="217"/>
      <c r="H36" s="217"/>
      <c r="I36" s="245"/>
      <c r="J36" s="217"/>
      <c r="K36" s="245"/>
      <c r="L36" s="245"/>
      <c r="M36" s="217"/>
      <c r="N36" s="217"/>
      <c r="O36" s="245"/>
      <c r="P36" s="217"/>
      <c r="Q36" s="245"/>
      <c r="R36" s="245"/>
      <c r="S36" s="245"/>
      <c r="T36" s="245"/>
      <c r="U36" s="245"/>
      <c r="V36" s="245"/>
      <c r="W36" s="245"/>
      <c r="X36" s="245"/>
      <c r="Y36" s="245"/>
      <c r="Z36" s="245"/>
      <c r="AA36" s="245"/>
      <c r="AB36" s="245"/>
      <c r="AC36" s="245"/>
      <c r="AD36" s="245"/>
      <c r="AE36" s="245"/>
      <c r="AF36" s="245"/>
      <c r="AG36" s="245"/>
      <c r="AH36" s="245"/>
      <c r="AI36" s="245"/>
      <c r="AJ36" s="245"/>
      <c r="AK36" s="245"/>
      <c r="AL36" s="245"/>
      <c r="AM36" s="245"/>
      <c r="AN36" s="245"/>
      <c r="AO36" s="245"/>
    </row>
    <row r="37" spans="3:41">
      <c r="C37" s="312" t="s">
        <v>13</v>
      </c>
      <c r="D37" s="308"/>
      <c r="E37" s="314">
        <f t="shared" ref="E37:AO37" si="12">+E31+E19</f>
        <v>-3523.7359970919902</v>
      </c>
      <c r="F37" s="315">
        <f t="shared" si="12"/>
        <v>-25202.429092048034</v>
      </c>
      <c r="G37" s="315">
        <f t="shared" si="12"/>
        <v>-23837.671723141779</v>
      </c>
      <c r="H37" s="315">
        <f t="shared" si="12"/>
        <v>-22017.995231266785</v>
      </c>
      <c r="I37" s="315">
        <f t="shared" si="12"/>
        <v>-20198.318739391783</v>
      </c>
      <c r="J37" s="315">
        <f t="shared" si="12"/>
        <v>-18378.642247516782</v>
      </c>
      <c r="K37" s="315">
        <f t="shared" si="12"/>
        <v>-16558.965755641781</v>
      </c>
      <c r="L37" s="315">
        <f t="shared" si="12"/>
        <v>-14739.289263766786</v>
      </c>
      <c r="M37" s="315">
        <f t="shared" si="12"/>
        <v>-12919.612771891783</v>
      </c>
      <c r="N37" s="315">
        <f t="shared" si="12"/>
        <v>-11099.936280016784</v>
      </c>
      <c r="O37" s="315">
        <f t="shared" si="12"/>
        <v>-9280.2597881417896</v>
      </c>
      <c r="P37" s="315">
        <f t="shared" si="12"/>
        <v>-7460.5832962667873</v>
      </c>
      <c r="Q37" s="315">
        <f t="shared" si="12"/>
        <v>-5640.906804391786</v>
      </c>
      <c r="R37" s="315">
        <f t="shared" si="12"/>
        <v>-3091.4942250167851</v>
      </c>
      <c r="S37" s="315">
        <f t="shared" si="12"/>
        <v>-1271.8177331417869</v>
      </c>
      <c r="T37" s="315">
        <f t="shared" si="12"/>
        <v>547.85875873321402</v>
      </c>
      <c r="U37" s="315">
        <f t="shared" si="12"/>
        <v>2367.5352506082154</v>
      </c>
      <c r="V37" s="315">
        <f t="shared" si="12"/>
        <v>4187.2117424832168</v>
      </c>
      <c r="W37" s="315">
        <f t="shared" si="12"/>
        <v>6006.88823435821</v>
      </c>
      <c r="X37" s="315">
        <f t="shared" si="12"/>
        <v>7826.5647262332122</v>
      </c>
      <c r="Y37" s="315">
        <f t="shared" si="12"/>
        <v>9646.2412181082163</v>
      </c>
      <c r="Z37" s="315">
        <f t="shared" si="12"/>
        <v>11465.917709983207</v>
      </c>
      <c r="AA37" s="315">
        <f t="shared" si="12"/>
        <v>13285.594201858212</v>
      </c>
      <c r="AB37" s="315">
        <f t="shared" si="12"/>
        <v>15105.270693733213</v>
      </c>
      <c r="AC37" s="315">
        <f t="shared" si="12"/>
        <v>16924.947185608216</v>
      </c>
      <c r="AD37" s="315">
        <f t="shared" si="12"/>
        <v>18744.623677483214</v>
      </c>
      <c r="AE37" s="315">
        <f t="shared" si="12"/>
        <v>20564.300169358212</v>
      </c>
      <c r="AF37" s="315">
        <f t="shared" si="12"/>
        <v>22383.976661233213</v>
      </c>
      <c r="AG37" s="315">
        <f t="shared" si="12"/>
        <v>24203.653153108211</v>
      </c>
      <c r="AH37" s="315">
        <f t="shared" si="12"/>
        <v>26023.329644983216</v>
      </c>
      <c r="AI37" s="315">
        <f t="shared" si="12"/>
        <v>27843.00613685821</v>
      </c>
      <c r="AJ37" s="315">
        <f t="shared" si="12"/>
        <v>29662.682628733211</v>
      </c>
      <c r="AK37" s="315">
        <f t="shared" si="12"/>
        <v>31482.359120608213</v>
      </c>
      <c r="AL37" s="315">
        <f t="shared" si="12"/>
        <v>33302.035612483218</v>
      </c>
      <c r="AM37" s="315">
        <f t="shared" si="12"/>
        <v>35121.712104358216</v>
      </c>
      <c r="AN37" s="315">
        <f t="shared" si="12"/>
        <v>36941.388596233206</v>
      </c>
      <c r="AO37" s="315">
        <f t="shared" si="12"/>
        <v>38761.065088108211</v>
      </c>
    </row>
    <row r="38" spans="3:41">
      <c r="C38" s="312" t="s">
        <v>1</v>
      </c>
      <c r="D38" s="316">
        <f>+'Inversión-Gastos preopera'!D13+'Inversión-Gastos preopera'!D22</f>
        <v>19544.315689999999</v>
      </c>
      <c r="E38" s="314">
        <f>+D38</f>
        <v>19544.315689999999</v>
      </c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15"/>
      <c r="Z38" s="315"/>
      <c r="AA38" s="315"/>
      <c r="AB38" s="315"/>
      <c r="AC38" s="315"/>
      <c r="AD38" s="315"/>
      <c r="AE38" s="315"/>
      <c r="AF38" s="315"/>
      <c r="AG38" s="315"/>
      <c r="AH38" s="315"/>
      <c r="AI38" s="315"/>
      <c r="AJ38" s="315"/>
      <c r="AK38" s="315"/>
      <c r="AL38" s="315"/>
      <c r="AM38" s="315"/>
      <c r="AN38" s="315"/>
      <c r="AO38" s="315"/>
    </row>
    <row r="39" spans="3:41">
      <c r="C39" s="221"/>
      <c r="D39" s="221"/>
      <c r="E39" s="246"/>
      <c r="F39" s="247"/>
      <c r="G39" s="246"/>
      <c r="H39" s="246"/>
      <c r="I39" s="248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1"/>
      <c r="AA39" s="221"/>
      <c r="AB39" s="221"/>
      <c r="AC39" s="221"/>
      <c r="AD39" s="221"/>
      <c r="AE39" s="221"/>
      <c r="AF39" s="221"/>
      <c r="AG39" s="221"/>
      <c r="AH39" s="221"/>
      <c r="AI39" s="221"/>
      <c r="AJ39" s="221"/>
      <c r="AK39" s="221"/>
      <c r="AL39" s="221"/>
      <c r="AM39" s="221"/>
      <c r="AN39" s="221"/>
      <c r="AO39" s="221"/>
    </row>
    <row r="40" spans="3:41">
      <c r="C40" s="249" t="s">
        <v>14</v>
      </c>
      <c r="D40" s="249"/>
      <c r="E40" s="250">
        <f t="shared" ref="E40:AO40" si="13">+E37-E38</f>
        <v>-23068.051687091989</v>
      </c>
      <c r="F40" s="250">
        <f t="shared" si="13"/>
        <v>-25202.429092048034</v>
      </c>
      <c r="G40" s="250">
        <f t="shared" si="13"/>
        <v>-23837.671723141779</v>
      </c>
      <c r="H40" s="250">
        <f t="shared" si="13"/>
        <v>-22017.995231266785</v>
      </c>
      <c r="I40" s="250">
        <f t="shared" si="13"/>
        <v>-20198.318739391783</v>
      </c>
      <c r="J40" s="250">
        <f t="shared" si="13"/>
        <v>-18378.642247516782</v>
      </c>
      <c r="K40" s="250">
        <f t="shared" si="13"/>
        <v>-16558.965755641781</v>
      </c>
      <c r="L40" s="250">
        <f t="shared" si="13"/>
        <v>-14739.289263766786</v>
      </c>
      <c r="M40" s="250">
        <f t="shared" si="13"/>
        <v>-12919.612771891783</v>
      </c>
      <c r="N40" s="250">
        <f t="shared" si="13"/>
        <v>-11099.936280016784</v>
      </c>
      <c r="O40" s="250">
        <f t="shared" si="13"/>
        <v>-9280.2597881417896</v>
      </c>
      <c r="P40" s="250">
        <f t="shared" si="13"/>
        <v>-7460.5832962667873</v>
      </c>
      <c r="Q40" s="250">
        <f t="shared" si="13"/>
        <v>-5640.906804391786</v>
      </c>
      <c r="R40" s="250">
        <f t="shared" si="13"/>
        <v>-3091.4942250167851</v>
      </c>
      <c r="S40" s="250">
        <f t="shared" si="13"/>
        <v>-1271.8177331417869</v>
      </c>
      <c r="T40" s="250">
        <f t="shared" si="13"/>
        <v>547.85875873321402</v>
      </c>
      <c r="U40" s="250">
        <f t="shared" si="13"/>
        <v>2367.5352506082154</v>
      </c>
      <c r="V40" s="250">
        <f t="shared" si="13"/>
        <v>4187.2117424832168</v>
      </c>
      <c r="W40" s="250">
        <f t="shared" si="13"/>
        <v>6006.88823435821</v>
      </c>
      <c r="X40" s="250">
        <f t="shared" si="13"/>
        <v>7826.5647262332122</v>
      </c>
      <c r="Y40" s="250">
        <f t="shared" si="13"/>
        <v>9646.2412181082163</v>
      </c>
      <c r="Z40" s="250">
        <f t="shared" si="13"/>
        <v>11465.917709983207</v>
      </c>
      <c r="AA40" s="250">
        <f t="shared" si="13"/>
        <v>13285.594201858212</v>
      </c>
      <c r="AB40" s="250">
        <f t="shared" si="13"/>
        <v>15105.270693733213</v>
      </c>
      <c r="AC40" s="250">
        <f t="shared" si="13"/>
        <v>16924.947185608216</v>
      </c>
      <c r="AD40" s="250">
        <f t="shared" si="13"/>
        <v>18744.623677483214</v>
      </c>
      <c r="AE40" s="250">
        <f t="shared" si="13"/>
        <v>20564.300169358212</v>
      </c>
      <c r="AF40" s="250">
        <f t="shared" si="13"/>
        <v>22383.976661233213</v>
      </c>
      <c r="AG40" s="250">
        <f t="shared" si="13"/>
        <v>24203.653153108211</v>
      </c>
      <c r="AH40" s="250">
        <f t="shared" si="13"/>
        <v>26023.329644983216</v>
      </c>
      <c r="AI40" s="250">
        <f t="shared" si="13"/>
        <v>27843.00613685821</v>
      </c>
      <c r="AJ40" s="250">
        <f t="shared" si="13"/>
        <v>29662.682628733211</v>
      </c>
      <c r="AK40" s="250">
        <f t="shared" si="13"/>
        <v>31482.359120608213</v>
      </c>
      <c r="AL40" s="250">
        <f t="shared" si="13"/>
        <v>33302.035612483218</v>
      </c>
      <c r="AM40" s="250">
        <f t="shared" si="13"/>
        <v>35121.712104358216</v>
      </c>
      <c r="AN40" s="250">
        <f t="shared" si="13"/>
        <v>36941.388596233206</v>
      </c>
      <c r="AO40" s="250">
        <f t="shared" si="13"/>
        <v>38761.065088108211</v>
      </c>
    </row>
    <row r="41" spans="3:41">
      <c r="C41" s="251"/>
      <c r="D41" s="251"/>
      <c r="E41" s="252"/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R41" s="221"/>
      <c r="S41" s="221"/>
      <c r="T41" s="221"/>
      <c r="U41" s="221"/>
      <c r="V41" s="221"/>
      <c r="W41" s="221"/>
      <c r="X41" s="221"/>
      <c r="Y41" s="221"/>
      <c r="Z41" s="221"/>
      <c r="AA41" s="221"/>
      <c r="AB41" s="221"/>
      <c r="AC41" s="221"/>
      <c r="AD41" s="221"/>
      <c r="AE41" s="221"/>
      <c r="AF41" s="221"/>
      <c r="AG41" s="221"/>
      <c r="AH41" s="221"/>
      <c r="AI41" s="221"/>
      <c r="AJ41" s="221"/>
      <c r="AK41" s="221"/>
      <c r="AL41" s="221"/>
      <c r="AM41" s="221"/>
      <c r="AN41" s="221"/>
      <c r="AO41" s="221"/>
    </row>
    <row r="42" spans="3:41">
      <c r="C42" s="251"/>
      <c r="D42" s="251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R42" s="221"/>
      <c r="S42" s="221"/>
      <c r="T42" s="221"/>
      <c r="U42" s="221"/>
      <c r="V42" s="221"/>
      <c r="W42" s="221"/>
      <c r="X42" s="221"/>
      <c r="Y42" s="221"/>
      <c r="Z42" s="221"/>
      <c r="AA42" s="221"/>
      <c r="AB42" s="221"/>
      <c r="AC42" s="221"/>
      <c r="AD42" s="221"/>
      <c r="AE42" s="221"/>
      <c r="AF42" s="221"/>
      <c r="AG42" s="221"/>
      <c r="AH42" s="221"/>
      <c r="AI42" s="221"/>
      <c r="AJ42" s="221"/>
      <c r="AK42" s="221"/>
      <c r="AL42" s="221"/>
      <c r="AM42" s="221"/>
      <c r="AN42" s="221"/>
      <c r="AO42" s="221"/>
    </row>
    <row r="43" spans="3:41">
      <c r="C43" s="251"/>
      <c r="D43" s="251"/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R43" s="221"/>
      <c r="S43" s="221"/>
      <c r="T43" s="221"/>
      <c r="U43" s="221"/>
      <c r="V43" s="221"/>
      <c r="W43" s="221"/>
      <c r="X43" s="221"/>
      <c r="Y43" s="221"/>
      <c r="Z43" s="221"/>
      <c r="AA43" s="221"/>
      <c r="AB43" s="221"/>
      <c r="AC43" s="221"/>
      <c r="AD43" s="221"/>
      <c r="AE43" s="221"/>
      <c r="AF43" s="221"/>
      <c r="AG43" s="221"/>
      <c r="AH43" s="221"/>
      <c r="AI43" s="221"/>
      <c r="AJ43" s="221"/>
      <c r="AK43" s="221"/>
      <c r="AL43" s="221"/>
      <c r="AM43" s="221"/>
      <c r="AN43" s="221"/>
      <c r="AO43" s="221"/>
    </row>
    <row r="44" spans="3:41">
      <c r="C44" s="251"/>
      <c r="D44" s="251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21"/>
      <c r="S44" s="221"/>
      <c r="T44" s="221"/>
      <c r="U44" s="221"/>
      <c r="V44" s="221"/>
      <c r="W44" s="221"/>
      <c r="X44" s="221"/>
      <c r="Y44" s="221"/>
      <c r="Z44" s="221"/>
      <c r="AA44" s="221"/>
      <c r="AB44" s="221"/>
      <c r="AC44" s="221"/>
      <c r="AD44" s="221"/>
      <c r="AE44" s="221"/>
      <c r="AF44" s="221"/>
      <c r="AG44" s="221"/>
      <c r="AH44" s="221"/>
      <c r="AI44" s="221"/>
      <c r="AJ44" s="221"/>
      <c r="AK44" s="221"/>
      <c r="AL44" s="221"/>
      <c r="AM44" s="221"/>
      <c r="AN44" s="221"/>
      <c r="AO44" s="221"/>
    </row>
    <row r="45" spans="3:41">
      <c r="C45" s="251"/>
      <c r="D45" s="251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221"/>
      <c r="AM45" s="221"/>
      <c r="AN45" s="221"/>
      <c r="AO45" s="221"/>
    </row>
    <row r="46" spans="3:41">
      <c r="C46" s="251"/>
      <c r="D46" s="251"/>
      <c r="E46" s="252"/>
      <c r="F46" s="252"/>
      <c r="G46" s="252"/>
      <c r="H46" s="252"/>
      <c r="I46" s="252"/>
      <c r="J46" s="252"/>
      <c r="K46" s="252"/>
      <c r="L46" s="252"/>
      <c r="M46" s="252"/>
      <c r="N46" s="252"/>
      <c r="O46" s="252"/>
      <c r="P46" s="252"/>
      <c r="Q46" s="252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/>
      <c r="AG46" s="221"/>
      <c r="AH46" s="221"/>
      <c r="AI46" s="221"/>
      <c r="AJ46" s="221"/>
      <c r="AK46" s="221"/>
      <c r="AL46" s="221"/>
      <c r="AM46" s="221"/>
      <c r="AN46" s="221"/>
      <c r="AO46" s="221"/>
    </row>
    <row r="47" spans="3:41">
      <c r="C47" s="251"/>
      <c r="D47" s="251"/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21"/>
      <c r="S47" s="221"/>
      <c r="T47" s="221"/>
      <c r="U47" s="221"/>
      <c r="V47" s="221"/>
      <c r="W47" s="221"/>
      <c r="X47" s="221"/>
      <c r="Y47" s="221"/>
      <c r="Z47" s="221"/>
      <c r="AA47" s="221"/>
      <c r="AB47" s="221"/>
      <c r="AC47" s="221"/>
      <c r="AD47" s="221"/>
      <c r="AE47" s="221"/>
      <c r="AF47" s="221"/>
      <c r="AG47" s="221"/>
      <c r="AH47" s="221"/>
      <c r="AI47" s="221"/>
      <c r="AJ47" s="221"/>
      <c r="AK47" s="221"/>
      <c r="AL47" s="221"/>
      <c r="AM47" s="221"/>
      <c r="AN47" s="221"/>
      <c r="AO47" s="221"/>
    </row>
    <row r="48" spans="3:41">
      <c r="C48" s="251"/>
      <c r="D48" s="251"/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R48" s="221"/>
      <c r="S48" s="221"/>
      <c r="T48" s="221"/>
      <c r="U48" s="221"/>
      <c r="V48" s="221"/>
      <c r="W48" s="221"/>
      <c r="X48" s="221"/>
      <c r="Y48" s="221"/>
      <c r="Z48" s="221"/>
      <c r="AA48" s="221"/>
      <c r="AB48" s="221"/>
      <c r="AC48" s="221"/>
      <c r="AD48" s="221"/>
      <c r="AE48" s="221"/>
      <c r="AF48" s="221"/>
      <c r="AG48" s="221"/>
      <c r="AH48" s="221"/>
      <c r="AI48" s="221"/>
      <c r="AJ48" s="221"/>
      <c r="AK48" s="221"/>
      <c r="AL48" s="221"/>
      <c r="AM48" s="221"/>
      <c r="AN48" s="221"/>
      <c r="AO48" s="221"/>
    </row>
    <row r="49" spans="3:41">
      <c r="C49" s="251"/>
      <c r="D49" s="251"/>
      <c r="E49" s="252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2"/>
      <c r="R49" s="221"/>
      <c r="S49" s="221"/>
      <c r="T49" s="221"/>
      <c r="U49" s="221"/>
      <c r="V49" s="221"/>
      <c r="W49" s="221"/>
      <c r="X49" s="221"/>
      <c r="Y49" s="221"/>
      <c r="Z49" s="221"/>
      <c r="AA49" s="221"/>
      <c r="AB49" s="221"/>
      <c r="AC49" s="221"/>
      <c r="AD49" s="221"/>
      <c r="AE49" s="221"/>
      <c r="AF49" s="221"/>
      <c r="AG49" s="221"/>
      <c r="AH49" s="221"/>
      <c r="AI49" s="221"/>
      <c r="AJ49" s="221"/>
      <c r="AK49" s="221"/>
      <c r="AL49" s="221"/>
      <c r="AM49" s="221"/>
      <c r="AN49" s="221"/>
      <c r="AO49" s="221"/>
    </row>
    <row r="50" spans="3:41">
      <c r="C50" s="251"/>
      <c r="D50" s="251"/>
      <c r="E50" s="252"/>
      <c r="F50" s="252"/>
      <c r="G50" s="252"/>
      <c r="H50" s="252"/>
      <c r="I50" s="252"/>
      <c r="J50" s="252"/>
      <c r="K50" s="252"/>
      <c r="L50" s="252"/>
      <c r="M50" s="252"/>
      <c r="N50" s="252"/>
      <c r="O50" s="252"/>
      <c r="P50" s="252"/>
      <c r="Q50" s="252"/>
      <c r="R50" s="221"/>
      <c r="S50" s="221"/>
      <c r="T50" s="221"/>
      <c r="U50" s="221"/>
      <c r="V50" s="221"/>
      <c r="W50" s="221"/>
      <c r="X50" s="221"/>
      <c r="Y50" s="221"/>
      <c r="Z50" s="221"/>
      <c r="AA50" s="221"/>
      <c r="AB50" s="221"/>
      <c r="AC50" s="221"/>
      <c r="AD50" s="221"/>
      <c r="AE50" s="221"/>
      <c r="AF50" s="221"/>
      <c r="AG50" s="221"/>
      <c r="AH50" s="221"/>
      <c r="AI50" s="221"/>
      <c r="AJ50" s="221"/>
      <c r="AK50" s="221"/>
      <c r="AL50" s="221"/>
      <c r="AM50" s="221"/>
      <c r="AN50" s="221"/>
      <c r="AO50" s="221"/>
    </row>
    <row r="51" spans="3:41">
      <c r="C51" s="251"/>
      <c r="D51" s="251"/>
      <c r="E51" s="252"/>
      <c r="F51" s="252"/>
      <c r="G51" s="252"/>
      <c r="H51" s="252"/>
      <c r="I51" s="252"/>
      <c r="J51" s="252"/>
      <c r="K51" s="252"/>
      <c r="L51" s="252"/>
      <c r="M51" s="252"/>
      <c r="N51" s="252"/>
      <c r="O51" s="252"/>
      <c r="P51" s="252"/>
      <c r="Q51" s="252"/>
      <c r="R51" s="221"/>
      <c r="S51" s="221"/>
      <c r="T51" s="221"/>
      <c r="U51" s="221"/>
      <c r="V51" s="221"/>
      <c r="W51" s="221"/>
      <c r="X51" s="221"/>
      <c r="Y51" s="221"/>
      <c r="Z51" s="221"/>
      <c r="AA51" s="221"/>
      <c r="AB51" s="221"/>
      <c r="AC51" s="221"/>
      <c r="AD51" s="221"/>
      <c r="AE51" s="221"/>
      <c r="AF51" s="221"/>
      <c r="AG51" s="221"/>
      <c r="AH51" s="221"/>
      <c r="AI51" s="221"/>
      <c r="AJ51" s="221"/>
      <c r="AK51" s="221"/>
      <c r="AL51" s="221"/>
      <c r="AM51" s="221"/>
      <c r="AN51" s="221"/>
      <c r="AO51" s="221"/>
    </row>
    <row r="52" spans="3:41">
      <c r="C52" s="251"/>
      <c r="D52" s="251"/>
      <c r="E52" s="252"/>
      <c r="F52" s="252"/>
      <c r="G52" s="252"/>
      <c r="H52" s="252"/>
      <c r="I52" s="252"/>
      <c r="J52" s="252"/>
      <c r="K52" s="252"/>
      <c r="L52" s="252"/>
      <c r="M52" s="252"/>
      <c r="N52" s="252"/>
      <c r="O52" s="252"/>
      <c r="P52" s="252"/>
      <c r="Q52" s="252"/>
      <c r="R52" s="221"/>
      <c r="S52" s="221"/>
      <c r="T52" s="221"/>
      <c r="U52" s="221"/>
      <c r="V52" s="221"/>
      <c r="W52" s="221"/>
      <c r="X52" s="221"/>
      <c r="Y52" s="221"/>
      <c r="Z52" s="221"/>
      <c r="AA52" s="221"/>
      <c r="AB52" s="221"/>
      <c r="AC52" s="221"/>
      <c r="AD52" s="221"/>
      <c r="AE52" s="221"/>
      <c r="AF52" s="221"/>
      <c r="AG52" s="221"/>
      <c r="AH52" s="221"/>
      <c r="AI52" s="221"/>
      <c r="AJ52" s="221"/>
      <c r="AK52" s="221"/>
      <c r="AL52" s="221"/>
      <c r="AM52" s="221"/>
      <c r="AN52" s="221"/>
      <c r="AO52" s="221"/>
    </row>
    <row r="53" spans="3:41">
      <c r="C53" s="251"/>
      <c r="D53" s="251"/>
      <c r="E53" s="252"/>
      <c r="F53" s="252"/>
      <c r="G53" s="252"/>
      <c r="H53" s="252"/>
      <c r="I53" s="252"/>
      <c r="J53" s="252"/>
      <c r="K53" s="252"/>
      <c r="L53" s="252"/>
      <c r="M53" s="252"/>
      <c r="N53" s="252"/>
      <c r="O53" s="252"/>
      <c r="P53" s="252"/>
      <c r="Q53" s="252"/>
      <c r="R53" s="221"/>
      <c r="S53" s="221"/>
      <c r="T53" s="221"/>
      <c r="U53" s="221"/>
      <c r="V53" s="221"/>
      <c r="W53" s="221"/>
      <c r="X53" s="221"/>
      <c r="Y53" s="221"/>
      <c r="Z53" s="221"/>
      <c r="AA53" s="221"/>
      <c r="AB53" s="221"/>
      <c r="AC53" s="221"/>
      <c r="AD53" s="221"/>
      <c r="AE53" s="221"/>
      <c r="AF53" s="221"/>
      <c r="AG53" s="221"/>
      <c r="AH53" s="221"/>
      <c r="AI53" s="221"/>
      <c r="AJ53" s="221"/>
      <c r="AK53" s="221"/>
      <c r="AL53" s="221"/>
      <c r="AM53" s="221"/>
      <c r="AN53" s="221"/>
      <c r="AO53" s="221"/>
    </row>
    <row r="54" spans="3:41">
      <c r="C54" s="251"/>
      <c r="D54" s="251"/>
      <c r="E54" s="252"/>
      <c r="F54" s="252"/>
      <c r="G54" s="252"/>
      <c r="H54" s="252"/>
      <c r="I54" s="252"/>
      <c r="J54" s="252"/>
      <c r="K54" s="252"/>
      <c r="L54" s="252"/>
      <c r="M54" s="252"/>
      <c r="N54" s="252"/>
      <c r="O54" s="252"/>
      <c r="P54" s="252"/>
      <c r="Q54" s="252"/>
      <c r="R54" s="221"/>
      <c r="S54" s="221"/>
      <c r="T54" s="221"/>
      <c r="U54" s="221"/>
      <c r="V54" s="221"/>
      <c r="W54" s="221"/>
      <c r="X54" s="221"/>
      <c r="Y54" s="221"/>
      <c r="Z54" s="221"/>
      <c r="AA54" s="221"/>
      <c r="AB54" s="221"/>
      <c r="AC54" s="221"/>
      <c r="AD54" s="221"/>
      <c r="AE54" s="221"/>
      <c r="AF54" s="221"/>
      <c r="AG54" s="221"/>
      <c r="AH54" s="221"/>
      <c r="AI54" s="221"/>
      <c r="AJ54" s="221"/>
      <c r="AK54" s="221"/>
      <c r="AL54" s="221"/>
      <c r="AM54" s="221"/>
      <c r="AN54" s="221"/>
      <c r="AO54" s="221"/>
    </row>
    <row r="55" spans="3:41">
      <c r="C55" s="251"/>
      <c r="D55" s="251"/>
      <c r="E55" s="252"/>
      <c r="F55" s="252"/>
      <c r="G55" s="252"/>
      <c r="H55" s="252"/>
      <c r="I55" s="252"/>
      <c r="J55" s="252"/>
      <c r="K55" s="252"/>
      <c r="L55" s="252"/>
      <c r="M55" s="252"/>
      <c r="N55" s="252"/>
      <c r="O55" s="252"/>
      <c r="P55" s="252"/>
      <c r="Q55" s="252"/>
      <c r="R55" s="221"/>
      <c r="S55" s="221"/>
      <c r="T55" s="221"/>
      <c r="U55" s="221"/>
      <c r="V55" s="221"/>
      <c r="W55" s="221"/>
      <c r="X55" s="221"/>
      <c r="Y55" s="221"/>
      <c r="Z55" s="221"/>
      <c r="AA55" s="221"/>
      <c r="AB55" s="221"/>
      <c r="AC55" s="221"/>
      <c r="AD55" s="221"/>
      <c r="AE55" s="221"/>
      <c r="AF55" s="221"/>
      <c r="AG55" s="221"/>
      <c r="AH55" s="221"/>
      <c r="AI55" s="221"/>
      <c r="AJ55" s="221"/>
      <c r="AK55" s="221"/>
      <c r="AL55" s="221"/>
      <c r="AM55" s="221"/>
      <c r="AN55" s="221"/>
      <c r="AO55" s="221"/>
    </row>
    <row r="56" spans="3:41">
      <c r="C56" s="251"/>
      <c r="D56" s="251"/>
      <c r="E56" s="252"/>
      <c r="F56" s="252"/>
      <c r="G56" s="252"/>
      <c r="H56" s="252"/>
      <c r="I56" s="252"/>
      <c r="J56" s="252"/>
      <c r="K56" s="252"/>
      <c r="L56" s="252"/>
      <c r="M56" s="252"/>
      <c r="N56" s="252"/>
      <c r="O56" s="252"/>
      <c r="P56" s="252"/>
      <c r="Q56" s="252"/>
      <c r="R56" s="221"/>
      <c r="S56" s="221"/>
      <c r="T56" s="221"/>
      <c r="U56" s="221"/>
      <c r="V56" s="221"/>
      <c r="W56" s="221"/>
      <c r="X56" s="221"/>
      <c r="Y56" s="221"/>
      <c r="Z56" s="221"/>
      <c r="AA56" s="221"/>
      <c r="AB56" s="221"/>
      <c r="AC56" s="221"/>
      <c r="AD56" s="221"/>
      <c r="AE56" s="221"/>
      <c r="AF56" s="221"/>
      <c r="AG56" s="221"/>
      <c r="AH56" s="221"/>
      <c r="AI56" s="221"/>
      <c r="AJ56" s="221"/>
      <c r="AK56" s="221"/>
      <c r="AL56" s="221"/>
      <c r="AM56" s="221"/>
      <c r="AN56" s="221"/>
      <c r="AO56" s="221"/>
    </row>
    <row r="57" spans="3:41">
      <c r="C57" s="251"/>
      <c r="D57" s="251"/>
      <c r="E57" s="252"/>
      <c r="F57" s="252"/>
      <c r="G57" s="252"/>
      <c r="H57" s="252"/>
      <c r="I57" s="252"/>
      <c r="J57" s="252"/>
      <c r="K57" s="252"/>
      <c r="L57" s="252"/>
      <c r="M57" s="252"/>
      <c r="N57" s="252"/>
      <c r="O57" s="252"/>
      <c r="P57" s="252"/>
      <c r="Q57" s="252"/>
      <c r="R57" s="221"/>
      <c r="S57" s="221"/>
      <c r="T57" s="221"/>
      <c r="U57" s="221"/>
      <c r="V57" s="221"/>
      <c r="W57" s="221"/>
      <c r="X57" s="221"/>
      <c r="Y57" s="221"/>
      <c r="Z57" s="221"/>
      <c r="AA57" s="221"/>
      <c r="AB57" s="221"/>
      <c r="AC57" s="221"/>
      <c r="AD57" s="221"/>
      <c r="AE57" s="221"/>
      <c r="AF57" s="221"/>
      <c r="AG57" s="221"/>
      <c r="AH57" s="221"/>
      <c r="AI57" s="221"/>
      <c r="AJ57" s="221"/>
      <c r="AK57" s="221"/>
      <c r="AL57" s="221"/>
      <c r="AM57" s="221"/>
      <c r="AN57" s="221"/>
      <c r="AO57" s="221"/>
    </row>
    <row r="58" spans="3:41">
      <c r="C58" s="251"/>
      <c r="D58" s="251"/>
      <c r="E58" s="252"/>
      <c r="F58" s="252"/>
      <c r="G58" s="252"/>
      <c r="H58" s="252"/>
      <c r="I58" s="252"/>
      <c r="J58" s="252"/>
      <c r="K58" s="252"/>
      <c r="L58" s="252"/>
      <c r="M58" s="252"/>
      <c r="N58" s="252"/>
      <c r="O58" s="252"/>
      <c r="P58" s="252"/>
      <c r="Q58" s="252"/>
      <c r="R58" s="221"/>
      <c r="S58" s="221"/>
      <c r="T58" s="221"/>
      <c r="U58" s="221"/>
      <c r="V58" s="221"/>
      <c r="W58" s="221"/>
      <c r="X58" s="221"/>
      <c r="Y58" s="221"/>
      <c r="Z58" s="221"/>
      <c r="AA58" s="221"/>
      <c r="AB58" s="221"/>
      <c r="AC58" s="221"/>
      <c r="AD58" s="221"/>
      <c r="AE58" s="221"/>
      <c r="AF58" s="221"/>
      <c r="AG58" s="221"/>
      <c r="AH58" s="221"/>
      <c r="AI58" s="221"/>
      <c r="AJ58" s="221"/>
      <c r="AK58" s="221"/>
      <c r="AL58" s="221"/>
      <c r="AM58" s="221"/>
      <c r="AN58" s="221"/>
      <c r="AO58" s="221"/>
    </row>
    <row r="59" spans="3:41">
      <c r="C59" s="251"/>
      <c r="D59" s="251"/>
      <c r="E59" s="252"/>
      <c r="F59" s="252"/>
      <c r="G59" s="252"/>
      <c r="H59" s="252"/>
      <c r="I59" s="252"/>
      <c r="J59" s="252"/>
      <c r="K59" s="252"/>
      <c r="L59" s="252"/>
      <c r="M59" s="252"/>
      <c r="N59" s="252"/>
      <c r="O59" s="252"/>
      <c r="P59" s="252"/>
      <c r="Q59" s="252"/>
      <c r="R59" s="221"/>
      <c r="S59" s="221"/>
      <c r="T59" s="221"/>
      <c r="U59" s="221"/>
      <c r="V59" s="221"/>
      <c r="W59" s="221"/>
      <c r="X59" s="221"/>
      <c r="Y59" s="221"/>
      <c r="Z59" s="221"/>
      <c r="AA59" s="221"/>
      <c r="AB59" s="221"/>
      <c r="AC59" s="221"/>
      <c r="AD59" s="221"/>
      <c r="AE59" s="221"/>
      <c r="AF59" s="221"/>
      <c r="AG59" s="221"/>
      <c r="AH59" s="221"/>
      <c r="AI59" s="221"/>
      <c r="AJ59" s="221"/>
      <c r="AK59" s="221"/>
      <c r="AL59" s="221"/>
      <c r="AM59" s="221"/>
      <c r="AN59" s="221"/>
      <c r="AO59" s="221"/>
    </row>
    <row r="60" spans="3:41">
      <c r="C60" s="251"/>
      <c r="D60" s="251"/>
      <c r="E60" s="252"/>
      <c r="F60" s="252"/>
      <c r="G60" s="252"/>
      <c r="H60" s="252"/>
      <c r="I60" s="252"/>
      <c r="J60" s="252"/>
      <c r="K60" s="252"/>
      <c r="L60" s="252"/>
      <c r="M60" s="252"/>
      <c r="N60" s="252"/>
      <c r="O60" s="252"/>
      <c r="P60" s="252"/>
      <c r="Q60" s="252"/>
      <c r="R60" s="221"/>
      <c r="S60" s="221"/>
      <c r="T60" s="221"/>
      <c r="U60" s="221"/>
      <c r="V60" s="221"/>
      <c r="W60" s="221"/>
      <c r="X60" s="221"/>
      <c r="Y60" s="221"/>
      <c r="Z60" s="221"/>
      <c r="AA60" s="221"/>
      <c r="AB60" s="221"/>
      <c r="AC60" s="221"/>
      <c r="AD60" s="221"/>
      <c r="AE60" s="221"/>
      <c r="AF60" s="221"/>
      <c r="AG60" s="221"/>
      <c r="AH60" s="221"/>
      <c r="AI60" s="221"/>
      <c r="AJ60" s="221"/>
      <c r="AK60" s="221"/>
      <c r="AL60" s="221"/>
      <c r="AM60" s="221"/>
      <c r="AN60" s="221"/>
      <c r="AO60" s="221"/>
    </row>
    <row r="61" spans="3:41">
      <c r="C61" s="251"/>
      <c r="D61" s="251"/>
      <c r="E61" s="252"/>
      <c r="F61" s="252"/>
      <c r="G61" s="252"/>
      <c r="H61" s="252"/>
      <c r="I61" s="252"/>
      <c r="J61" s="252"/>
      <c r="K61" s="252"/>
      <c r="L61" s="252"/>
      <c r="M61" s="252"/>
      <c r="N61" s="252"/>
      <c r="O61" s="252"/>
      <c r="P61" s="252"/>
      <c r="Q61" s="252"/>
      <c r="R61" s="221"/>
      <c r="S61" s="221"/>
      <c r="T61" s="221"/>
      <c r="U61" s="221"/>
      <c r="V61" s="221"/>
      <c r="W61" s="221"/>
      <c r="X61" s="221"/>
      <c r="Y61" s="221"/>
      <c r="Z61" s="221"/>
      <c r="AA61" s="221"/>
      <c r="AB61" s="221"/>
      <c r="AC61" s="221"/>
      <c r="AD61" s="221"/>
      <c r="AE61" s="221"/>
      <c r="AF61" s="221"/>
      <c r="AG61" s="221"/>
      <c r="AH61" s="221"/>
      <c r="AI61" s="221"/>
      <c r="AJ61" s="221"/>
      <c r="AK61" s="221"/>
      <c r="AL61" s="221"/>
      <c r="AM61" s="221"/>
      <c r="AN61" s="221"/>
      <c r="AO61" s="221"/>
    </row>
    <row r="62" spans="3:41" ht="15.75" thickBot="1">
      <c r="C62" s="251"/>
      <c r="D62" s="251"/>
      <c r="E62" s="252"/>
      <c r="F62" s="221" t="s">
        <v>15</v>
      </c>
      <c r="G62" s="253" t="s">
        <v>4</v>
      </c>
      <c r="H62" s="252"/>
      <c r="I62" s="252"/>
      <c r="J62" s="252"/>
      <c r="K62" s="252"/>
      <c r="L62" s="252"/>
      <c r="M62" s="252"/>
      <c r="N62" s="252"/>
      <c r="O62" s="252"/>
      <c r="P62" s="252"/>
      <c r="Q62" s="252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  <c r="AE62" s="221"/>
      <c r="AF62" s="221"/>
      <c r="AG62" s="221"/>
      <c r="AH62" s="221"/>
      <c r="AI62" s="221"/>
      <c r="AJ62" s="221"/>
      <c r="AK62" s="221"/>
      <c r="AL62" s="221"/>
      <c r="AM62" s="221"/>
      <c r="AN62" s="221"/>
      <c r="AO62" s="221"/>
    </row>
    <row r="63" spans="3:41" ht="36.75" thickBot="1">
      <c r="C63" s="251"/>
      <c r="D63" s="254"/>
      <c r="E63" s="255" t="s">
        <v>20</v>
      </c>
      <c r="F63" s="256">
        <v>0.1</v>
      </c>
      <c r="G63" s="257">
        <f>(1+F63)^(1/12)-1</f>
        <v>7.9741404289037643E-3</v>
      </c>
      <c r="H63" s="258"/>
      <c r="I63" s="259">
        <f>IRR(E40:AO40)</f>
        <v>2.9245585614218417E-2</v>
      </c>
      <c r="J63" s="252" t="s">
        <v>36</v>
      </c>
      <c r="K63" s="252"/>
      <c r="L63" s="252"/>
      <c r="M63" s="252"/>
      <c r="N63" s="252"/>
      <c r="O63" s="252"/>
      <c r="P63" s="252"/>
      <c r="Q63" s="252"/>
      <c r="R63" s="221"/>
      <c r="S63" s="221"/>
      <c r="T63" s="221"/>
      <c r="U63" s="221"/>
      <c r="V63" s="221"/>
      <c r="W63" s="221"/>
      <c r="X63" s="221"/>
      <c r="Y63" s="221"/>
      <c r="Z63" s="221"/>
      <c r="AA63" s="221"/>
      <c r="AB63" s="221"/>
      <c r="AC63" s="221"/>
      <c r="AD63" s="221"/>
      <c r="AE63" s="221"/>
      <c r="AF63" s="221"/>
      <c r="AG63" s="221"/>
      <c r="AH63" s="221"/>
      <c r="AI63" s="221"/>
      <c r="AJ63" s="221"/>
      <c r="AK63" s="221"/>
      <c r="AL63" s="221"/>
      <c r="AM63" s="221"/>
      <c r="AN63" s="221"/>
      <c r="AO63" s="221"/>
    </row>
    <row r="64" spans="3:41" ht="15.75" thickBot="1">
      <c r="C64" s="251"/>
      <c r="D64" s="251"/>
      <c r="E64" s="252"/>
      <c r="F64" s="252"/>
      <c r="G64" s="252"/>
      <c r="H64" s="252"/>
      <c r="I64" s="259">
        <f>+(1+I63)^12-1</f>
        <v>0.41327981440254535</v>
      </c>
      <c r="J64" s="252" t="s">
        <v>37</v>
      </c>
      <c r="K64" s="252"/>
      <c r="L64" s="252"/>
      <c r="M64" s="252"/>
      <c r="N64" s="252"/>
      <c r="O64" s="252"/>
      <c r="P64" s="252"/>
      <c r="Q64" s="252"/>
      <c r="R64" s="221"/>
      <c r="S64" s="221"/>
      <c r="T64" s="221"/>
      <c r="U64" s="221"/>
      <c r="V64" s="221"/>
      <c r="W64" s="221"/>
      <c r="X64" s="221"/>
      <c r="Y64" s="221"/>
      <c r="Z64" s="221"/>
      <c r="AA64" s="221"/>
      <c r="AB64" s="221"/>
      <c r="AC64" s="221"/>
      <c r="AD64" s="221"/>
      <c r="AE64" s="221"/>
      <c r="AF64" s="221"/>
      <c r="AG64" s="221"/>
      <c r="AH64" s="221"/>
      <c r="AI64" s="221"/>
      <c r="AJ64" s="221"/>
      <c r="AK64" s="221"/>
      <c r="AL64" s="221"/>
      <c r="AM64" s="221"/>
      <c r="AN64" s="221"/>
      <c r="AO64" s="221"/>
    </row>
    <row r="65" spans="3:41">
      <c r="C65" s="260" t="s">
        <v>16</v>
      </c>
      <c r="D65" s="261"/>
      <c r="E65" s="262"/>
      <c r="F65" s="262"/>
      <c r="G65" s="263">
        <f>NPV(G63,E6:AO6)</f>
        <v>1025212.8805263969</v>
      </c>
      <c r="H65" s="221"/>
      <c r="I65" s="264"/>
      <c r="J65" s="265"/>
      <c r="K65" s="221"/>
      <c r="L65" s="221"/>
      <c r="M65" s="221"/>
      <c r="N65" s="221"/>
      <c r="O65" s="221"/>
      <c r="P65" s="221"/>
      <c r="Q65" s="221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G65" s="221"/>
      <c r="AH65" s="221"/>
      <c r="AI65" s="221"/>
      <c r="AJ65" s="221"/>
      <c r="AK65" s="221"/>
      <c r="AL65" s="221"/>
      <c r="AM65" s="221"/>
      <c r="AN65" s="221"/>
      <c r="AO65" s="221"/>
    </row>
    <row r="66" spans="3:41" ht="15.75" thickBot="1">
      <c r="C66" s="266"/>
      <c r="D66" s="267"/>
      <c r="E66" s="268"/>
      <c r="F66" s="269"/>
      <c r="G66" s="270"/>
      <c r="H66" s="231"/>
      <c r="I66" s="243"/>
      <c r="J66" s="271"/>
      <c r="K66" s="231"/>
      <c r="L66" s="231"/>
      <c r="M66" s="231"/>
      <c r="N66" s="231"/>
      <c r="O66" s="231"/>
      <c r="P66" s="231"/>
      <c r="Q66" s="231"/>
      <c r="R66" s="231"/>
      <c r="S66" s="231"/>
      <c r="T66" s="231"/>
      <c r="U66" s="231"/>
      <c r="V66" s="221"/>
      <c r="W66" s="221"/>
      <c r="X66" s="221"/>
      <c r="Y66" s="221"/>
      <c r="Z66" s="221"/>
      <c r="AA66" s="221"/>
      <c r="AB66" s="221"/>
      <c r="AC66" s="221"/>
      <c r="AD66" s="221"/>
      <c r="AE66" s="221"/>
      <c r="AF66" s="221"/>
      <c r="AG66" s="221"/>
      <c r="AH66" s="221"/>
      <c r="AI66" s="221"/>
      <c r="AJ66" s="221"/>
      <c r="AK66" s="221"/>
      <c r="AL66" s="221"/>
      <c r="AM66" s="221"/>
      <c r="AN66" s="221"/>
      <c r="AO66" s="221"/>
    </row>
    <row r="67" spans="3:41" ht="15.75" thickBot="1">
      <c r="C67" s="272"/>
      <c r="D67" s="272"/>
      <c r="E67" s="273"/>
      <c r="F67" s="274"/>
      <c r="G67" s="275"/>
      <c r="H67" s="231"/>
      <c r="I67" s="231"/>
      <c r="J67" s="231"/>
      <c r="K67" s="231"/>
      <c r="L67" s="231"/>
      <c r="M67" s="221"/>
      <c r="N67" s="221"/>
      <c r="O67" s="221"/>
      <c r="P67" s="221"/>
      <c r="Q67" s="221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G67" s="221"/>
      <c r="AH67" s="221"/>
      <c r="AI67" s="221"/>
      <c r="AJ67" s="221"/>
      <c r="AK67" s="221"/>
      <c r="AL67" s="221"/>
      <c r="AM67" s="221"/>
      <c r="AN67" s="221"/>
      <c r="AO67" s="221"/>
    </row>
    <row r="68" spans="3:41" ht="15.75" thickBot="1">
      <c r="C68" s="276" t="s">
        <v>17</v>
      </c>
      <c r="D68" s="277"/>
      <c r="E68" s="256"/>
      <c r="F68" s="278"/>
      <c r="G68" s="279">
        <f>NPV(+G63,F40:AO40)+E40</f>
        <v>136196.84237083053</v>
      </c>
      <c r="H68" s="231"/>
      <c r="I68" s="231"/>
      <c r="J68" s="231"/>
      <c r="K68" s="231"/>
      <c r="L68" s="23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E68" s="221"/>
      <c r="AF68" s="221"/>
      <c r="AG68" s="221"/>
      <c r="AH68" s="221"/>
      <c r="AI68" s="221"/>
      <c r="AJ68" s="221"/>
      <c r="AK68" s="221"/>
      <c r="AL68" s="221"/>
      <c r="AM68" s="221"/>
      <c r="AN68" s="221"/>
      <c r="AO68" s="221"/>
    </row>
    <row r="69" spans="3:41" ht="15.75" thickBot="1">
      <c r="C69" s="221"/>
      <c r="D69" s="221"/>
      <c r="E69" s="258"/>
      <c r="F69" s="258"/>
      <c r="G69" s="258"/>
      <c r="H69" s="258"/>
      <c r="I69" s="258"/>
      <c r="J69" s="258"/>
      <c r="K69" s="258"/>
      <c r="L69" s="258"/>
      <c r="M69" s="221"/>
      <c r="N69" s="221"/>
      <c r="O69" s="221"/>
      <c r="P69" s="221"/>
      <c r="Q69" s="221"/>
      <c r="R69" s="221"/>
      <c r="S69" s="221"/>
      <c r="T69" s="221"/>
      <c r="U69" s="221"/>
      <c r="V69" s="221"/>
      <c r="W69" s="221"/>
      <c r="X69" s="221"/>
      <c r="Y69" s="221"/>
      <c r="Z69" s="221"/>
      <c r="AA69" s="221"/>
      <c r="AB69" s="221"/>
      <c r="AC69" s="221"/>
      <c r="AD69" s="221"/>
      <c r="AE69" s="221"/>
      <c r="AF69" s="221"/>
      <c r="AG69" s="221"/>
      <c r="AH69" s="221"/>
      <c r="AI69" s="221"/>
      <c r="AJ69" s="221"/>
      <c r="AK69" s="221"/>
      <c r="AL69" s="221"/>
      <c r="AM69" s="221"/>
      <c r="AN69" s="221"/>
      <c r="AO69" s="221"/>
    </row>
    <row r="70" spans="3:41" ht="24.75" thickBot="1">
      <c r="C70" s="276" t="s">
        <v>21</v>
      </c>
      <c r="D70" s="280"/>
      <c r="E70" s="281"/>
      <c r="F70" s="281"/>
      <c r="G70" s="279">
        <f>SUM(G75:AO75)</f>
        <v>30</v>
      </c>
      <c r="H70" s="258"/>
      <c r="I70" s="258"/>
      <c r="J70" s="258"/>
      <c r="K70" s="258"/>
      <c r="L70" s="258"/>
      <c r="M70" s="221"/>
      <c r="N70" s="221"/>
      <c r="O70" s="221"/>
      <c r="P70" s="221"/>
      <c r="Q70" s="221"/>
      <c r="R70" s="221"/>
      <c r="S70" s="221"/>
      <c r="T70" s="221"/>
      <c r="U70" s="221"/>
      <c r="V70" s="221"/>
      <c r="W70" s="221"/>
      <c r="X70" s="221"/>
      <c r="Y70" s="221"/>
      <c r="Z70" s="221"/>
      <c r="AA70" s="221"/>
      <c r="AB70" s="221"/>
      <c r="AC70" s="221"/>
      <c r="AD70" s="221"/>
      <c r="AE70" s="221"/>
      <c r="AF70" s="221"/>
      <c r="AG70" s="221"/>
      <c r="AH70" s="221"/>
      <c r="AI70" s="221"/>
      <c r="AJ70" s="221"/>
      <c r="AK70" s="221"/>
      <c r="AL70" s="221"/>
      <c r="AM70" s="221"/>
      <c r="AN70" s="221"/>
      <c r="AO70" s="221"/>
    </row>
    <row r="71" spans="3:41" s="285" customFormat="1" ht="12.75">
      <c r="C71" s="282"/>
      <c r="D71" s="283"/>
      <c r="E71" s="283"/>
      <c r="F71" s="284"/>
      <c r="G71" s="284"/>
      <c r="H71" s="284"/>
      <c r="I71" s="284"/>
      <c r="J71" s="284"/>
      <c r="K71" s="284"/>
      <c r="L71" s="284"/>
      <c r="M71" s="284"/>
      <c r="N71" s="284"/>
      <c r="O71" s="284"/>
      <c r="P71" s="284"/>
      <c r="Q71" s="284"/>
      <c r="R71" s="284"/>
      <c r="S71" s="284"/>
      <c r="T71" s="284"/>
      <c r="U71" s="284"/>
      <c r="V71" s="284"/>
      <c r="W71" s="284"/>
      <c r="X71" s="284"/>
      <c r="Y71" s="284"/>
      <c r="Z71" s="284"/>
      <c r="AA71" s="284"/>
      <c r="AB71" s="284"/>
      <c r="AC71" s="284"/>
      <c r="AD71" s="284"/>
      <c r="AE71" s="284"/>
      <c r="AF71" s="284"/>
      <c r="AG71" s="284"/>
      <c r="AH71" s="284"/>
      <c r="AI71" s="284"/>
      <c r="AJ71" s="284"/>
      <c r="AK71" s="284"/>
      <c r="AL71" s="283"/>
      <c r="AM71" s="283"/>
      <c r="AN71" s="283"/>
      <c r="AO71" s="283"/>
    </row>
    <row r="72" spans="3:41" s="285" customFormat="1" ht="24">
      <c r="C72" s="282"/>
      <c r="D72" s="286" t="s">
        <v>22</v>
      </c>
      <c r="E72" s="226" t="s">
        <v>6</v>
      </c>
      <c r="F72" s="226">
        <v>0</v>
      </c>
      <c r="G72" s="287">
        <v>1</v>
      </c>
      <c r="H72" s="226">
        <v>2</v>
      </c>
      <c r="I72" s="226">
        <v>3</v>
      </c>
      <c r="J72" s="287">
        <v>4</v>
      </c>
      <c r="K72" s="226">
        <v>5</v>
      </c>
      <c r="L72" s="287">
        <v>6</v>
      </c>
      <c r="M72" s="287">
        <v>7</v>
      </c>
      <c r="N72" s="226">
        <v>8</v>
      </c>
      <c r="O72" s="226">
        <v>9</v>
      </c>
      <c r="P72" s="287">
        <v>10</v>
      </c>
      <c r="Q72" s="226">
        <v>11</v>
      </c>
      <c r="R72" s="287">
        <v>12</v>
      </c>
      <c r="S72" s="288">
        <f t="shared" ref="S72:AO72" si="14">+R72+1</f>
        <v>13</v>
      </c>
      <c r="T72" s="288">
        <f t="shared" si="14"/>
        <v>14</v>
      </c>
      <c r="U72" s="288">
        <f t="shared" si="14"/>
        <v>15</v>
      </c>
      <c r="V72" s="288">
        <f t="shared" si="14"/>
        <v>16</v>
      </c>
      <c r="W72" s="288">
        <f t="shared" si="14"/>
        <v>17</v>
      </c>
      <c r="X72" s="288">
        <f t="shared" si="14"/>
        <v>18</v>
      </c>
      <c r="Y72" s="288">
        <f t="shared" si="14"/>
        <v>19</v>
      </c>
      <c r="Z72" s="288">
        <f t="shared" si="14"/>
        <v>20</v>
      </c>
      <c r="AA72" s="288">
        <f t="shared" si="14"/>
        <v>21</v>
      </c>
      <c r="AB72" s="288">
        <f t="shared" si="14"/>
        <v>22</v>
      </c>
      <c r="AC72" s="288">
        <f t="shared" si="14"/>
        <v>23</v>
      </c>
      <c r="AD72" s="288">
        <f t="shared" si="14"/>
        <v>24</v>
      </c>
      <c r="AE72" s="288">
        <f t="shared" si="14"/>
        <v>25</v>
      </c>
      <c r="AF72" s="288">
        <f t="shared" si="14"/>
        <v>26</v>
      </c>
      <c r="AG72" s="288">
        <f t="shared" si="14"/>
        <v>27</v>
      </c>
      <c r="AH72" s="288">
        <f t="shared" si="14"/>
        <v>28</v>
      </c>
      <c r="AI72" s="288">
        <f t="shared" si="14"/>
        <v>29</v>
      </c>
      <c r="AJ72" s="288">
        <f t="shared" si="14"/>
        <v>30</v>
      </c>
      <c r="AK72" s="288">
        <f t="shared" si="14"/>
        <v>31</v>
      </c>
      <c r="AL72" s="288">
        <f t="shared" si="14"/>
        <v>32</v>
      </c>
      <c r="AM72" s="288">
        <f t="shared" si="14"/>
        <v>33</v>
      </c>
      <c r="AN72" s="288">
        <f t="shared" si="14"/>
        <v>34</v>
      </c>
      <c r="AO72" s="288">
        <f t="shared" si="14"/>
        <v>35</v>
      </c>
    </row>
    <row r="73" spans="3:41" s="292" customFormat="1" ht="12.75">
      <c r="C73" s="289"/>
      <c r="D73" s="289"/>
      <c r="E73" s="290"/>
      <c r="F73" s="291">
        <f t="shared" ref="F73:AO73" si="15">+E40</f>
        <v>-23068.051687091989</v>
      </c>
      <c r="G73" s="291">
        <f t="shared" si="15"/>
        <v>-25202.429092048034</v>
      </c>
      <c r="H73" s="291">
        <f t="shared" si="15"/>
        <v>-23837.671723141779</v>
      </c>
      <c r="I73" s="291">
        <f t="shared" si="15"/>
        <v>-22017.995231266785</v>
      </c>
      <c r="J73" s="291">
        <f t="shared" si="15"/>
        <v>-20198.318739391783</v>
      </c>
      <c r="K73" s="291">
        <f t="shared" si="15"/>
        <v>-18378.642247516782</v>
      </c>
      <c r="L73" s="291">
        <f t="shared" si="15"/>
        <v>-16558.965755641781</v>
      </c>
      <c r="M73" s="291">
        <f t="shared" si="15"/>
        <v>-14739.289263766786</v>
      </c>
      <c r="N73" s="291">
        <f t="shared" si="15"/>
        <v>-12919.612771891783</v>
      </c>
      <c r="O73" s="291">
        <f t="shared" si="15"/>
        <v>-11099.936280016784</v>
      </c>
      <c r="P73" s="291">
        <f t="shared" si="15"/>
        <v>-9280.2597881417896</v>
      </c>
      <c r="Q73" s="291">
        <f t="shared" si="15"/>
        <v>-7460.5832962667873</v>
      </c>
      <c r="R73" s="291">
        <f t="shared" si="15"/>
        <v>-5640.906804391786</v>
      </c>
      <c r="S73" s="291">
        <f t="shared" si="15"/>
        <v>-3091.4942250167851</v>
      </c>
      <c r="T73" s="291">
        <f t="shared" si="15"/>
        <v>-1271.8177331417869</v>
      </c>
      <c r="U73" s="291">
        <f t="shared" si="15"/>
        <v>547.85875873321402</v>
      </c>
      <c r="V73" s="291">
        <f t="shared" si="15"/>
        <v>2367.5352506082154</v>
      </c>
      <c r="W73" s="291">
        <f t="shared" si="15"/>
        <v>4187.2117424832168</v>
      </c>
      <c r="X73" s="291">
        <f t="shared" si="15"/>
        <v>6006.88823435821</v>
      </c>
      <c r="Y73" s="291">
        <f t="shared" si="15"/>
        <v>7826.5647262332122</v>
      </c>
      <c r="Z73" s="291">
        <f t="shared" si="15"/>
        <v>9646.2412181082163</v>
      </c>
      <c r="AA73" s="291">
        <f t="shared" si="15"/>
        <v>11465.917709983207</v>
      </c>
      <c r="AB73" s="291">
        <f t="shared" si="15"/>
        <v>13285.594201858212</v>
      </c>
      <c r="AC73" s="291">
        <f t="shared" si="15"/>
        <v>15105.270693733213</v>
      </c>
      <c r="AD73" s="291">
        <f t="shared" si="15"/>
        <v>16924.947185608216</v>
      </c>
      <c r="AE73" s="291">
        <f t="shared" si="15"/>
        <v>18744.623677483214</v>
      </c>
      <c r="AF73" s="291">
        <f t="shared" si="15"/>
        <v>20564.300169358212</v>
      </c>
      <c r="AG73" s="291">
        <f t="shared" si="15"/>
        <v>22383.976661233213</v>
      </c>
      <c r="AH73" s="291">
        <f t="shared" si="15"/>
        <v>24203.653153108211</v>
      </c>
      <c r="AI73" s="291">
        <f t="shared" si="15"/>
        <v>26023.329644983216</v>
      </c>
      <c r="AJ73" s="291">
        <f t="shared" si="15"/>
        <v>27843.00613685821</v>
      </c>
      <c r="AK73" s="291">
        <f t="shared" si="15"/>
        <v>29662.682628733211</v>
      </c>
      <c r="AL73" s="291">
        <f t="shared" si="15"/>
        <v>31482.359120608213</v>
      </c>
      <c r="AM73" s="291">
        <f t="shared" si="15"/>
        <v>33302.035612483218</v>
      </c>
      <c r="AN73" s="291">
        <f t="shared" si="15"/>
        <v>35121.712104358216</v>
      </c>
      <c r="AO73" s="291">
        <f t="shared" si="15"/>
        <v>36941.388596233206</v>
      </c>
    </row>
    <row r="74" spans="3:41" s="295" customFormat="1" ht="12.75">
      <c r="C74" s="290"/>
      <c r="D74" s="293"/>
      <c r="E74" s="293"/>
      <c r="F74" s="294"/>
      <c r="G74" s="294">
        <f>+G73+F73</f>
        <v>-48270.480779140024</v>
      </c>
      <c r="H74" s="294">
        <f t="shared" ref="H74:AO74" si="16">+H73+G74</f>
        <v>-72108.152502281795</v>
      </c>
      <c r="I74" s="294">
        <f t="shared" si="16"/>
        <v>-94126.147733548583</v>
      </c>
      <c r="J74" s="294">
        <f t="shared" si="16"/>
        <v>-114324.46647294037</v>
      </c>
      <c r="K74" s="294">
        <f t="shared" si="16"/>
        <v>-132703.10872045715</v>
      </c>
      <c r="L74" s="294">
        <f t="shared" si="16"/>
        <v>-149262.07447609893</v>
      </c>
      <c r="M74" s="294">
        <f t="shared" si="16"/>
        <v>-164001.36373986572</v>
      </c>
      <c r="N74" s="294">
        <f t="shared" si="16"/>
        <v>-176920.9765117575</v>
      </c>
      <c r="O74" s="294">
        <f t="shared" si="16"/>
        <v>-188020.91279177429</v>
      </c>
      <c r="P74" s="294">
        <f t="shared" si="16"/>
        <v>-197301.17257991608</v>
      </c>
      <c r="Q74" s="294">
        <f t="shared" si="16"/>
        <v>-204761.75587618287</v>
      </c>
      <c r="R74" s="294">
        <f t="shared" si="16"/>
        <v>-210402.66268057466</v>
      </c>
      <c r="S74" s="294">
        <f t="shared" si="16"/>
        <v>-213494.15690559146</v>
      </c>
      <c r="T74" s="294">
        <f t="shared" si="16"/>
        <v>-214765.97463873326</v>
      </c>
      <c r="U74" s="294">
        <f t="shared" si="16"/>
        <v>-214218.11588000006</v>
      </c>
      <c r="V74" s="294">
        <f t="shared" si="16"/>
        <v>-211850.58062939183</v>
      </c>
      <c r="W74" s="294">
        <f t="shared" si="16"/>
        <v>-207663.3688869086</v>
      </c>
      <c r="X74" s="294">
        <f t="shared" si="16"/>
        <v>-201656.48065255038</v>
      </c>
      <c r="Y74" s="294">
        <f t="shared" si="16"/>
        <v>-193829.91592631716</v>
      </c>
      <c r="Z74" s="294">
        <f t="shared" si="16"/>
        <v>-184183.67470820894</v>
      </c>
      <c r="AA74" s="294">
        <f t="shared" si="16"/>
        <v>-172717.75699822573</v>
      </c>
      <c r="AB74" s="294">
        <f t="shared" si="16"/>
        <v>-159432.16279636751</v>
      </c>
      <c r="AC74" s="294">
        <f t="shared" si="16"/>
        <v>-144326.8921026343</v>
      </c>
      <c r="AD74" s="294">
        <f t="shared" si="16"/>
        <v>-127401.94491702609</v>
      </c>
      <c r="AE74" s="294">
        <f t="shared" si="16"/>
        <v>-108657.32123954289</v>
      </c>
      <c r="AF74" s="294">
        <f t="shared" si="16"/>
        <v>-88093.021070184681</v>
      </c>
      <c r="AG74" s="294">
        <f t="shared" si="16"/>
        <v>-65709.044408951464</v>
      </c>
      <c r="AH74" s="294">
        <f t="shared" si="16"/>
        <v>-41505.391255843249</v>
      </c>
      <c r="AI74" s="294">
        <f t="shared" si="16"/>
        <v>-15482.061610860033</v>
      </c>
      <c r="AJ74" s="294">
        <f t="shared" si="16"/>
        <v>12360.944525998177</v>
      </c>
      <c r="AK74" s="294">
        <f t="shared" si="16"/>
        <v>42023.627154731388</v>
      </c>
      <c r="AL74" s="294">
        <f t="shared" si="16"/>
        <v>73505.986275339601</v>
      </c>
      <c r="AM74" s="294">
        <f t="shared" si="16"/>
        <v>106808.02188782282</v>
      </c>
      <c r="AN74" s="294">
        <f t="shared" si="16"/>
        <v>141929.73399218102</v>
      </c>
      <c r="AO74" s="294">
        <f t="shared" si="16"/>
        <v>178871.12258841423</v>
      </c>
    </row>
    <row r="75" spans="3:41" s="285" customFormat="1" ht="12.75">
      <c r="C75" s="289"/>
      <c r="D75" s="290"/>
      <c r="E75" s="290"/>
      <c r="F75" s="291"/>
      <c r="G75" s="291">
        <f t="shared" ref="G75:AO75" si="17">IF(AND(G74&gt;=0,F74&lt;0),G72,0)</f>
        <v>0</v>
      </c>
      <c r="H75" s="291">
        <f t="shared" si="17"/>
        <v>0</v>
      </c>
      <c r="I75" s="291">
        <f t="shared" si="17"/>
        <v>0</v>
      </c>
      <c r="J75" s="291">
        <f t="shared" si="17"/>
        <v>0</v>
      </c>
      <c r="K75" s="291">
        <f t="shared" si="17"/>
        <v>0</v>
      </c>
      <c r="L75" s="291">
        <f t="shared" si="17"/>
        <v>0</v>
      </c>
      <c r="M75" s="291">
        <f t="shared" si="17"/>
        <v>0</v>
      </c>
      <c r="N75" s="291">
        <f t="shared" si="17"/>
        <v>0</v>
      </c>
      <c r="O75" s="291">
        <f t="shared" si="17"/>
        <v>0</v>
      </c>
      <c r="P75" s="291">
        <f t="shared" si="17"/>
        <v>0</v>
      </c>
      <c r="Q75" s="291">
        <f t="shared" si="17"/>
        <v>0</v>
      </c>
      <c r="R75" s="291">
        <f t="shared" si="17"/>
        <v>0</v>
      </c>
      <c r="S75" s="291">
        <f t="shared" si="17"/>
        <v>0</v>
      </c>
      <c r="T75" s="291">
        <f t="shared" si="17"/>
        <v>0</v>
      </c>
      <c r="U75" s="291">
        <f t="shared" si="17"/>
        <v>0</v>
      </c>
      <c r="V75" s="291">
        <f t="shared" si="17"/>
        <v>0</v>
      </c>
      <c r="W75" s="291">
        <f t="shared" si="17"/>
        <v>0</v>
      </c>
      <c r="X75" s="291">
        <f t="shared" si="17"/>
        <v>0</v>
      </c>
      <c r="Y75" s="291">
        <f t="shared" si="17"/>
        <v>0</v>
      </c>
      <c r="Z75" s="291">
        <f t="shared" si="17"/>
        <v>0</v>
      </c>
      <c r="AA75" s="291">
        <f t="shared" si="17"/>
        <v>0</v>
      </c>
      <c r="AB75" s="291">
        <f t="shared" si="17"/>
        <v>0</v>
      </c>
      <c r="AC75" s="291">
        <f t="shared" si="17"/>
        <v>0</v>
      </c>
      <c r="AD75" s="291">
        <f t="shared" si="17"/>
        <v>0</v>
      </c>
      <c r="AE75" s="291">
        <f t="shared" si="17"/>
        <v>0</v>
      </c>
      <c r="AF75" s="291">
        <f t="shared" si="17"/>
        <v>0</v>
      </c>
      <c r="AG75" s="291">
        <f t="shared" si="17"/>
        <v>0</v>
      </c>
      <c r="AH75" s="291">
        <f t="shared" si="17"/>
        <v>0</v>
      </c>
      <c r="AI75" s="291">
        <f t="shared" si="17"/>
        <v>0</v>
      </c>
      <c r="AJ75" s="291">
        <f t="shared" si="17"/>
        <v>30</v>
      </c>
      <c r="AK75" s="291">
        <f t="shared" si="17"/>
        <v>0</v>
      </c>
      <c r="AL75" s="291">
        <f t="shared" si="17"/>
        <v>0</v>
      </c>
      <c r="AM75" s="291">
        <f t="shared" si="17"/>
        <v>0</v>
      </c>
      <c r="AN75" s="291">
        <f t="shared" si="17"/>
        <v>0</v>
      </c>
      <c r="AO75" s="291">
        <f t="shared" si="17"/>
        <v>0</v>
      </c>
    </row>
    <row r="77" spans="3:41" s="285" customFormat="1" ht="12.75">
      <c r="C77" s="296"/>
      <c r="D77" s="297"/>
      <c r="E77" s="298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99"/>
      <c r="AB77" s="299"/>
      <c r="AC77" s="299"/>
      <c r="AD77" s="299"/>
      <c r="AE77" s="299"/>
      <c r="AF77" s="299"/>
      <c r="AG77" s="299"/>
      <c r="AH77" s="299"/>
      <c r="AI77" s="299"/>
      <c r="AJ77" s="299"/>
      <c r="AK77" s="299"/>
      <c r="AL77" s="299"/>
      <c r="AM77" s="299"/>
      <c r="AN77" s="299"/>
      <c r="AO77" s="299"/>
    </row>
    <row r="78" spans="3:41" ht="18">
      <c r="C78" s="300" t="s">
        <v>23</v>
      </c>
      <c r="D78" s="301"/>
    </row>
    <row r="79" spans="3:41" ht="18">
      <c r="C79" s="302" t="s">
        <v>24</v>
      </c>
      <c r="D79" s="303">
        <f>SUM(E6:AO6)</f>
        <v>1254134.4750000001</v>
      </c>
    </row>
    <row r="80" spans="3:41" ht="18">
      <c r="C80" s="302" t="s">
        <v>25</v>
      </c>
      <c r="D80" s="303">
        <f>-SUM(E10:AO10)</f>
        <v>-1018476.741744</v>
      </c>
    </row>
    <row r="81" spans="3:4" ht="18">
      <c r="C81" s="302" t="s">
        <v>26</v>
      </c>
      <c r="D81" s="303">
        <f>+D79+D80</f>
        <v>235657.73325600009</v>
      </c>
    </row>
    <row r="82" spans="3:4" ht="36">
      <c r="C82" s="304" t="s">
        <v>8</v>
      </c>
      <c r="D82" s="305">
        <f>+D81/D79</f>
        <v>0.18790467685373219</v>
      </c>
    </row>
    <row r="83" spans="3:4" ht="18">
      <c r="C83" s="304" t="s">
        <v>27</v>
      </c>
      <c r="D83" s="305">
        <f>+((D79+D80)+(SUM(F19:AO19)))/D79</f>
        <v>0.20348858438486039</v>
      </c>
    </row>
    <row r="85" spans="3:4" ht="15.75">
      <c r="C85" s="213" t="s">
        <v>56</v>
      </c>
    </row>
    <row r="86" spans="3:4" ht="18">
      <c r="C86" s="302" t="s">
        <v>57</v>
      </c>
      <c r="D86" s="303">
        <f>+G68</f>
        <v>136196.84237083053</v>
      </c>
    </row>
    <row r="87" spans="3:4" ht="36">
      <c r="C87" s="302" t="s">
        <v>58</v>
      </c>
      <c r="D87" s="303">
        <f>+G70</f>
        <v>30</v>
      </c>
    </row>
    <row r="88" spans="3:4" ht="18">
      <c r="C88" s="302" t="s">
        <v>59</v>
      </c>
      <c r="D88" s="307">
        <f>+IRR(E40:AO40)</f>
        <v>2.9245585614218417E-2</v>
      </c>
    </row>
    <row r="89" spans="3:4" ht="18">
      <c r="C89" s="304" t="s">
        <v>60</v>
      </c>
      <c r="D89" s="307">
        <f>+D81/D79</f>
        <v>0.18790467685373219</v>
      </c>
    </row>
    <row r="93" spans="3:4" ht="45">
      <c r="C93" s="306" t="s">
        <v>61</v>
      </c>
    </row>
  </sheetData>
  <phoneticPr fontId="0" type="noConversion"/>
  <pageMargins left="0.74803149606299213" right="0.74803149606299213" top="0.98425196850393704" bottom="0.98425196850393704" header="0" footer="0"/>
  <pageSetup paperSize="9" scale="5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5"/>
  <sheetViews>
    <sheetView workbookViewId="0">
      <selection activeCell="C12" sqref="C12"/>
    </sheetView>
  </sheetViews>
  <sheetFormatPr baseColWidth="10" defaultRowHeight="12.75"/>
  <cols>
    <col min="1" max="1" width="6" customWidth="1"/>
    <col min="2" max="2" width="42.7109375" customWidth="1"/>
    <col min="3" max="3" width="15.5703125" bestFit="1" customWidth="1"/>
    <col min="4" max="4" width="16.140625" customWidth="1"/>
  </cols>
  <sheetData>
    <row r="1" spans="2:4">
      <c r="B1" s="401" t="s">
        <v>142</v>
      </c>
      <c r="C1" s="401"/>
      <c r="D1" s="401"/>
    </row>
    <row r="2" spans="2:4">
      <c r="B2" s="367"/>
      <c r="C2" s="402" t="s">
        <v>143</v>
      </c>
      <c r="D2" s="402" t="s">
        <v>144</v>
      </c>
    </row>
    <row r="3" spans="2:4">
      <c r="B3" s="407" t="s">
        <v>145</v>
      </c>
      <c r="C3" s="408">
        <f>SUM('Flujo de caja'!E6:AO6)</f>
        <v>1254134.4750000001</v>
      </c>
      <c r="D3" s="409">
        <v>1</v>
      </c>
    </row>
    <row r="4" spans="2:4">
      <c r="B4" s="410" t="s">
        <v>146</v>
      </c>
      <c r="C4" s="411">
        <v>10000</v>
      </c>
      <c r="D4" s="412">
        <f>C4*D3/C3</f>
        <v>7.9736265921563146E-3</v>
      </c>
    </row>
    <row r="5" spans="2:4">
      <c r="B5" s="398" t="s">
        <v>147</v>
      </c>
      <c r="C5" s="399">
        <f>C3-C4</f>
        <v>1244134.4750000001</v>
      </c>
      <c r="D5" s="400">
        <f>C5*$D$3/$C$3</f>
        <v>0.99202637340784372</v>
      </c>
    </row>
    <row r="6" spans="2:4">
      <c r="B6" s="405"/>
      <c r="C6" s="406"/>
      <c r="D6" s="404"/>
    </row>
    <row r="7" spans="2:4">
      <c r="B7" s="405" t="s">
        <v>148</v>
      </c>
      <c r="C7" s="403">
        <f>SUM('Flujo de caja'!E14:AO14)</f>
        <v>600300</v>
      </c>
      <c r="D7" s="404">
        <f>C7*$D$3/$C$3</f>
        <v>0.47865680432714358</v>
      </c>
    </row>
    <row r="8" spans="2:4">
      <c r="B8" s="405" t="s">
        <v>149</v>
      </c>
      <c r="C8" s="403">
        <f>SUM('Flujo de caja'!E17:AO17)</f>
        <v>32958.224999999984</v>
      </c>
      <c r="D8" s="404">
        <f>C8*$D$3/$C$3</f>
        <v>2.6279657929027093E-2</v>
      </c>
    </row>
    <row r="9" spans="2:4">
      <c r="B9" s="405" t="s">
        <v>35</v>
      </c>
      <c r="C9" s="403">
        <f>SUM('Flujo de caja'!E13:AO13)</f>
        <v>95340.900529999955</v>
      </c>
      <c r="D9" s="404">
        <f>C9*$D$3/$C$3</f>
        <v>7.6021273978613774E-2</v>
      </c>
    </row>
    <row r="10" spans="2:4">
      <c r="B10" s="413" t="s">
        <v>150</v>
      </c>
      <c r="C10" s="414">
        <f>SUM('Flujo de caja'!E12:AO12)</f>
        <v>105450</v>
      </c>
      <c r="D10" s="415">
        <f>C10*$D$3/$C$3</f>
        <v>8.4081892414288345E-2</v>
      </c>
    </row>
    <row r="11" spans="2:4">
      <c r="B11" s="405"/>
      <c r="C11" s="406"/>
      <c r="D11" s="404"/>
    </row>
    <row r="12" spans="2:4">
      <c r="B12" s="416" t="s">
        <v>151</v>
      </c>
      <c r="C12" s="417">
        <f>C5-C7-C8-C10-C9</f>
        <v>410085.34947000013</v>
      </c>
      <c r="D12" s="418">
        <f>C12*$D$3/$C$3</f>
        <v>0.32698674475877088</v>
      </c>
    </row>
    <row r="13" spans="2:4">
      <c r="B13" s="405"/>
      <c r="C13" s="403"/>
      <c r="D13" s="404"/>
    </row>
    <row r="14" spans="2:4">
      <c r="B14" s="405" t="s">
        <v>152</v>
      </c>
      <c r="C14" s="403">
        <f>SUM('Flujo de caja'!E15:AO15)</f>
        <v>60310</v>
      </c>
      <c r="D14" s="404">
        <f t="shared" ref="D14:D16" si="0">C14*$D$3/$C$3</f>
        <v>4.8088941977294734E-2</v>
      </c>
    </row>
    <row r="15" spans="2:4">
      <c r="B15" s="405" t="s">
        <v>153</v>
      </c>
      <c r="C15" s="403">
        <f>SUM('Flujo de caja'!E12:AO12)</f>
        <v>105450</v>
      </c>
      <c r="D15" s="404">
        <f t="shared" si="0"/>
        <v>8.4081892414288345E-2</v>
      </c>
    </row>
    <row r="16" spans="2:4">
      <c r="B16" s="416" t="s">
        <v>154</v>
      </c>
      <c r="C16" s="417">
        <f>SUM(C14:C15)</f>
        <v>165760</v>
      </c>
      <c r="D16" s="418">
        <f t="shared" si="0"/>
        <v>0.13217083439158309</v>
      </c>
    </row>
    <row r="17" spans="2:4">
      <c r="B17" s="405"/>
      <c r="C17" s="403"/>
      <c r="D17" s="404"/>
    </row>
    <row r="18" spans="2:4">
      <c r="B18" s="405" t="s">
        <v>155</v>
      </c>
      <c r="C18" s="403">
        <f>C12-C14</f>
        <v>349775.34947000013</v>
      </c>
      <c r="D18" s="404">
        <f>C18*$D$3/$C$3</f>
        <v>0.27889780278147613</v>
      </c>
    </row>
    <row r="19" spans="2:4">
      <c r="B19" s="405"/>
      <c r="C19" s="403"/>
      <c r="D19" s="404"/>
    </row>
    <row r="20" spans="2:4">
      <c r="B20" s="416" t="s">
        <v>156</v>
      </c>
      <c r="C20" s="417">
        <f>C18*29.5%</f>
        <v>103183.72809365003</v>
      </c>
      <c r="D20" s="418">
        <f>C20*$D$3/$C$3</f>
        <v>8.2274851820535455E-2</v>
      </c>
    </row>
    <row r="21" spans="2:4">
      <c r="B21" s="405"/>
      <c r="C21" s="403"/>
      <c r="D21" s="404"/>
    </row>
    <row r="22" spans="2:4">
      <c r="B22" s="416" t="s">
        <v>157</v>
      </c>
      <c r="C22" s="417">
        <f>C18-C20</f>
        <v>246591.62137635011</v>
      </c>
      <c r="D22" s="418">
        <f>C22*$D$3/$C$3</f>
        <v>0.19662295096094068</v>
      </c>
    </row>
    <row r="25" spans="2:4">
      <c r="D25" s="397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Ingresos</vt:lpstr>
      <vt:lpstr>Inversión-Gastos preopera</vt:lpstr>
      <vt:lpstr>Marketing y Ventas</vt:lpstr>
      <vt:lpstr>Tecnología</vt:lpstr>
      <vt:lpstr>RRHH</vt:lpstr>
      <vt:lpstr>CIF</vt:lpstr>
      <vt:lpstr>Costos directos de prod o servi</vt:lpstr>
      <vt:lpstr>Flujo de caja</vt:lpstr>
      <vt:lpstr>Estado de Resultados</vt:lpstr>
      <vt:lpstr>Ratios</vt:lpstr>
      <vt:lpstr>'Flujo de caja'!Área_de_impresión</vt:lpstr>
      <vt:lpstr>Ingresos!Área_de_impresión</vt:lpstr>
      <vt:lpstr>'Inversión-Gastos preopera'!Área_de_impresión</vt:lpstr>
    </vt:vector>
  </TitlesOfParts>
  <Company>Telefónica del Perú S.A.A.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bramosf</dc:creator>
  <cp:lastModifiedBy>p</cp:lastModifiedBy>
  <cp:lastPrinted>2014-08-10T16:30:17Z</cp:lastPrinted>
  <dcterms:created xsi:type="dcterms:W3CDTF">2002-06-04T14:24:43Z</dcterms:created>
  <dcterms:modified xsi:type="dcterms:W3CDTF">2019-12-03T19:00:53Z</dcterms:modified>
</cp:coreProperties>
</file>