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OPERATIVA\"/>
    </mc:Choice>
  </mc:AlternateContent>
  <xr:revisionPtr revIDLastSave="0" documentId="13_ncr:1_{DE41B7BB-5A4D-490E-B4F8-610D4AA195F4}" xr6:coauthVersionLast="47" xr6:coauthVersionMax="47" xr10:uidLastSave="{00000000-0000-0000-0000-000000000000}"/>
  <bookViews>
    <workbookView xWindow="-108" yWindow="-108" windowWidth="23256" windowHeight="14616" tabRatio="863" firstSheet="2" activeTab="2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state="hidden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Hoja2" sheetId="21" state="hidden" r:id="rId18"/>
    <sheet name="04" sheetId="4" state="hidden" r:id="rId19"/>
    <sheet name="03" sheetId="5" state="hidden" r:id="rId20"/>
    <sheet name="05" sheetId="6" state="hidden" r:id="rId21"/>
    <sheet name="07" sheetId="7" state="hidden" r:id="rId22"/>
    <sheet name="08" sheetId="8" state="hidden" r:id="rId23"/>
    <sheet name="09" sheetId="9" state="hidden" r:id="rId24"/>
    <sheet name="10" sheetId="10" state="hidden" r:id="rId25"/>
    <sheet name="11" sheetId="11" state="hidden" r:id="rId26"/>
    <sheet name="12" sheetId="12" state="hidden" r:id="rId27"/>
    <sheet name="14" sheetId="13" state="hidden" r:id="rId28"/>
    <sheet name="15" sheetId="14" state="hidden" r:id="rId29"/>
    <sheet name="16" sheetId="15" state="hidden" r:id="rId30"/>
    <sheet name="06" sheetId="16" state="hidden" r:id="rId31"/>
  </sheets>
  <functionGroups builtInGroupCount="19"/>
  <definedNames>
    <definedName name="_xlnm._FilterDatabase" localSheetId="4" hidden="1">PAGOS!$A$2:$K$386</definedName>
    <definedName name="_xlnm._FilterDatabase" localSheetId="3" hidden="1">PRESTAMOS!$A$2:$K$104</definedName>
    <definedName name="_xlnm._FilterDatabase" localSheetId="6" hidden="1">REPORTE!$B$5:$P$24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19">'03'!$A$1:$L$33</definedName>
    <definedName name="_xlnm.Print_Area" localSheetId="18">'04'!$A$1:$L$31</definedName>
    <definedName name="_xlnm.Print_Area" localSheetId="20">'05'!$A$1:$L$34</definedName>
    <definedName name="_xlnm.Print_Area" localSheetId="30">'06'!$A$1:$L$36</definedName>
    <definedName name="_xlnm.Print_Area" localSheetId="21">'07'!$A$1:$L$35</definedName>
    <definedName name="_xlnm.Print_Area" localSheetId="22">'08'!$A$1:$L$36</definedName>
    <definedName name="_xlnm.Print_Area" localSheetId="23">'09'!$A$1:$L$34</definedName>
    <definedName name="_xlnm.Print_Area" localSheetId="24">'10'!$A$1:$L$36</definedName>
    <definedName name="_xlnm.Print_Area" localSheetId="25">'11'!$A$1:$L$36</definedName>
    <definedName name="_xlnm.Print_Area" localSheetId="26">'12'!$A$1:$L$34</definedName>
    <definedName name="_xlnm.Print_Area" localSheetId="13">'13'!$A$1:$L$35</definedName>
    <definedName name="_xlnm.Print_Area" localSheetId="27">'14'!$A$1:$L$35</definedName>
    <definedName name="_xlnm.Print_Area" localSheetId="28">'15'!$A$1:$L$35</definedName>
    <definedName name="_xlnm.Print_Area" localSheetId="29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3" r:id="rId3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2" l="1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/>
  <c r="N11" i="10"/>
  <c r="O11" i="10"/>
  <c r="P11" i="10"/>
  <c r="Q11" i="10"/>
  <c r="L386" i="18"/>
  <c r="L385" i="18"/>
  <c r="N20" i="15"/>
  <c r="O20" i="15" s="1"/>
  <c r="P20" i="15"/>
  <c r="Q20" i="15" s="1"/>
  <c r="H104" i="3"/>
  <c r="I104" i="3" s="1"/>
  <c r="K104" i="3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E26" i="22"/>
  <c r="H100" i="3"/>
  <c r="I100" i="3" s="1"/>
  <c r="L100" i="3"/>
  <c r="J7" i="22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K98" i="3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101" i="3" l="1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J6" i="22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K89" i="3" l="1"/>
  <c r="K84" i="3"/>
  <c r="K90" i="3"/>
  <c r="K88" i="3"/>
  <c r="K87" i="3"/>
  <c r="K86" i="3"/>
  <c r="K85" i="3"/>
  <c r="E16" i="22"/>
  <c r="E5" i="29"/>
  <c r="E4" i="29"/>
  <c r="E5" i="67"/>
  <c r="E4" i="67"/>
  <c r="E6" i="67" l="1"/>
  <c r="E7" i="67" s="1"/>
  <c r="E6" i="29"/>
  <c r="E7" i="29" s="1"/>
  <c r="N13" i="6" l="1"/>
  <c r="O13" i="6" s="1"/>
  <c r="P13" i="6"/>
  <c r="Q13" i="6" s="1"/>
  <c r="C8" i="17"/>
  <c r="K8" i="17"/>
  <c r="E12" i="17"/>
  <c r="E18" i="17" s="1"/>
  <c r="M12" i="17"/>
  <c r="P7" i="39"/>
  <c r="P6" i="39"/>
  <c r="E19" i="17" l="1"/>
  <c r="N7" i="39" l="1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G22" i="39"/>
  <c r="G23" i="39"/>
  <c r="F6" i="2"/>
  <c r="F5" i="2"/>
  <c r="H7" i="39"/>
  <c r="M7" i="39" s="1"/>
  <c r="H6" i="39"/>
  <c r="M6" i="39" s="1"/>
  <c r="G17" i="39"/>
  <c r="G7" i="39"/>
  <c r="L7" i="39" s="1"/>
  <c r="G8" i="39"/>
  <c r="G9" i="39"/>
  <c r="G10" i="39"/>
  <c r="G11" i="39"/>
  <c r="G12" i="39"/>
  <c r="G13" i="39"/>
  <c r="G14" i="39"/>
  <c r="G15" i="39"/>
  <c r="G16" i="39"/>
  <c r="G18" i="39"/>
  <c r="G19" i="39"/>
  <c r="G20" i="39"/>
  <c r="G21" i="39"/>
  <c r="G6" i="39"/>
  <c r="L6" i="39" s="1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G24" i="39"/>
  <c r="F24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E313" i="18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76" i="3"/>
  <c r="H75" i="3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K74" i="3" l="1"/>
  <c r="K71" i="3"/>
  <c r="I9" i="39"/>
  <c r="L9" i="39" s="1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I8" i="39"/>
  <c r="L8" i="39" s="1"/>
  <c r="I77" i="3"/>
  <c r="H18" i="39"/>
  <c r="M18" i="39" s="1"/>
  <c r="I75" i="3"/>
  <c r="H22" i="39"/>
  <c r="M22" i="39" s="1"/>
  <c r="I76" i="3"/>
  <c r="H23" i="39"/>
  <c r="M23" i="39" s="1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J11" i="22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I24" i="39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I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I38" i="3" l="1"/>
  <c r="K26" i="22"/>
  <c r="K23" i="22"/>
  <c r="K27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H30" i="3"/>
  <c r="K30" i="3" s="1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K20" i="3" s="1"/>
  <c r="H19" i="3"/>
  <c r="K19" i="3" s="1"/>
  <c r="H18" i="3"/>
  <c r="K18" i="3" s="1"/>
  <c r="H17" i="3"/>
  <c r="K17" i="3" s="1"/>
  <c r="H16" i="3"/>
  <c r="K16" i="3" s="1"/>
  <c r="H15" i="3"/>
  <c r="K15" i="3" s="1"/>
  <c r="H14" i="3"/>
  <c r="K14" i="3" s="1"/>
  <c r="H13" i="3"/>
  <c r="K13" i="3" s="1"/>
  <c r="H12" i="3"/>
  <c r="K12" i="3" s="1"/>
  <c r="H11" i="3"/>
  <c r="K11" i="3" s="1"/>
  <c r="H10" i="3"/>
  <c r="K10" i="3" s="1"/>
  <c r="H9" i="3"/>
  <c r="K9" i="3" s="1"/>
  <c r="H7" i="3"/>
  <c r="K7" i="3" s="1"/>
  <c r="H6" i="3"/>
  <c r="K6" i="3" s="1"/>
  <c r="H5" i="3"/>
  <c r="K5" i="3" s="1"/>
  <c r="H8" i="3"/>
  <c r="H4" i="3"/>
  <c r="K4" i="3" s="1"/>
  <c r="I8" i="3" l="1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H12" i="39"/>
  <c r="M12" i="39" s="1"/>
  <c r="I4" i="3"/>
  <c r="H10" i="39"/>
  <c r="M10" i="39" s="1"/>
  <c r="I20" i="3"/>
  <c r="H13" i="39"/>
  <c r="M13" i="39" s="1"/>
  <c r="I7" i="3"/>
  <c r="H16" i="39"/>
  <c r="M16" i="39" s="1"/>
  <c r="I10" i="3"/>
  <c r="H17" i="39"/>
  <c r="M17" i="39" s="1"/>
  <c r="I11" i="3"/>
  <c r="H19" i="39"/>
  <c r="M19" i="39" s="1"/>
  <c r="I6" i="3"/>
  <c r="H21" i="39"/>
  <c r="M21" i="39" s="1"/>
  <c r="I9" i="3"/>
  <c r="H9" i="39"/>
  <c r="M9" i="39" s="1"/>
  <c r="I12" i="3"/>
  <c r="H20" i="39"/>
  <c r="M20" i="39" s="1"/>
  <c r="I30" i="3"/>
  <c r="H8" i="39"/>
  <c r="I17" i="3"/>
  <c r="H11" i="39"/>
  <c r="M11" i="39" s="1"/>
  <c r="I15" i="3"/>
  <c r="H15" i="39"/>
  <c r="M15" i="39" s="1"/>
  <c r="I5" i="3"/>
  <c r="I28" i="3"/>
  <c r="M8" i="39" l="1"/>
  <c r="H3" i="3"/>
  <c r="K3" i="3" s="1"/>
  <c r="H14" i="39" l="1"/>
  <c r="M14" i="39" s="1"/>
  <c r="M24" i="39" s="1"/>
  <c r="N4" i="3" a="1"/>
  <c r="N4" i="3" s="1"/>
  <c r="E10" i="22"/>
  <c r="E11" i="22"/>
  <c r="J8" i="22" s="1"/>
  <c r="I3" i="3"/>
  <c r="E18" i="22" l="1"/>
  <c r="E25" i="22"/>
  <c r="H24" i="39"/>
  <c r="P19" i="39"/>
  <c r="P17" i="39"/>
  <c r="P11" i="39"/>
  <c r="P12" i="39"/>
  <c r="P9" i="39"/>
  <c r="P23" i="39"/>
  <c r="P8" i="39"/>
  <c r="P10" i="39"/>
  <c r="P14" i="39"/>
  <c r="P20" i="39"/>
  <c r="P18" i="39"/>
  <c r="P13" i="39"/>
  <c r="P22" i="39"/>
  <c r="P21" i="39"/>
  <c r="P16" i="39"/>
  <c r="P15" i="39"/>
  <c r="P24" i="39" l="1"/>
  <c r="J13" i="22"/>
  <c r="E28" i="22" l="1"/>
  <c r="E5" i="22"/>
  <c r="E23" i="22" s="1"/>
  <c r="E24" i="22" s="1"/>
  <c r="E27" i="22" l="1"/>
  <c r="C31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<sst xmlns="http://schemas.openxmlformats.org/spreadsheetml/2006/main" count="4507" uniqueCount="534">
  <si>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</si>
  <si>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</si>
  <si>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</si>
  <si>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</si>
  <si>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</si>
  <si>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</si>
  <si>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</si>
  <si>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</si>
  <si>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</si>
  <si>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</si>
  <si>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</si>
  <si>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</si>
  <si>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</si>
  <si>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</si>
  <si>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</si>
  <si>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</si>
  <si>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</si>
  <si>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</si>
  <si>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</si>
  <si>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</si>
  <si>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</si>
  <si>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</si>
  <si>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</si>
  <si>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</si>
  <si>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</si>
  <si>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</si>
  <si>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</si>
  <si>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</si>
  <si>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</si>
  <si>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</si>
  <si>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</si>
  <si>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</si>
  <si>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</si>
  <si>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</si>
  <si>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</si>
  <si>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</si>
  <si>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</si>
  <si>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</si>
  <si>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</si>
  <si>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</si>
  <si>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</si>
  <si>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</si>
  <si>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</si>
  <si>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</si>
  <si>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</si>
  <si>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</si>
  <si>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</si>
  <si>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</si>
  <si>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</si>
  <si>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</si>
  <si>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</si>
  <si>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</si>
  <si>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</si>
  <si>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</si>
  <si>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</si>
  <si>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</si>
  <si>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</si>
  <si>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</si>
  <si>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</si>
  <si>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</si>
  <si>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</si>
  <si>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</si>
  <si>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</si>
  <si>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</si>
  <si>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</si>
  <si>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</si>
  <si>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</si>
  <si>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</si>
  <si>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</si>
  <si>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</si>
  <si>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</si>
  <si>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</si>
  <si>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</si>
  <si>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</si>
  <si>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</si>
  <si>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</si>
  <si>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</si>
  <si>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</si>
  <si>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</si>
  <si>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</si>
  <si>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</si>
  <si>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</si>
  <si>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</si>
  <si>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</si>
  <si>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</si>
  <si>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</si>
  <si>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</si>
  <si>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</si>
  <si>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</si>
  <si>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</si>
  <si>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</si>
  <si>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</si>
  <si>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</si>
  <si>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</si>
  <si>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</si>
  <si>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</si>
  <si>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</si>
  <si>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</si>
  <si>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</si>
  <si>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</si>
  <si>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</si>
  <si>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</si>
  <si>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</si>
  <si>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</si>
  <si>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</si>
  <si>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</si>
  <si>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</si>
  <si>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</si>
  <si>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</si>
  <si>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</si>
  <si>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</si>
  <si>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</si>
  <si>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</si>
  <si>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</si>
  <si>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</si>
  <si>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</si>
  <si>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</si>
  <si>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</si>
  <si>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</si>
  <si>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</si>
  <si>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</si>
  <si>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</si>
  <si>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</si>
  <si>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</si>
  <si>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</si>
  <si>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</si>
  <si>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</si>
  <si>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</si>
  <si>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</si>
  <si>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</si>
  <si>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</si>
  <si>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</si>
  <si>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</si>
  <si>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</si>
  <si>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</si>
  <si>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</si>
  <si>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</si>
  <si>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</si>
  <si>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</si>
  <si>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</si>
  <si>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</si>
  <si>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</si>
  <si>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</si>
  <si>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</si>
  <si>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</si>
  <si>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</si>
  <si>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</si>
  <si>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</si>
  <si>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</si>
  <si>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</si>
  <si>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</si>
  <si>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</si>
  <si>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</si>
  <si>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</si>
  <si>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</si>
  <si>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</si>
  <si>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</si>
  <si>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</si>
  <si>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</si>
  <si>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</si>
  <si>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</si>
  <si>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</si>
  <si>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</si>
  <si>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</si>
  <si>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</si>
  <si>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</si>
  <si>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</si>
  <si>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</si>
  <si>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</si>
  <si>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</si>
  <si>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</si>
  <si>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</si>
  <si>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</si>
  <si>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</si>
  <si>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</si>
  <si>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</si>
  <si>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</si>
  <si>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</si>
  <si>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</si>
  <si>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</si>
  <si>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</si>
  <si>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</si>
  <si>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</si>
  <si>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</si>
  <si>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</si>
  <si>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</si>
  <si>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</si>
  <si>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</si>
  <si>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</si>
  <si>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</si>
  <si>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</si>
  <si>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</si>
  <si>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</si>
  <si>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</si>
  <si>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</si>
  <si>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</si>
  <si>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</si>
  <si>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</si>
  <si>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</si>
  <si>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</si>
  <si>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</si>
  <si>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</si>
  <si>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</si>
  <si>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</si>
  <si>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</si>
  <si>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</si>
  <si>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</si>
  <si>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</si>
  <si>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</si>
  <si>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</si>
  <si>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</si>
  <si>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</si>
  <si>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</si>
  <si>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</si>
  <si>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</si>
  <si>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</si>
  <si>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</si>
  <si>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</si>
  <si>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</si>
  <si>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</si>
  <si>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</si>
  <si>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</si>
  <si>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</si>
  <si>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</si>
  <si>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</si>
  <si>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</si>
  <si>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</si>
  <si>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</si>
  <si>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</si>
  <si>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</si>
  <si>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</si>
  <si>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</si>
  <si>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</si>
  <si>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</si>
  <si>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</si>
  <si>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</si>
  <si>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</si>
  <si>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</si>
  <si>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</si>
  <si>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</si>
  <si>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</si>
  <si>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</si>
  <si>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</si>
  <si>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</si>
  <si>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</si>
  <si>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</si>
  <si>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</si>
  <si>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</si>
  <si>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</si>
  <si>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</si>
  <si>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</si>
  <si>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</si>
  <si>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</si>
  <si>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</si>
  <si>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</si>
  <si>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</si>
  <si>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</si>
  <si>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</si>
  <si>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</si>
  <si>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</si>
  <si>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</si>
  <si>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</si>
  <si>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</si>
  <si>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</si>
  <si>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</si>
  <si>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</si>
  <si>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</si>
  <si>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</si>
  <si>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</si>
  <si>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</si>
  <si>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</si>
  <si>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</si>
  <si>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</si>
  <si>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</si>
  <si>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</si>
  <si>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</si>
  <si>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</si>
  <si>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</si>
  <si>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</si>
  <si>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</si>
  <si>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</si>
  <si>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</si>
  <si>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</si>
  <si>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</si>
  <si>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</si>
  <si>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</si>
  <si>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</si>
  <si>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</si>
  <si>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</si>
  <si>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</si>
  <si>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</si>
  <si>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</si>
  <si>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</si>
  <si>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</si>
  <si>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</si>
  <si>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</si>
  <si>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</si>
  <si>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</si>
  <si>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</si>
  <si>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</si>
  <si>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</si>
  <si>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</si>
  <si>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</si>
  <si>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</si>
  <si>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</si>
  <si>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</si>
  <si>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</si>
  <si>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</si>
  <si>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</si>
  <si>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</si>
  <si>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</si>
  <si>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</si>
  <si>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</si>
  <si>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</si>
  <si>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</si>
  <si>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</si>
  <si>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</si>
  <si>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</si>
  <si>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</si>
  <si>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</si>
  <si>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</si>
  <si>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</si>
  <si>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</si>
  <si>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</si>
  <si>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</si>
  <si>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</si>
  <si>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</si>
  <si>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</si>
  <si>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</si>
  <si>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</si>
  <si>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</si>
  <si>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</si>
  <si>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</si>
  <si>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</si>
  <si>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</si>
  <si>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</si>
  <si>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</si>
  <si>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</si>
  <si>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</si>
  <si>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</si>
  <si>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</si>
  <si>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</si>
  <si>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</si>
  <si>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</si>
  <si>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</si>
  <si>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</si>
  <si>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</si>
  <si>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</si>
  <si>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</si>
  <si>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</si>
  <si>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</si>
  <si>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</si>
  <si>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</si>
  <si>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</si>
  <si>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</si>
  <si>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</si>
  <si>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</si>
  <si>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</si>
  <si>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</si>
  <si>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REGISTRO DEL SOCIO PARA PAGOS</t>
  </si>
  <si>
    <t>GASTO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</si>
  <si>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</si>
  <si>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</si>
  <si>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</si>
  <si>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</si>
  <si>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</si>
  <si>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</si>
  <si>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</si>
  <si>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</si>
  <si>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</si>
  <si>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</si>
  <si>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</si>
  <si>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</si>
  <si>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</si>
  <si>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</si>
  <si>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</si>
  <si>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</si>
  <si>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</si>
  <si>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</si>
  <si>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</si>
  <si>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</si>
  <si>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</si>
  <si>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</si>
  <si>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</si>
  <si>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</si>
  <si>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</si>
  <si>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</si>
  <si>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</si>
  <si>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</si>
  <si>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</si>
  <si>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</si>
  <si>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</si>
  <si>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</si>
  <si>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</si>
  <si>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</si>
  <si>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</si>
  <si>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</si>
  <si>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</si>
  <si>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</si>
  <si>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</si>
  <si>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</si>
  <si>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</si>
  <si>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</si>
  <si>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</si>
  <si>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</si>
  <si>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</si>
  <si>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</si>
  <si>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</si>
  <si>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</si>
  <si>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</si>
  <si>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Valores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</si>
  <si>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</si>
  <si>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</si>
  <si>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</si>
  <si>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</si>
  <si>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</si>
  <si>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</si>
  <si>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</si>
  <si>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ANULADO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</si>
  <si>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</si>
  <si>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</si>
  <si>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</si>
  <si>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</si>
  <si>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</si>
  <si>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</si>
  <si>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PRUEBA BORRAR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</si>
  <si>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</si>
  <si>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</si>
  <si>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</si>
  <si>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</si>
  <si>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</si>
  <si>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</si>
  <si>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</si>
  <si>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</si>
  <si>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</si>
  <si>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</si>
  <si>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</si>
  <si>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</si>
  <si>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</si>
  <si>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</si>
  <si>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</si>
  <si>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</si>
  <si>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</si>
  <si>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</si>
  <si>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</si>
  <si>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</si>
  <si>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</si>
  <si>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</si>
  <si>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</si>
  <si>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</si>
  <si>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</si>
  <si>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</si>
  <si>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</si>
  <si>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</si>
  <si>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</si>
  <si>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</si>
  <si>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</si>
  <si>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</si>
  <si>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</si>
  <si>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</si>
  <si>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</si>
  <si>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</si>
  <si>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</si>
  <si>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</si>
  <si>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</si>
  <si>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</si>
  <si>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</si>
  <si>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</si>
  <si>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</si>
  <si>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</si>
  <si>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</si>
  <si>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</si>
  <si>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</si>
  <si>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</si>
  <si>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</si>
  <si>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</si>
  <si>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</si>
  <si>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</si>
  <si>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</si>
  <si>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</si>
  <si>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</si>
  <si>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</si>
  <si>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</si>
  <si>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</si>
  <si>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</si>
  <si>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</si>
  <si>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</si>
  <si>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</si>
  <si>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</si>
  <si>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</si>
  <si>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</si>
  <si>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</si>
  <si>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</si>
  <si>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</si>
  <si>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</si>
  <si>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</si>
  <si>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</si>
  <si>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</si>
  <si>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</si>
  <si>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</si>
  <si>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</si>
  <si>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</si>
  <si>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</si>
  <si>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</si>
  <si>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</si>
  <si>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</si>
  <si>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</si>
  <si>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LETRA #1 (REEPRESTAMO DE SEGUNDO GUAYTA)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</si>
  <si>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</si>
  <si>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</si>
  <si>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</si>
  <si>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</si>
  <si>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</si>
  <si>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</si>
  <si>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</si>
  <si>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</si>
  <si>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</si>
  <si>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</si>
  <si>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</si>
  <si>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</si>
  <si>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</si>
  <si>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</si>
  <si>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</si>
  <si>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</si>
  <si>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</si>
  <si>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</si>
  <si>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</si>
  <si>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</si>
  <si>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</si>
  <si>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</si>
  <si>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</si>
  <si>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</si>
  <si>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</si>
  <si>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MAYRA DEBE REPONER 10 $  Y DIEGO 60$ A LA FECHA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</si>
</sst>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d/m/yyyy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1" applyNumberFormat="0" applyAlignment="0" applyProtection="0"/>
    <xf numFmtId="0" fontId="15" fillId="16" borderId="41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402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68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1" xfId="0" applyBorder="1" applyAlignment="1">
      <alignment horizontal="right"/>
    </xf>
    <xf numFmtId="14" fontId="0" fillId="2" borderId="21" xfId="0" applyNumberFormat="1" applyFill="1" applyBorder="1" applyAlignment="1">
      <alignment horizontal="right"/>
    </xf>
    <xf numFmtId="0" fontId="0" fillId="0" borderId="21" xfId="0" applyBorder="1" applyAlignment="1">
      <alignment horizontal="left"/>
    </xf>
    <xf numFmtId="0" fontId="0" fillId="2" borderId="21" xfId="0" applyFill="1" applyBorder="1" applyAlignment="1" applyProtection="1">
      <alignment horizontal="right"/>
      <protection locked="0"/>
    </xf>
    <xf numFmtId="14" fontId="0" fillId="2" borderId="21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right"/>
      <protection locked="0"/>
    </xf>
    <xf numFmtId="175" fontId="0" fillId="0" borderId="1" xfId="0" applyNumberFormat="1" applyBorder="1" applyAlignment="1">
      <alignment horizontal="right"/>
    </xf>
    <xf numFmtId="175" fontId="0" fillId="0" borderId="21" xfId="0" applyNumberFormat="1" applyBorder="1" applyAlignment="1">
      <alignment horizontal="right"/>
    </xf>
    <xf numFmtId="175" fontId="0" fillId="2" borderId="21" xfId="0" applyNumberFormat="1" applyFill="1" applyBorder="1" applyAlignment="1" applyProtection="1">
      <alignment horizontal="right"/>
      <protection locked="0"/>
    </xf>
    <xf numFmtId="175" fontId="0" fillId="2" borderId="22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>
      <alignment horizontal="right"/>
    </xf>
    <xf numFmtId="176" fontId="0" fillId="2" borderId="21" xfId="0" applyNumberFormat="1" applyFill="1" applyBorder="1" applyAlignment="1">
      <alignment horizontal="right"/>
    </xf>
    <xf numFmtId="176" fontId="0" fillId="2" borderId="21" xfId="0" applyNumberFormat="1" applyFill="1" applyBorder="1" applyAlignment="1" applyProtection="1">
      <alignment horizontal="right"/>
      <protection locked="0"/>
    </xf>
    <xf numFmtId="176" fontId="0" fillId="2" borderId="22" xfId="0" applyNumberFormat="1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1" xfId="0" applyNumberFormat="1" applyBorder="1" applyAlignment="1">
      <alignment horizontal="right"/>
    </xf>
    <xf numFmtId="171" fontId="0" fillId="2" borderId="21" xfId="0" applyNumberFormat="1" applyFill="1" applyBorder="1" applyAlignment="1" applyProtection="1">
      <alignment horizontal="right"/>
      <protection locked="0"/>
    </xf>
    <xf numFmtId="168" fontId="0" fillId="0" borderId="21" xfId="0" applyNumberFormat="1" applyBorder="1" applyAlignment="1">
      <alignment horizontal="right"/>
    </xf>
    <xf numFmtId="168" fontId="0" fillId="2" borderId="21" xfId="0" applyNumberFormat="1" applyFill="1" applyBorder="1" applyAlignment="1" applyProtection="1">
      <alignment horizontal="right"/>
      <protection locked="0"/>
    </xf>
    <xf numFmtId="168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5" fontId="0" fillId="0" borderId="2" xfId="0" applyNumberFormat="1" applyBorder="1" applyAlignment="1">
      <alignment horizontal="right"/>
    </xf>
    <xf numFmtId="176" fontId="0" fillId="2" borderId="2" xfId="0" applyNumberFormat="1" applyFill="1" applyBorder="1" applyAlignment="1">
      <alignment horizontal="right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3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2" fillId="2" borderId="29" xfId="0" applyFont="1" applyFill="1" applyBorder="1" applyAlignment="1">
      <alignment horizontal="centerContinuous"/>
    </xf>
    <xf numFmtId="0" fontId="0" fillId="2" borderId="30" xfId="0" applyFill="1" applyBorder="1" applyAlignment="1">
      <alignment horizontal="centerContinuous"/>
    </xf>
    <xf numFmtId="14" fontId="0" fillId="2" borderId="31" xfId="0" applyNumberFormat="1" applyFill="1" applyBorder="1" applyAlignment="1">
      <alignment horizontal="centerContinuous"/>
    </xf>
    <xf numFmtId="0" fontId="0" fillId="2" borderId="27" xfId="0" applyFill="1" applyBorder="1" applyAlignment="1">
      <alignment horizontal="centerContinuous"/>
    </xf>
    <xf numFmtId="0" fontId="0" fillId="2" borderId="29" xfId="0" applyFill="1" applyBorder="1"/>
    <xf numFmtId="0" fontId="0" fillId="2" borderId="30" xfId="0" applyFill="1" applyBorder="1"/>
    <xf numFmtId="166" fontId="4" fillId="2" borderId="32" xfId="0" applyNumberFormat="1" applyFont="1" applyFill="1" applyBorder="1"/>
    <xf numFmtId="166" fontId="0" fillId="2" borderId="32" xfId="0" applyNumberFormat="1" applyFill="1" applyBorder="1"/>
    <xf numFmtId="166" fontId="0" fillId="0" borderId="32" xfId="0" applyNumberFormat="1" applyBorder="1"/>
    <xf numFmtId="166" fontId="0" fillId="4" borderId="32" xfId="0" applyNumberFormat="1" applyFill="1" applyBorder="1"/>
    <xf numFmtId="166" fontId="0" fillId="0" borderId="33" xfId="0" applyNumberFormat="1" applyBorder="1"/>
    <xf numFmtId="166" fontId="2" fillId="11" borderId="34" xfId="0" applyNumberFormat="1" applyFont="1" applyFill="1" applyBorder="1"/>
    <xf numFmtId="0" fontId="2" fillId="2" borderId="27" xfId="0" applyFont="1" applyFill="1" applyBorder="1" applyAlignment="1">
      <alignment horizontal="centerContinuous"/>
    </xf>
    <xf numFmtId="0" fontId="2" fillId="2" borderId="26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5" xfId="0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6" fontId="1" fillId="2" borderId="37" xfId="0" applyNumberFormat="1" applyFont="1" applyFill="1" applyBorder="1"/>
    <xf numFmtId="165" fontId="0" fillId="0" borderId="0" xfId="0" applyNumberFormat="1"/>
    <xf numFmtId="14" fontId="8" fillId="14" borderId="3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40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8" xfId="0" applyNumberFormat="1" applyFont="1" applyFill="1" applyBorder="1" applyAlignment="1">
      <alignment horizontal="centerContinuous"/>
    </xf>
    <xf numFmtId="0" fontId="0" fillId="2" borderId="39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2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3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8" xfId="0" applyFont="1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165" fontId="0" fillId="18" borderId="39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9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" fontId="18" fillId="18" borderId="40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4" xfId="0" applyNumberFormat="1" applyBorder="1"/>
    <xf numFmtId="166" fontId="0" fillId="0" borderId="34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5" xfId="0" applyFill="1" applyBorder="1" applyAlignment="1">
      <alignment vertical="center"/>
    </xf>
    <xf numFmtId="0" fontId="0" fillId="2" borderId="28" xfId="0" applyFill="1" applyBorder="1" applyAlignment="1">
      <alignment vertical="center"/>
    </xf>
    <xf numFmtId="166" fontId="0" fillId="0" borderId="31" xfId="0" applyNumberFormat="1" applyBorder="1" applyAlignment="1">
      <alignment horizontal="centerContinuous"/>
    </xf>
    <xf numFmtId="166" fontId="0" fillId="0" borderId="45" xfId="0" applyNumberFormat="1" applyBorder="1"/>
    <xf numFmtId="0" fontId="2" fillId="2" borderId="29" xfId="0" applyFont="1" applyFill="1" applyBorder="1" applyAlignment="1">
      <alignment horizontal="centerContinuous" vertical="center"/>
    </xf>
    <xf numFmtId="0" fontId="11" fillId="2" borderId="30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6" xfId="0" applyFill="1" applyBorder="1"/>
    <xf numFmtId="0" fontId="11" fillId="2" borderId="35" xfId="0" applyFont="1" applyFill="1" applyBorder="1" applyAlignment="1">
      <alignment horizontal="centerContinuous"/>
    </xf>
    <xf numFmtId="0" fontId="0" fillId="2" borderId="31" xfId="0" applyFill="1" applyBorder="1"/>
    <xf numFmtId="166" fontId="2" fillId="7" borderId="24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5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8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4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0" fontId="0" fillId="0" borderId="0" xfId="0" pivotButton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8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8" xfId="0" applyNumberFormat="1" applyBorder="1"/>
    <xf numFmtId="14" fontId="0" fillId="0" borderId="38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7" xfId="0" applyFont="1" applyBorder="1"/>
    <xf numFmtId="0" fontId="2" fillId="0" borderId="21" xfId="0" applyFont="1" applyBorder="1"/>
    <xf numFmtId="0" fontId="2" fillId="0" borderId="42" xfId="0" applyFont="1" applyBorder="1"/>
    <xf numFmtId="0" fontId="0" fillId="0" borderId="38" xfId="0" applyBorder="1"/>
    <xf numFmtId="0" fontId="0" fillId="2" borderId="2" xfId="0" applyFill="1" applyBorder="1" applyAlignment="1" applyProtection="1">
      <alignment horizontal="right"/>
      <protection locked="0"/>
    </xf>
    <xf numFmtId="168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5" fontId="0" fillId="2" borderId="2" xfId="0" applyNumberFormat="1" applyFill="1" applyBorder="1" applyAlignment="1" applyProtection="1">
      <alignment horizontal="right"/>
      <protection locked="0"/>
    </xf>
    <xf numFmtId="176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166" fontId="10" fillId="12" borderId="45" xfId="0" applyNumberFormat="1" applyFont="1" applyFill="1" applyBorder="1"/>
    <xf numFmtId="0" fontId="2" fillId="2" borderId="24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7" xfId="0" applyNumberFormat="1" applyFont="1" applyFill="1" applyBorder="1"/>
    <xf numFmtId="0" fontId="21" fillId="2" borderId="21" xfId="0" applyFont="1" applyFill="1" applyBorder="1"/>
    <xf numFmtId="0" fontId="21" fillId="2" borderId="42" xfId="0" applyFont="1" applyFill="1" applyBorder="1"/>
    <xf numFmtId="0" fontId="0" fillId="2" borderId="38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6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9" xfId="0" applyFont="1" applyFill="1" applyBorder="1" applyAlignment="1">
      <alignment horizontal="center" vertical="center"/>
    </xf>
    <xf numFmtId="168" fontId="26" fillId="2" borderId="49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2" fillId="20" borderId="0" xfId="0" applyFont="1" applyFill="1" applyAlignment="1">
      <alignment horizontal="center"/>
    </xf>
    <xf numFmtId="165" fontId="2" fillId="20" borderId="0" xfId="0" applyNumberFormat="1" applyFont="1" applyFill="1"/>
    <xf numFmtId="0" fontId="0" fillId="0" borderId="50" xfId="0" applyBorder="1"/>
    <xf numFmtId="165" fontId="0" fillId="0" borderId="50" xfId="0" applyNumberFormat="1" applyBorder="1"/>
    <xf numFmtId="168" fontId="0" fillId="0" borderId="50" xfId="0" applyNumberFormat="1" applyBorder="1"/>
    <xf numFmtId="0" fontId="4" fillId="20" borderId="0" xfId="0" applyFont="1" applyFill="1" applyAlignment="1">
      <alignment horizontal="center"/>
    </xf>
    <xf numFmtId="165" fontId="1" fillId="0" borderId="50" xfId="0" applyNumberFormat="1" applyFont="1" applyBorder="1"/>
    <xf numFmtId="165" fontId="4" fillId="20" borderId="0" xfId="0" applyNumberFormat="1" applyFont="1" applyFill="1"/>
    <xf numFmtId="0" fontId="27" fillId="20" borderId="0" xfId="0" applyFont="1" applyFill="1" applyAlignment="1">
      <alignment horizontal="center"/>
    </xf>
    <xf numFmtId="165" fontId="25" fillId="0" borderId="50" xfId="2" applyNumberFormat="1" applyFont="1" applyFill="1" applyBorder="1"/>
    <xf numFmtId="165" fontId="27" fillId="20" borderId="0" xfId="0" applyNumberFormat="1" applyFont="1" applyFill="1"/>
    <xf numFmtId="0" fontId="13" fillId="20" borderId="0" xfId="0" applyFont="1" applyFill="1" applyAlignment="1">
      <alignment horizontal="center"/>
    </xf>
    <xf numFmtId="165" fontId="28" fillId="0" borderId="50" xfId="0" applyNumberFormat="1" applyFont="1" applyBorder="1"/>
    <xf numFmtId="165" fontId="13" fillId="20" borderId="0" xfId="0" applyNumberFormat="1" applyFont="1" applyFill="1"/>
    <xf numFmtId="169" fontId="0" fillId="0" borderId="1" xfId="0" applyNumberFormat="1" applyBorder="1" applyAlignment="1">
      <alignment horizontal="right"/>
    </xf>
    <xf numFmtId="169" fontId="0" fillId="0" borderId="21" xfId="0" applyNumberFormat="1" applyBorder="1" applyAlignment="1">
      <alignment horizontal="right"/>
    </xf>
    <xf numFmtId="169" fontId="0" fillId="0" borderId="21" xfId="0" applyNumberFormat="1" applyBorder="1" applyAlignment="1" applyProtection="1">
      <alignment horizontal="right"/>
      <protection locked="0"/>
    </xf>
    <xf numFmtId="169" fontId="0" fillId="0" borderId="2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>
      <alignment horizontal="right"/>
    </xf>
    <xf numFmtId="165" fontId="13" fillId="0" borderId="50" xfId="0" applyNumberFormat="1" applyFont="1" applyBorder="1"/>
    <xf numFmtId="0" fontId="10" fillId="8" borderId="0" xfId="3" applyFont="1" applyFill="1" applyBorder="1" applyAlignment="1" applyProtection="1">
      <alignment horizontal="center"/>
      <protection locked="0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5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2" xfId="0" applyNumberFormat="1" applyBorder="1"/>
    <xf numFmtId="168" fontId="0" fillId="13" borderId="0" xfId="0" applyNumberFormat="1" applyFill="1"/>
    <xf numFmtId="171" fontId="0" fillId="0" borderId="21" xfId="0" applyNumberFormat="1" applyBorder="1"/>
    <xf numFmtId="14" fontId="0" fillId="2" borderId="21" xfId="0" applyNumberFormat="1" applyFill="1" applyBorder="1" applyAlignment="1">
      <alignment horizontal="right" wrapText="1"/>
    </xf>
    <xf numFmtId="0" fontId="0" fillId="0" borderId="21" xfId="0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2" xfId="2" applyFont="1" applyFill="1" applyBorder="1"/>
    <xf numFmtId="0" fontId="0" fillId="7" borderId="0" xfId="0" applyFill="1" applyAlignment="1">
      <alignment horizontal="right"/>
    </xf>
    <xf numFmtId="14" fontId="0" fillId="0" borderId="2" xfId="0" applyNumberFormat="1" applyBorder="1" applyAlignment="1">
      <alignment horizontal="right"/>
    </xf>
    <xf numFmtId="176" fontId="0" fillId="0" borderId="2" xfId="0" applyNumberFormat="1" applyBorder="1" applyAlignment="1">
      <alignment horizontal="right"/>
    </xf>
    <xf numFmtId="0" fontId="0" fillId="0" borderId="0" xfId="0" applyAlignment="1">
      <alignment horizontal="right"/>
    </xf>
    <xf numFmtId="183" fontId="0" fillId="0" borderId="1" xfId="0" applyNumberFormat="1" applyBorder="1" applyAlignment="1">
      <alignment horizontal="right"/>
    </xf>
    <xf numFmtId="183" fontId="0" fillId="0" borderId="2" xfId="0" applyNumberFormat="1" applyBorder="1" applyAlignment="1">
      <alignment horizontal="right"/>
    </xf>
    <xf numFmtId="183" fontId="0" fillId="4" borderId="1" xfId="0" applyNumberFormat="1" applyFill="1" applyBorder="1" applyAlignment="1">
      <alignment horizontal="right"/>
    </xf>
    <xf numFmtId="183" fontId="0" fillId="21" borderId="1" xfId="0" applyNumberFormat="1" applyFill="1" applyBorder="1" applyAlignment="1">
      <alignment horizontal="right"/>
    </xf>
    <xf numFmtId="183" fontId="0" fillId="0" borderId="21" xfId="0" applyNumberFormat="1" applyBorder="1" applyAlignment="1">
      <alignment horizontal="right"/>
    </xf>
    <xf numFmtId="183" fontId="0" fillId="4" borderId="2" xfId="0" applyNumberFormat="1" applyFill="1" applyBorder="1" applyAlignment="1">
      <alignment horizontal="right"/>
    </xf>
    <xf numFmtId="183" fontId="0" fillId="21" borderId="2" xfId="0" applyNumberFormat="1" applyFill="1" applyBorder="1" applyAlignment="1">
      <alignment horizontal="right"/>
    </xf>
    <xf numFmtId="183" fontId="18" fillId="0" borderId="2" xfId="0" applyNumberFormat="1" applyFont="1" applyBorder="1" applyAlignment="1">
      <alignment horizontal="right"/>
    </xf>
    <xf numFmtId="183" fontId="18" fillId="21" borderId="2" xfId="0" applyNumberFormat="1" applyFont="1" applyFill="1" applyBorder="1" applyAlignment="1">
      <alignment horizontal="right"/>
    </xf>
    <xf numFmtId="183" fontId="0" fillId="0" borderId="0" xfId="0" applyNumberFormat="1" applyProtection="1">
      <protection locked="0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8" xfId="0" applyBorder="1"/>
    <xf numFmtId="0" fontId="0" fillId="0" borderId="40" xfId="0" applyBorder="1"/>
    <xf numFmtId="0" fontId="21" fillId="2" borderId="47" xfId="0" applyFont="1" applyFill="1" applyBorder="1"/>
    <xf numFmtId="0" fontId="0" fillId="2" borderId="40" xfId="0" applyFill="1" applyBorder="1"/>
    <xf numFmtId="0" fontId="0" fillId="2" borderId="48" xfId="0" applyFill="1" applyBorder="1"/>
    <xf numFmtId="179" fontId="0" fillId="2" borderId="40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85" fontId="0" fillId="2" borderId="1" xfId="0" applyNumberFormat="1" applyFill="1" applyBorder="1" applyAlignment="1">
      <alignment horizontal="right"/>
    </xf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5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50" xfId="0" applyNumberFormat="1" applyBorder="1"/>
    <xf numFmtId="168" fontId="6" fillId="2" borderId="1" xfId="0" applyNumberFormat="1" applyFont="1" applyFill="1" applyBorder="1"/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numFmt numFmtId="165" formatCode="&quot;$&quot;#,##0.00;[Red]&quot;$&quot;\-#,##0.00"/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5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5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5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42" Type="http://schemas.openxmlformats.org/officeDocument/2006/relationships/calcChain" Target="calcChain.xml"/><Relationship Id="rId47" Type="http://schemas.openxmlformats.org/officeDocument/2006/relationships/customXml" Target="../customXml/item5.xml"/><Relationship Id="rId50" Type="http://schemas.openxmlformats.org/officeDocument/2006/relationships/customXml" Target="../customXml/item8.xml"/><Relationship Id="rId55" Type="http://schemas.openxmlformats.org/officeDocument/2006/relationships/customXml" Target="../customXml/item13.xml"/><Relationship Id="rId63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sheetMetadata" Target="metadata.xml"/><Relationship Id="rId40" Type="http://schemas.microsoft.com/office/2017/06/relationships/rdRichValueTypes" Target="richData/rdRichValueTypes.xml"/><Relationship Id="rId45" Type="http://schemas.openxmlformats.org/officeDocument/2006/relationships/customXml" Target="../customXml/item3.xml"/><Relationship Id="rId53" Type="http://schemas.openxmlformats.org/officeDocument/2006/relationships/customXml" Target="../customXml/item11.xml"/><Relationship Id="rId58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9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openxmlformats.org/officeDocument/2006/relationships/customXml" Target="../customXml/item1.xml"/><Relationship Id="rId48" Type="http://schemas.openxmlformats.org/officeDocument/2006/relationships/customXml" Target="../customXml/item6.xml"/><Relationship Id="rId56" Type="http://schemas.openxmlformats.org/officeDocument/2006/relationships/customXml" Target="../customXml/item14.xml"/><Relationship Id="rId64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" Target="richData/rdrichvalue.xml"/><Relationship Id="rId46" Type="http://schemas.openxmlformats.org/officeDocument/2006/relationships/customXml" Target="../customXml/item4.xml"/><Relationship Id="rId59" Type="http://schemas.openxmlformats.org/officeDocument/2006/relationships/customXml" Target="../customXml/item17.xml"/><Relationship Id="rId20" Type="http://schemas.openxmlformats.org/officeDocument/2006/relationships/worksheet" Target="worksheets/sheet20.xml"/><Relationship Id="rId41" Type="http://schemas.openxmlformats.org/officeDocument/2006/relationships/powerPivotData" Target="model/item.data"/><Relationship Id="rId54" Type="http://schemas.openxmlformats.org/officeDocument/2006/relationships/customXml" Target="../customXml/item12.xml"/><Relationship Id="rId62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49" Type="http://schemas.openxmlformats.org/officeDocument/2006/relationships/customXml" Target="../customXml/item7.xml"/><Relationship Id="rId57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52" Type="http://schemas.openxmlformats.org/officeDocument/2006/relationships/customXml" Target="../customXml/item10.xml"/><Relationship Id="rId60" Type="http://schemas.openxmlformats.org/officeDocument/2006/relationships/customXml" Target="../customXml/item18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51075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87842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5966.819912615741" backgroundQuery="1" createdVersion="8" refreshedVersion="8" minRefreshableVersion="3" recordCount="0" supportSubquery="1" supportAdvancedDrill="1" xr:uid="{8F1C9D54-B103-417A-BC18-C8597A61373D}">
  <cacheSource type="external" connectionId="1"/>
  <cacheFields count="4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Suma de APORTE]" caption="Suma de APORTE" numFmtId="0" hierarchy="43" level="32767"/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13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3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E24" firstHeaderRow="1" firstDataRow="2" firstDataCol="2"/>
  <pivotFields count="4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# APORT" fld="3" subtotal="count" baseField="1" baseItem="8"/>
    <dataField name="APORT" fld="2" baseField="0" baseItem="0" numFmtId="165"/>
  </dataFields>
  <formats count="21">
    <format dxfId="21">
      <pivotArea outline="0" fieldPosition="0">
        <references count="1">
          <reference field="4294967294" count="1" selected="0">
            <x v="1"/>
          </reference>
        </references>
      </pivotArea>
    </format>
    <format dxfId="20">
      <pivotArea outline="0" fieldPosition="0">
        <references count="2">
          <reference field="0" count="0" selected="0"/>
          <reference field="1" count="0" selected="0"/>
        </references>
      </pivotArea>
    </format>
    <format dxfId="19">
      <pivotArea dataOnly="0" labelOnly="1" outline="0" fieldPosition="0">
        <references count="1">
          <reference field="0" count="0"/>
        </references>
      </pivotArea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36" totalsRowShown="0" headerRowDxfId="71" headerRowBorderDxfId="70" tableBorderDxfId="69" totalsRowBorderDxfId="68">
  <autoFilter ref="F4:K536" xr:uid="{F53503DF-644E-4A9A-8D0D-080AEC43F898}"/>
  <tableColumns count="6">
    <tableColumn id="1" xr3:uid="{6ED0DD16-597F-4657-B60B-E17AA9DAB89E}" name="SECUENCIA" dataDxfId="67">
      <calculatedColumnFormula>ROW()-ROW(APORTACIONESOCIOS[[#Headers],[SECUENCIA]])</calculatedColumnFormula>
    </tableColumn>
    <tableColumn id="2" xr3:uid="{47EBCF96-4711-43CB-9BE6-93ED477BB0A0}" name="FECHA" dataDxfId="66"/>
    <tableColumn id="3" xr3:uid="{16E6B2EE-7076-4DFF-A63F-B04A095B46B7}" name="APORTE" dataDxfId="65">
      <calculatedColumnFormula>#REF!</calculatedColumnFormula>
    </tableColumn>
    <tableColumn id="4" xr3:uid="{66708F39-5779-4AD8-BCCC-6C523358E0D4}" name="CODIGO CLIENTE" dataDxfId="64"/>
    <tableColumn id="5" xr3:uid="{6957FAA1-68C1-4BFD-92E8-A5A6769A497E}" name="SOCIO" dataDxfId="63"/>
    <tableColumn id="6" xr3:uid="{FC26D5C3-2C4B-49B7-9204-EF7C92747C36}" name="COMENTARIO" dataDxfId="6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61">
  <autoFilter ref="B4:D22" xr:uid="{DD579213-6F14-4AB3-B889-091BC90F886F}"/>
  <tableColumns count="3">
    <tableColumn id="1" xr3:uid="{8F2A069B-46A7-4EE9-9779-1D92529BBBA6}" name="CODIGO CLIENTE" dataDxfId="60"/>
    <tableColumn id="2" xr3:uid="{A73C0ADE-0C9C-46DA-9A46-AC967EA142A4}" name="NOMBRE"/>
    <tableColumn id="3" xr3:uid="{47029E3F-DC83-4BC4-93ED-3D3FE79ACF30}" name="APORTADO" dataDxfId="0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04" totalsRowShown="0" headerRowDxfId="59" dataDxfId="58" tableBorderDxfId="57">
  <autoFilter ref="A2:L104" xr:uid="{1EF07585-15E8-4C19-B5D8-0E7A84F4DBB0}"/>
  <tableColumns count="12">
    <tableColumn id="1" xr3:uid="{DF608173-1C1E-45BF-BDA6-4770479695D0}" name="REG" dataDxfId="56"/>
    <tableColumn id="10" xr3:uid="{A1710718-E81C-4FCA-8318-2D0241A13750}" name="CODIGO CLIENTE" dataDxfId="55"/>
    <tableColumn id="2" xr3:uid="{BF4B879C-1336-4BFF-A448-902F2E842778}" name="NOMBRE CLIENTE" dataDxfId="54"/>
    <tableColumn id="3" xr3:uid="{A4557FB7-A69D-41EA-ADDC-4CD851160E6F}" name="MONTO AMORTIZACION" dataDxfId="53"/>
    <tableColumn id="4" xr3:uid="{1059D7C6-771B-45CF-95FF-DE6753600468}" name="FECHA DEL PRESTAMO" dataDxfId="52"/>
    <tableColumn id="5" xr3:uid="{EC0679A2-BDC3-47B2-82B2-67CD1FDCEED2}" name="CUOTAS" dataDxfId="51"/>
    <tableColumn id="6" xr3:uid="{2AB3969A-7B77-4109-A6D4-36598A4DCC7B}" name="INTERES" dataDxfId="50"/>
    <tableColumn id="7" xr3:uid="{178CA326-5156-46D8-B147-36B8DAE7B0FB}" name="T. INT" dataDxfId="49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48">
      <calculatedColumnFormula>PRESTAMOS[[#This Row],[MONTO AMORTIZACION]]+PRESTAMOS[[#This Row],[T. INT]]</calculatedColumnFormula>
    </tableColumn>
    <tableColumn id="9" xr3:uid="{DAB7303D-AF54-4300-85B2-5A04DC344B2D}" name="OBSERVACION" dataDxfId="47"/>
    <tableColumn id="11" xr3:uid="{A7AC972D-5336-419F-9024-628A881B913D}" name="ESTATUS" dataDxfId="46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45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386" totalsRowShown="0" headerRowDxfId="44" dataDxfId="43" tableBorderDxfId="42">
  <autoFilter ref="A2:L386" xr:uid="{0B276B08-FDED-4D4B-9E03-4C4141C75BCE}"/>
  <tableColumns count="12">
    <tableColumn id="1" xr3:uid="{291C7FF1-10B1-4601-BE6F-18338656E5ED}" name="REG" dataDxfId="41"/>
    <tableColumn id="10" xr3:uid="{7022746F-053D-483A-BA2A-73B3994A543A}" name="CODIGO CLIENTE" dataDxfId="40"/>
    <tableColumn id="2" xr3:uid="{FC13E43B-9874-4D30-9445-A72F47508A7C}" name="NOMBRE CLIENTE" dataDxfId="39"/>
    <tableColumn id="11" xr3:uid="{E88FA523-F814-4522-A262-68C8722599CB}" name="# PESTAMO" dataDxfId="38"/>
    <tableColumn id="3" xr3:uid="{002B3DB3-17B9-428D-A25A-72684C77E38B}" name="PAGO DEL MONTO" dataDxfId="37"/>
    <tableColumn id="4" xr3:uid="{1F8AE8A0-54D4-4B93-9CE3-86BC07F70024}" name="FECHA PAGO DEL MONTO" dataDxfId="36"/>
    <tableColumn id="5" xr3:uid="{F83E30F0-E156-48F7-9345-CAA3F5461D36}" name="# DE CUOTA DEL MONTO" dataDxfId="35"/>
    <tableColumn id="6" xr3:uid="{9DD87D8D-B930-4E29-9891-39897F2AED3F}" name="PAGO DEL INTERES" dataDxfId="34"/>
    <tableColumn id="7" xr3:uid="{D2503747-26C8-4B63-AB7A-B44C998F3273}" name="FECHA PAGO INTERES" dataDxfId="33"/>
    <tableColumn id="8" xr3:uid="{ACB52336-5F64-495D-A7C5-4F974CF9E959}" name="# DE CUOTA DE INTERES" dataDxfId="32"/>
    <tableColumn id="9" xr3:uid="{29B90C80-8506-4A3F-8557-A9FDCA0D07DB}" name="COMENTARIO" dataDxfId="31"/>
    <tableColumn id="12" xr3:uid="{AD0D0573-DCAF-445E-8A20-BEADB80BC7AE}" name="ES NUMERO" dataDxfId="30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0" totalsRowShown="0" headerRowDxfId="29" headerRowBorderDxfId="28" tableBorderDxfId="27" totalsRowBorderDxfId="26">
  <autoFilter ref="A1:D40" xr:uid="{04B7BB1B-ECEB-41CC-8D03-4A59D0FF3CBE}"/>
  <tableColumns count="4">
    <tableColumn id="1" xr3:uid="{C9871744-ADFB-4E6E-8064-EB19DBD32DD9}" name="#REGISTRO" dataDxfId="25">
      <calculatedColumnFormula array="1">IF(DENERO_CAJA[[#This Row],[MONTO]]&lt;&gt;"",ROW()-ROW(DENERO_CAJA[#Headers]),"")</calculatedColumnFormula>
    </tableColumn>
    <tableColumn id="2" xr3:uid="{8D9D85F4-7C58-411D-9F50-5DDD4F3C24B5}" name="FECHA" dataDxfId="24"/>
    <tableColumn id="3" xr3:uid="{F57D2212-4DEE-425B-919D-FA4FFA0A57FC}" name="MONTO" dataDxfId="23"/>
    <tableColumn id="4" xr3:uid="{2D0EDDF4-6390-4E2C-98CD-CE5E5523338F}" name="COMENTARIO" dataDxfId="2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/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203">
        <v>1</v>
      </c>
      <c r="B3" s="45" t="s">
        <v>70</v>
      </c>
    </row>
    <row r="4" spans="1:2" x14ac:dyDescent="0.3">
      <c r="A4" s="203">
        <v>2</v>
      </c>
      <c r="B4" s="45" t="s">
        <v>71</v>
      </c>
    </row>
    <row r="5" spans="1:2" x14ac:dyDescent="0.3">
      <c r="A5" s="203">
        <v>3</v>
      </c>
      <c r="B5" s="45" t="s">
        <v>13</v>
      </c>
    </row>
    <row r="6" spans="1:2" x14ac:dyDescent="0.3">
      <c r="A6" s="203">
        <v>4</v>
      </c>
      <c r="B6" s="45" t="s">
        <v>12</v>
      </c>
    </row>
    <row r="7" spans="1:2" x14ac:dyDescent="0.3">
      <c r="A7" s="203">
        <v>5</v>
      </c>
      <c r="B7" s="45" t="s">
        <v>14</v>
      </c>
    </row>
    <row r="8" spans="1:2" x14ac:dyDescent="0.3">
      <c r="A8" s="203">
        <v>6</v>
      </c>
      <c r="B8" s="45" t="s">
        <v>24</v>
      </c>
    </row>
    <row r="9" spans="1:2" x14ac:dyDescent="0.3">
      <c r="A9" s="203">
        <v>7</v>
      </c>
      <c r="B9" s="45" t="s">
        <v>408</v>
      </c>
    </row>
    <row r="10" spans="1:2" x14ac:dyDescent="0.3">
      <c r="A10" s="203">
        <v>8</v>
      </c>
      <c r="B10" s="45" t="s">
        <v>409</v>
      </c>
    </row>
    <row r="11" spans="1:2" x14ac:dyDescent="0.3">
      <c r="A11" s="203">
        <v>9</v>
      </c>
      <c r="B11" s="45" t="s">
        <v>17</v>
      </c>
    </row>
    <row r="12" spans="1:2" x14ac:dyDescent="0.3">
      <c r="A12" s="203">
        <v>10</v>
      </c>
      <c r="B12" s="45" t="s">
        <v>18</v>
      </c>
    </row>
    <row r="13" spans="1:2" x14ac:dyDescent="0.3">
      <c r="A13" s="203">
        <v>11</v>
      </c>
      <c r="B13" s="45" t="s">
        <v>19</v>
      </c>
    </row>
    <row r="14" spans="1:2" x14ac:dyDescent="0.3">
      <c r="A14" s="203">
        <v>12</v>
      </c>
      <c r="B14" s="45" t="s">
        <v>20</v>
      </c>
    </row>
    <row r="15" spans="1:2" x14ac:dyDescent="0.3">
      <c r="A15" s="203">
        <v>13</v>
      </c>
      <c r="B15" s="45" t="s">
        <v>341</v>
      </c>
    </row>
    <row r="16" spans="1:2" x14ac:dyDescent="0.3">
      <c r="A16" s="203">
        <v>14</v>
      </c>
      <c r="B16" s="45" t="s">
        <v>21</v>
      </c>
    </row>
    <row r="17" spans="1:2" x14ac:dyDescent="0.3">
      <c r="A17" s="203">
        <v>15</v>
      </c>
      <c r="B17" s="45" t="s">
        <v>22</v>
      </c>
    </row>
    <row r="18" spans="1:2" x14ac:dyDescent="0.3">
      <c r="A18" s="203">
        <v>16</v>
      </c>
      <c r="B18" s="45" t="s">
        <v>23</v>
      </c>
    </row>
    <row r="19" spans="1:2" x14ac:dyDescent="0.3">
      <c r="A19" s="203">
        <v>17</v>
      </c>
      <c r="B19" s="45" t="s">
        <v>339</v>
      </c>
    </row>
    <row r="20" spans="1:2" x14ac:dyDescent="0.3">
      <c r="A20" s="203">
        <v>18</v>
      </c>
      <c r="B20" s="45" t="s">
        <v>340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36"/>
  <sheetViews>
    <sheetView zoomScaleNormal="100" workbookViewId="0">
      <pane xSplit="5" ySplit="23" topLeftCell="F533" activePane="bottomRight" state="frozen"/>
      <selection pane="topRight" activeCell="F1" sqref="F1"/>
      <selection pane="bottomLeft" activeCell="A24" sqref="A24"/>
      <selection pane="bottomRight" activeCell="G17" sqref="G17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72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57"/>
    </row>
    <row r="4" spans="2:11" x14ac:dyDescent="0.3">
      <c r="B4" s="259" t="s">
        <v>33</v>
      </c>
      <c r="C4" s="260" t="s">
        <v>11</v>
      </c>
      <c r="D4" s="261" t="s">
        <v>26</v>
      </c>
      <c r="F4" s="250" t="s">
        <v>405</v>
      </c>
      <c r="G4" s="251" t="s">
        <v>48</v>
      </c>
      <c r="H4" s="251" t="s">
        <v>404</v>
      </c>
      <c r="I4" s="251" t="s">
        <v>33</v>
      </c>
      <c r="J4" s="251" t="s">
        <v>53</v>
      </c>
      <c r="K4" s="252" t="s">
        <v>297</v>
      </c>
    </row>
    <row r="5" spans="2:11" ht="20.100000000000001" customHeight="1" x14ac:dyDescent="0.3">
      <c r="B5" s="315">
        <v>1</v>
      </c>
      <c r="C5" s="270" t="s">
        <v>70</v>
      </c>
      <c r="D5" s="401">
        <f>+SUMIF(APORTACIONESOCIOS[CODIGO CLIENTE],SOCIOS!$B5,APORTACIONESOCIOS[APORTE])</f>
        <v>0</v>
      </c>
      <c r="F5" s="354">
        <f>ROW()-ROW(APORTACIONESOCIOS[[#Headers],[SECUENCIA]])</f>
        <v>1</v>
      </c>
      <c r="G5" s="173">
        <v>44788</v>
      </c>
      <c r="H5" s="3">
        <v>0</v>
      </c>
      <c r="I5" s="263">
        <v>1</v>
      </c>
      <c r="J5" s="249" t="s">
        <v>70</v>
      </c>
      <c r="K5" s="252"/>
    </row>
    <row r="6" spans="2:11" ht="20.100000000000001" customHeight="1" x14ac:dyDescent="0.3">
      <c r="B6" s="71">
        <v>2</v>
      </c>
      <c r="C6" s="271" t="s">
        <v>71</v>
      </c>
      <c r="D6" s="401">
        <f>+SUMIF(APORTACIONESOCIOS[CODIGO CLIENTE],SOCIOS!$B6,APORTACIONESOCIOS[APORTE])</f>
        <v>0</v>
      </c>
      <c r="F6" s="354">
        <f>ROW()-ROW(APORTACIONESOCIOS[[#Headers],[SECUENCIA]])</f>
        <v>2</v>
      </c>
      <c r="G6" s="173">
        <v>44788</v>
      </c>
      <c r="H6" s="3">
        <v>0</v>
      </c>
      <c r="I6" s="263">
        <v>2</v>
      </c>
      <c r="J6" s="249" t="s">
        <v>71</v>
      </c>
      <c r="K6" s="252"/>
    </row>
    <row r="7" spans="2:11" ht="20.100000000000001" customHeight="1" x14ac:dyDescent="0.3">
      <c r="B7" s="315">
        <v>3</v>
      </c>
      <c r="C7" s="269" t="s">
        <v>13</v>
      </c>
      <c r="D7" s="401">
        <f>+SUMIF(APORTACIONESOCIOS[CODIGO CLIENTE],SOCIOS!$B7,APORTACIONESOCIOS[APORTE])</f>
        <v>390</v>
      </c>
      <c r="F7" s="355">
        <f>ROW()-ROW(APORTACIONESOCIOS[[#Headers],[SECUENCIA]])</f>
        <v>3</v>
      </c>
      <c r="G7" s="173">
        <v>44788</v>
      </c>
      <c r="H7" s="3">
        <v>10</v>
      </c>
      <c r="I7" s="263">
        <v>3</v>
      </c>
      <c r="J7" s="249" t="s">
        <v>13</v>
      </c>
      <c r="K7" s="253"/>
    </row>
    <row r="8" spans="2:11" ht="20.100000000000001" customHeight="1" x14ac:dyDescent="0.3">
      <c r="B8" s="71">
        <v>4</v>
      </c>
      <c r="C8" s="45" t="s">
        <v>12</v>
      </c>
      <c r="D8" s="401">
        <f>+SUMIF(APORTACIONESOCIOS[CODIGO CLIENTE],SOCIOS!$B8,APORTACIONESOCIOS[APORTE])</f>
        <v>390</v>
      </c>
      <c r="F8" s="355">
        <f>ROW()-ROW(APORTACIONESOCIOS[[#Headers],[SECUENCIA]])</f>
        <v>4</v>
      </c>
      <c r="G8" s="173">
        <v>44788</v>
      </c>
      <c r="H8" s="3">
        <v>10</v>
      </c>
      <c r="I8" s="263">
        <v>4</v>
      </c>
      <c r="J8" s="249" t="s">
        <v>12</v>
      </c>
      <c r="K8" s="253"/>
    </row>
    <row r="9" spans="2:11" ht="20.100000000000001" customHeight="1" x14ac:dyDescent="0.3">
      <c r="B9" s="315">
        <v>5</v>
      </c>
      <c r="C9" s="269" t="s">
        <v>14</v>
      </c>
      <c r="D9" s="401">
        <f>+SUMIF(APORTACIONESOCIOS[CODIGO CLIENTE],SOCIOS!$B9,APORTACIONESOCIOS[APORTE])</f>
        <v>390</v>
      </c>
      <c r="F9" s="355">
        <f>ROW()-ROW(APORTACIONESOCIOS[[#Headers],[SECUENCIA]])</f>
        <v>5</v>
      </c>
      <c r="G9" s="173">
        <v>44788</v>
      </c>
      <c r="H9" s="3">
        <v>10</v>
      </c>
      <c r="I9" s="263">
        <v>5</v>
      </c>
      <c r="J9" s="249" t="s">
        <v>14</v>
      </c>
      <c r="K9" s="253"/>
    </row>
    <row r="10" spans="2:11" ht="20.100000000000001" customHeight="1" x14ac:dyDescent="0.3">
      <c r="B10" s="71">
        <v>6</v>
      </c>
      <c r="C10" s="45" t="s">
        <v>24</v>
      </c>
      <c r="D10" s="401">
        <f>+SUMIF(APORTACIONESOCIOS[CODIGO CLIENTE],SOCIOS!$B10,APORTACIONESOCIOS[APORTE])</f>
        <v>390</v>
      </c>
      <c r="F10" s="355">
        <f>ROW()-ROW(APORTACIONESOCIOS[[#Headers],[SECUENCIA]])</f>
        <v>6</v>
      </c>
      <c r="G10" s="173">
        <v>44788</v>
      </c>
      <c r="H10" s="3">
        <v>10</v>
      </c>
      <c r="I10" s="263">
        <v>6</v>
      </c>
      <c r="J10" s="249" t="s">
        <v>24</v>
      </c>
      <c r="K10" s="253"/>
    </row>
    <row r="11" spans="2:11" ht="20.100000000000001" customHeight="1" x14ac:dyDescent="0.3">
      <c r="B11" s="316">
        <v>7</v>
      </c>
      <c r="C11" s="256" t="s">
        <v>15</v>
      </c>
      <c r="D11" s="401">
        <f>+SUMIF(APORTACIONESOCIOS[CODIGO CLIENTE],SOCIOS!$B11,APORTACIONESOCIOS[APORTE])</f>
        <v>390</v>
      </c>
      <c r="F11" s="355">
        <f>ROW()-ROW(APORTACIONESOCIOS[[#Headers],[SECUENCIA]])</f>
        <v>7</v>
      </c>
      <c r="G11" s="173">
        <v>44788</v>
      </c>
      <c r="H11" s="3">
        <v>10</v>
      </c>
      <c r="I11" s="263">
        <v>7</v>
      </c>
      <c r="J11" s="249" t="s">
        <v>408</v>
      </c>
      <c r="K11" s="253"/>
    </row>
    <row r="12" spans="2:11" ht="20.100000000000001" customHeight="1" x14ac:dyDescent="0.3">
      <c r="B12" s="317">
        <v>8</v>
      </c>
      <c r="C12" s="231" t="s">
        <v>16</v>
      </c>
      <c r="D12" s="401">
        <f>+SUMIF(APORTACIONESOCIOS[CODIGO CLIENTE],SOCIOS!$B12,APORTACIONESOCIOS[APORTE])</f>
        <v>390</v>
      </c>
      <c r="F12" s="355">
        <f>ROW()-ROW(APORTACIONESOCIOS[[#Headers],[SECUENCIA]])</f>
        <v>8</v>
      </c>
      <c r="G12" s="173">
        <v>44788</v>
      </c>
      <c r="H12" s="3">
        <v>10</v>
      </c>
      <c r="I12" s="263">
        <v>8</v>
      </c>
      <c r="J12" s="249" t="s">
        <v>16</v>
      </c>
      <c r="K12" s="253"/>
    </row>
    <row r="13" spans="2:11" ht="20.100000000000001" customHeight="1" x14ac:dyDescent="0.3">
      <c r="B13" s="316">
        <v>9</v>
      </c>
      <c r="C13" s="256" t="s">
        <v>17</v>
      </c>
      <c r="D13" s="401">
        <f>+SUMIF(APORTACIONESOCIOS[CODIGO CLIENTE],SOCIOS!$B13,APORTACIONESOCIOS[APORTE])</f>
        <v>390</v>
      </c>
      <c r="F13" s="355">
        <f>ROW()-ROW(APORTACIONESOCIOS[[#Headers],[SECUENCIA]])</f>
        <v>9</v>
      </c>
      <c r="G13" s="173">
        <v>44788</v>
      </c>
      <c r="H13" s="3">
        <v>10</v>
      </c>
      <c r="I13" s="263">
        <v>9</v>
      </c>
      <c r="J13" s="249" t="s">
        <v>17</v>
      </c>
      <c r="K13" s="253"/>
    </row>
    <row r="14" spans="2:11" ht="20.100000000000001" customHeight="1" x14ac:dyDescent="0.3">
      <c r="B14" s="317">
        <v>10</v>
      </c>
      <c r="C14" s="231" t="s">
        <v>18</v>
      </c>
      <c r="D14" s="401">
        <f>+SUMIF(APORTACIONESOCIOS[CODIGO CLIENTE],SOCIOS!$B14,APORTACIONESOCIOS[APORTE])</f>
        <v>390</v>
      </c>
      <c r="F14" s="355">
        <f>ROW()-ROW(APORTACIONESOCIOS[[#Headers],[SECUENCIA]])</f>
        <v>10</v>
      </c>
      <c r="G14" s="173">
        <v>44788</v>
      </c>
      <c r="H14" s="3">
        <v>10</v>
      </c>
      <c r="I14" s="263">
        <v>10</v>
      </c>
      <c r="J14" s="249" t="s">
        <v>18</v>
      </c>
      <c r="K14" s="253"/>
    </row>
    <row r="15" spans="2:11" ht="20.100000000000001" customHeight="1" x14ac:dyDescent="0.3">
      <c r="B15" s="316">
        <v>11</v>
      </c>
      <c r="C15" s="256" t="s">
        <v>19</v>
      </c>
      <c r="D15" s="401">
        <f>+SUMIF(APORTACIONESOCIOS[CODIGO CLIENTE],SOCIOS!$B15,APORTACIONESOCIOS[APORTE])</f>
        <v>390</v>
      </c>
      <c r="F15" s="355">
        <f>ROW()-ROW(APORTACIONESOCIOS[[#Headers],[SECUENCIA]])</f>
        <v>11</v>
      </c>
      <c r="G15" s="173">
        <v>44788</v>
      </c>
      <c r="H15" s="3">
        <v>10</v>
      </c>
      <c r="I15" s="263">
        <v>11</v>
      </c>
      <c r="J15" s="249" t="s">
        <v>19</v>
      </c>
      <c r="K15" s="253"/>
    </row>
    <row r="16" spans="2:11" ht="20.100000000000001" customHeight="1" x14ac:dyDescent="0.3">
      <c r="B16" s="317">
        <v>12</v>
      </c>
      <c r="C16" s="231" t="s">
        <v>20</v>
      </c>
      <c r="D16" s="401">
        <f>+SUMIF(APORTACIONESOCIOS[CODIGO CLIENTE],SOCIOS!$B16,APORTACIONESOCIOS[APORTE])</f>
        <v>390</v>
      </c>
      <c r="F16" s="355">
        <f>ROW()-ROW(APORTACIONESOCIOS[[#Headers],[SECUENCIA]])</f>
        <v>12</v>
      </c>
      <c r="G16" s="173">
        <v>44788</v>
      </c>
      <c r="H16" s="3">
        <v>10</v>
      </c>
      <c r="I16" s="263">
        <v>12</v>
      </c>
      <c r="J16" s="249" t="s">
        <v>20</v>
      </c>
      <c r="K16" s="253"/>
    </row>
    <row r="17" spans="1:11" ht="20.100000000000001" customHeight="1" x14ac:dyDescent="0.3">
      <c r="B17" s="316">
        <v>13</v>
      </c>
      <c r="C17" s="256" t="s">
        <v>341</v>
      </c>
      <c r="D17" s="401">
        <f>+SUMIF(APORTACIONESOCIOS[CODIGO CLIENTE],SOCIOS!$B17,APORTACIONESOCIOS[APORTE])</f>
        <v>390</v>
      </c>
      <c r="F17" s="355">
        <f>ROW()-ROW(APORTACIONESOCIOS[[#Headers],[SECUENCIA]])</f>
        <v>13</v>
      </c>
      <c r="G17" s="173">
        <v>44788</v>
      </c>
      <c r="H17" s="3">
        <v>10</v>
      </c>
      <c r="I17" s="263">
        <v>14</v>
      </c>
      <c r="J17" s="249" t="s">
        <v>21</v>
      </c>
      <c r="K17" s="253"/>
    </row>
    <row r="18" spans="1:11" ht="20.100000000000001" customHeight="1" x14ac:dyDescent="0.3">
      <c r="B18" s="317">
        <v>14</v>
      </c>
      <c r="C18" s="231" t="s">
        <v>21</v>
      </c>
      <c r="D18" s="401">
        <f>+SUMIF(APORTACIONESOCIOS[CODIGO CLIENTE],SOCIOS!$B18,APORTACIONESOCIOS[APORTE])</f>
        <v>390</v>
      </c>
      <c r="F18" s="355">
        <f>ROW()-ROW(APORTACIONESOCIOS[[#Headers],[SECUENCIA]])</f>
        <v>14</v>
      </c>
      <c r="G18" s="173">
        <v>44788</v>
      </c>
      <c r="H18" s="3">
        <v>10</v>
      </c>
      <c r="I18" s="263">
        <v>15</v>
      </c>
      <c r="J18" s="249" t="s">
        <v>22</v>
      </c>
      <c r="K18" s="253"/>
    </row>
    <row r="19" spans="1:11" ht="20.100000000000001" customHeight="1" x14ac:dyDescent="0.3">
      <c r="B19" s="316">
        <v>15</v>
      </c>
      <c r="C19" s="256" t="s">
        <v>22</v>
      </c>
      <c r="D19" s="401">
        <f>+SUMIF(APORTACIONESOCIOS[CODIGO CLIENTE],SOCIOS!$B19,APORTACIONESOCIOS[APORTE])</f>
        <v>390</v>
      </c>
      <c r="F19" s="355">
        <f>ROW()-ROW(APORTACIONESOCIOS[[#Headers],[SECUENCIA]])</f>
        <v>15</v>
      </c>
      <c r="G19" s="173">
        <v>44788</v>
      </c>
      <c r="H19" s="3">
        <v>10</v>
      </c>
      <c r="I19" s="263">
        <v>16</v>
      </c>
      <c r="J19" s="249" t="s">
        <v>23</v>
      </c>
      <c r="K19" s="253"/>
    </row>
    <row r="20" spans="1:11" ht="20.100000000000001" customHeight="1" x14ac:dyDescent="0.3">
      <c r="B20" s="317">
        <v>16</v>
      </c>
      <c r="C20" s="231" t="s">
        <v>23</v>
      </c>
      <c r="D20" s="401">
        <f>+SUMIF(APORTACIONESOCIOS[CODIGO CLIENTE],SOCIOS!$B20,APORTACIONESOCIOS[APORTE])</f>
        <v>390</v>
      </c>
      <c r="F20" s="355">
        <f>ROW()-ROW(APORTACIONESOCIOS[[#Headers],[SECUENCIA]])</f>
        <v>16</v>
      </c>
      <c r="G20" s="173">
        <v>44819</v>
      </c>
      <c r="H20" s="3">
        <v>10</v>
      </c>
      <c r="I20" s="263">
        <v>3</v>
      </c>
      <c r="J20" s="249" t="s">
        <v>13</v>
      </c>
      <c r="K20" s="253"/>
    </row>
    <row r="21" spans="1:11" ht="20.100000000000001" customHeight="1" x14ac:dyDescent="0.3">
      <c r="B21" s="316">
        <v>17</v>
      </c>
      <c r="C21" s="256" t="s">
        <v>339</v>
      </c>
      <c r="D21" s="401">
        <f>+SUMIF(APORTACIONESOCIOS[CODIGO CLIENTE],SOCIOS!$B21,APORTACIONESOCIOS[APORTE])</f>
        <v>390</v>
      </c>
      <c r="F21" s="355">
        <f>ROW()-ROW(APORTACIONESOCIOS[[#Headers],[SECUENCIA]])</f>
        <v>17</v>
      </c>
      <c r="G21" s="173">
        <v>44819</v>
      </c>
      <c r="H21" s="3">
        <v>10</v>
      </c>
      <c r="I21" s="263">
        <v>4</v>
      </c>
      <c r="J21" s="249" t="s">
        <v>12</v>
      </c>
      <c r="K21" s="253"/>
    </row>
    <row r="22" spans="1:11" ht="19.95" customHeight="1" x14ac:dyDescent="0.3">
      <c r="B22" s="317">
        <v>18</v>
      </c>
      <c r="C22" s="231" t="s">
        <v>340</v>
      </c>
      <c r="D22" s="401">
        <f>+SUMIF(APORTACIONESOCIOS[CODIGO CLIENTE],SOCIOS!$B22,APORTACIONESOCIOS[APORTE])</f>
        <v>390</v>
      </c>
      <c r="F22" s="355">
        <f>ROW()-ROW(APORTACIONESOCIOS[[#Headers],[SECUENCIA]])</f>
        <v>18</v>
      </c>
      <c r="G22" s="173">
        <v>44819</v>
      </c>
      <c r="H22" s="3">
        <v>10</v>
      </c>
      <c r="I22" s="263">
        <v>5</v>
      </c>
      <c r="J22" s="249" t="s">
        <v>14</v>
      </c>
      <c r="K22" s="253"/>
    </row>
    <row r="23" spans="1:11" x14ac:dyDescent="0.3">
      <c r="B23" s="1"/>
      <c r="C23" s="4" t="s">
        <v>25</v>
      </c>
      <c r="D23" s="3">
        <f>SUM(D5:D22)</f>
        <v>6240</v>
      </c>
      <c r="F23" s="355">
        <f>ROW()-ROW(APORTACIONESOCIOS[[#Headers],[SECUENCIA]])</f>
        <v>19</v>
      </c>
      <c r="G23" s="173">
        <v>44819</v>
      </c>
      <c r="H23" s="3">
        <v>10</v>
      </c>
      <c r="I23" s="263">
        <v>6</v>
      </c>
      <c r="J23" s="249" t="s">
        <v>24</v>
      </c>
      <c r="K23" s="253"/>
    </row>
    <row r="24" spans="1:11" x14ac:dyDescent="0.3">
      <c r="A24" s="171"/>
      <c r="B24" s="1"/>
      <c r="D24" s="13"/>
      <c r="F24" s="355">
        <f>ROW()-ROW(APORTACIONESOCIOS[[#Headers],[SECUENCIA]])</f>
        <v>20</v>
      </c>
      <c r="G24" s="173">
        <v>44819</v>
      </c>
      <c r="H24" s="3">
        <v>10</v>
      </c>
      <c r="I24" s="263">
        <v>7</v>
      </c>
      <c r="J24" s="249" t="s">
        <v>15</v>
      </c>
      <c r="K24" s="253"/>
    </row>
    <row r="25" spans="1:11" x14ac:dyDescent="0.3">
      <c r="F25" s="355">
        <f>ROW()-ROW(APORTACIONESOCIOS[[#Headers],[SECUENCIA]])</f>
        <v>21</v>
      </c>
      <c r="G25" s="173">
        <v>44819</v>
      </c>
      <c r="H25" s="3">
        <v>10</v>
      </c>
      <c r="I25" s="263">
        <v>8</v>
      </c>
      <c r="J25" s="249" t="s">
        <v>16</v>
      </c>
      <c r="K25" s="253"/>
    </row>
    <row r="26" spans="1:11" x14ac:dyDescent="0.3">
      <c r="F26" s="355">
        <f>ROW()-ROW(APORTACIONESOCIOS[[#Headers],[SECUENCIA]])</f>
        <v>22</v>
      </c>
      <c r="G26" s="173">
        <v>44819</v>
      </c>
      <c r="H26" s="3">
        <v>10</v>
      </c>
      <c r="I26" s="263">
        <v>9</v>
      </c>
      <c r="J26" s="249" t="s">
        <v>17</v>
      </c>
      <c r="K26" s="253"/>
    </row>
    <row r="27" spans="1:11" x14ac:dyDescent="0.3">
      <c r="F27" s="355">
        <f>ROW()-ROW(APORTACIONESOCIOS[[#Headers],[SECUENCIA]])</f>
        <v>23</v>
      </c>
      <c r="G27" s="173">
        <v>44819</v>
      </c>
      <c r="H27" s="3">
        <v>10</v>
      </c>
      <c r="I27" s="263">
        <v>10</v>
      </c>
      <c r="J27" s="249" t="s">
        <v>18</v>
      </c>
      <c r="K27" s="253"/>
    </row>
    <row r="28" spans="1:11" x14ac:dyDescent="0.3">
      <c r="F28" s="355">
        <f>ROW()-ROW(APORTACIONESOCIOS[[#Headers],[SECUENCIA]])</f>
        <v>24</v>
      </c>
      <c r="G28" s="173">
        <v>44819</v>
      </c>
      <c r="H28" s="3">
        <v>10</v>
      </c>
      <c r="I28" s="263">
        <v>11</v>
      </c>
      <c r="J28" s="249" t="s">
        <v>19</v>
      </c>
      <c r="K28" s="253"/>
    </row>
    <row r="29" spans="1:11" x14ac:dyDescent="0.3">
      <c r="F29" s="355">
        <f>ROW()-ROW(APORTACIONESOCIOS[[#Headers],[SECUENCIA]])</f>
        <v>25</v>
      </c>
      <c r="G29" s="173">
        <v>44819</v>
      </c>
      <c r="H29" s="3">
        <v>10</v>
      </c>
      <c r="I29" s="263">
        <v>12</v>
      </c>
      <c r="J29" s="249" t="s">
        <v>20</v>
      </c>
      <c r="K29" s="253"/>
    </row>
    <row r="30" spans="1:11" x14ac:dyDescent="0.3">
      <c r="F30" s="355">
        <f>ROW()-ROW(APORTACIONESOCIOS[[#Headers],[SECUENCIA]])</f>
        <v>26</v>
      </c>
      <c r="G30" s="173">
        <v>44819</v>
      </c>
      <c r="H30" s="3">
        <v>10</v>
      </c>
      <c r="I30" s="263">
        <v>14</v>
      </c>
      <c r="J30" s="249" t="s">
        <v>21</v>
      </c>
      <c r="K30" s="253"/>
    </row>
    <row r="31" spans="1:11" x14ac:dyDescent="0.3">
      <c r="F31" s="355">
        <f>ROW()-ROW(APORTACIONESOCIOS[[#Headers],[SECUENCIA]])</f>
        <v>27</v>
      </c>
      <c r="G31" s="173">
        <v>44819</v>
      </c>
      <c r="H31" s="3">
        <v>10</v>
      </c>
      <c r="I31" s="263">
        <v>15</v>
      </c>
      <c r="J31" s="249" t="s">
        <v>22</v>
      </c>
      <c r="K31" s="253"/>
    </row>
    <row r="32" spans="1:11" x14ac:dyDescent="0.3">
      <c r="F32" s="355">
        <f>ROW()-ROW(APORTACIONESOCIOS[[#Headers],[SECUENCIA]])</f>
        <v>28</v>
      </c>
      <c r="G32" s="173">
        <v>44819</v>
      </c>
      <c r="H32" s="3">
        <v>10</v>
      </c>
      <c r="I32" s="263">
        <v>16</v>
      </c>
      <c r="J32" s="249" t="s">
        <v>23</v>
      </c>
      <c r="K32" s="253"/>
    </row>
    <row r="33" spans="6:11" x14ac:dyDescent="0.3">
      <c r="F33" s="355">
        <f>ROW()-ROW(APORTACIONESOCIOS[[#Headers],[SECUENCIA]])</f>
        <v>29</v>
      </c>
      <c r="G33" s="173">
        <v>44849</v>
      </c>
      <c r="H33" s="3">
        <v>10</v>
      </c>
      <c r="I33" s="263">
        <v>3</v>
      </c>
      <c r="J33" s="249" t="s">
        <v>13</v>
      </c>
      <c r="K33" s="253"/>
    </row>
    <row r="34" spans="6:11" x14ac:dyDescent="0.3">
      <c r="F34" s="355">
        <f>ROW()-ROW(APORTACIONESOCIOS[[#Headers],[SECUENCIA]])</f>
        <v>30</v>
      </c>
      <c r="G34" s="173">
        <v>44849</v>
      </c>
      <c r="H34" s="3">
        <v>10</v>
      </c>
      <c r="I34" s="263">
        <v>4</v>
      </c>
      <c r="J34" s="249" t="s">
        <v>12</v>
      </c>
      <c r="K34" s="253"/>
    </row>
    <row r="35" spans="6:11" x14ac:dyDescent="0.3">
      <c r="F35" s="355">
        <v>29</v>
      </c>
      <c r="G35" s="173">
        <v>44849</v>
      </c>
      <c r="H35" s="3">
        <v>10</v>
      </c>
      <c r="I35" s="263">
        <v>5</v>
      </c>
      <c r="J35" s="249" t="s">
        <v>14</v>
      </c>
      <c r="K35" s="253"/>
    </row>
    <row r="36" spans="6:11" x14ac:dyDescent="0.3">
      <c r="F36" s="355">
        <v>30</v>
      </c>
      <c r="G36" s="173">
        <v>44849</v>
      </c>
      <c r="H36" s="3">
        <v>10</v>
      </c>
      <c r="I36" s="263">
        <v>6</v>
      </c>
      <c r="J36" s="249" t="s">
        <v>24</v>
      </c>
      <c r="K36" s="253"/>
    </row>
    <row r="37" spans="6:11" x14ac:dyDescent="0.3">
      <c r="F37" s="355">
        <f>ROW()-ROW(APORTACIONESOCIOS[[#Headers],[SECUENCIA]])</f>
        <v>33</v>
      </c>
      <c r="G37" s="173">
        <v>44849</v>
      </c>
      <c r="H37" s="3">
        <v>10</v>
      </c>
      <c r="I37" s="263">
        <v>7</v>
      </c>
      <c r="J37" s="249" t="s">
        <v>15</v>
      </c>
      <c r="K37" s="253"/>
    </row>
    <row r="38" spans="6:11" x14ac:dyDescent="0.3">
      <c r="F38" s="355">
        <f>ROW()-ROW(APORTACIONESOCIOS[[#Headers],[SECUENCIA]])</f>
        <v>34</v>
      </c>
      <c r="G38" s="173">
        <v>44849</v>
      </c>
      <c r="H38" s="3">
        <v>10</v>
      </c>
      <c r="I38" s="263">
        <v>8</v>
      </c>
      <c r="J38" s="249" t="s">
        <v>16</v>
      </c>
      <c r="K38" s="253"/>
    </row>
    <row r="39" spans="6:11" x14ac:dyDescent="0.3">
      <c r="F39" s="355">
        <f>ROW()-ROW(APORTACIONESOCIOS[[#Headers],[SECUENCIA]])</f>
        <v>35</v>
      </c>
      <c r="G39" s="173">
        <v>44849</v>
      </c>
      <c r="H39" s="3">
        <v>10</v>
      </c>
      <c r="I39" s="263">
        <v>9</v>
      </c>
      <c r="J39" s="249" t="s">
        <v>17</v>
      </c>
      <c r="K39" s="253"/>
    </row>
    <row r="40" spans="6:11" x14ac:dyDescent="0.3">
      <c r="F40" s="355">
        <f>ROW()-ROW(APORTACIONESOCIOS[[#Headers],[SECUENCIA]])</f>
        <v>36</v>
      </c>
      <c r="G40" s="173">
        <v>44849</v>
      </c>
      <c r="H40" s="3">
        <v>10</v>
      </c>
      <c r="I40" s="263">
        <v>10</v>
      </c>
      <c r="J40" s="249" t="s">
        <v>18</v>
      </c>
      <c r="K40" s="253"/>
    </row>
    <row r="41" spans="6:11" x14ac:dyDescent="0.3">
      <c r="F41" s="355">
        <f>ROW()-ROW(APORTACIONESOCIOS[[#Headers],[SECUENCIA]])</f>
        <v>37</v>
      </c>
      <c r="G41" s="173">
        <v>44849</v>
      </c>
      <c r="H41" s="3">
        <v>10</v>
      </c>
      <c r="I41" s="263">
        <v>11</v>
      </c>
      <c r="J41" s="249" t="s">
        <v>19</v>
      </c>
      <c r="K41" s="253"/>
    </row>
    <row r="42" spans="6:11" x14ac:dyDescent="0.3">
      <c r="F42" s="356">
        <f>ROW()-ROW(APORTACIONESOCIOS[[#Headers],[SECUENCIA]])</f>
        <v>38</v>
      </c>
      <c r="G42" s="173">
        <v>44849</v>
      </c>
      <c r="H42" s="3">
        <v>10</v>
      </c>
      <c r="I42" s="263">
        <v>12</v>
      </c>
      <c r="J42" s="249" t="s">
        <v>20</v>
      </c>
      <c r="K42" s="255"/>
    </row>
    <row r="43" spans="6:11" x14ac:dyDescent="0.3">
      <c r="F43" s="355">
        <f>ROW()-ROW(APORTACIONESOCIOS[[#Headers],[SECUENCIA]])</f>
        <v>39</v>
      </c>
      <c r="G43" s="173">
        <v>44849</v>
      </c>
      <c r="H43" s="3">
        <v>10</v>
      </c>
      <c r="I43" s="263">
        <v>14</v>
      </c>
      <c r="J43" s="249" t="s">
        <v>21</v>
      </c>
      <c r="K43" s="253"/>
    </row>
    <row r="44" spans="6:11" x14ac:dyDescent="0.3">
      <c r="F44" s="355">
        <f>ROW()-ROW(APORTACIONESOCIOS[[#Headers],[SECUENCIA]])</f>
        <v>40</v>
      </c>
      <c r="G44" s="173">
        <v>44849</v>
      </c>
      <c r="H44" s="3">
        <v>10</v>
      </c>
      <c r="I44" s="263">
        <v>15</v>
      </c>
      <c r="J44" s="249" t="s">
        <v>22</v>
      </c>
      <c r="K44" s="253"/>
    </row>
    <row r="45" spans="6:11" x14ac:dyDescent="0.3">
      <c r="F45" s="355">
        <f>ROW()-ROW(APORTACIONESOCIOS[[#Headers],[SECUENCIA]])</f>
        <v>41</v>
      </c>
      <c r="G45" s="173">
        <v>44849</v>
      </c>
      <c r="H45" s="3">
        <v>10</v>
      </c>
      <c r="I45" s="263">
        <v>16</v>
      </c>
      <c r="J45" s="249" t="s">
        <v>23</v>
      </c>
      <c r="K45" s="253"/>
    </row>
    <row r="46" spans="6:11" x14ac:dyDescent="0.3">
      <c r="F46" s="355">
        <f>ROW()-ROW(APORTACIONESOCIOS[[#Headers],[SECUENCIA]])</f>
        <v>42</v>
      </c>
      <c r="G46" s="173">
        <v>44880</v>
      </c>
      <c r="H46" s="3">
        <v>10</v>
      </c>
      <c r="I46" s="263">
        <v>3</v>
      </c>
      <c r="J46" s="249" t="s">
        <v>13</v>
      </c>
      <c r="K46" s="253"/>
    </row>
    <row r="47" spans="6:11" x14ac:dyDescent="0.3">
      <c r="F47" s="355">
        <f>ROW()-ROW(APORTACIONESOCIOS[[#Headers],[SECUENCIA]])</f>
        <v>43</v>
      </c>
      <c r="G47" s="173">
        <v>44880</v>
      </c>
      <c r="H47" s="3">
        <v>10</v>
      </c>
      <c r="I47" s="263">
        <v>4</v>
      </c>
      <c r="J47" s="249" t="s">
        <v>12</v>
      </c>
      <c r="K47" s="253"/>
    </row>
    <row r="48" spans="6:11" x14ac:dyDescent="0.3">
      <c r="F48" s="355">
        <f>ROW()-ROW(APORTACIONESOCIOS[[#Headers],[SECUENCIA]])</f>
        <v>44</v>
      </c>
      <c r="G48" s="173">
        <v>44880</v>
      </c>
      <c r="H48" s="3">
        <v>10</v>
      </c>
      <c r="I48" s="263">
        <v>5</v>
      </c>
      <c r="J48" s="249" t="s">
        <v>14</v>
      </c>
      <c r="K48" s="253"/>
    </row>
    <row r="49" spans="6:11" x14ac:dyDescent="0.3">
      <c r="F49" s="355">
        <f>ROW()-ROW(APORTACIONESOCIOS[[#Headers],[SECUENCIA]])</f>
        <v>45</v>
      </c>
      <c r="G49" s="173">
        <v>44880</v>
      </c>
      <c r="H49" s="3">
        <v>10</v>
      </c>
      <c r="I49" s="263">
        <v>6</v>
      </c>
      <c r="J49" s="249" t="s">
        <v>24</v>
      </c>
      <c r="K49" s="253"/>
    </row>
    <row r="50" spans="6:11" x14ac:dyDescent="0.3">
      <c r="F50" s="355">
        <f>ROW()-ROW(APORTACIONESOCIOS[[#Headers],[SECUENCIA]])</f>
        <v>46</v>
      </c>
      <c r="G50" s="173">
        <v>44880</v>
      </c>
      <c r="H50" s="3">
        <v>10</v>
      </c>
      <c r="I50" s="263">
        <v>7</v>
      </c>
      <c r="J50" s="249" t="s">
        <v>15</v>
      </c>
      <c r="K50" s="253"/>
    </row>
    <row r="51" spans="6:11" x14ac:dyDescent="0.3">
      <c r="F51" s="355">
        <f>ROW()-ROW(APORTACIONESOCIOS[[#Headers],[SECUENCIA]])</f>
        <v>47</v>
      </c>
      <c r="G51" s="173">
        <v>44880</v>
      </c>
      <c r="H51" s="3">
        <v>10</v>
      </c>
      <c r="I51" s="263">
        <v>8</v>
      </c>
      <c r="J51" s="249" t="s">
        <v>16</v>
      </c>
      <c r="K51" s="253"/>
    </row>
    <row r="52" spans="6:11" x14ac:dyDescent="0.3">
      <c r="F52" s="355">
        <f>ROW()-ROW(APORTACIONESOCIOS[[#Headers],[SECUENCIA]])</f>
        <v>48</v>
      </c>
      <c r="G52" s="173">
        <v>44880</v>
      </c>
      <c r="H52" s="3">
        <v>10</v>
      </c>
      <c r="I52" s="263">
        <v>9</v>
      </c>
      <c r="J52" s="249" t="s">
        <v>17</v>
      </c>
      <c r="K52" s="253"/>
    </row>
    <row r="53" spans="6:11" x14ac:dyDescent="0.3">
      <c r="F53" s="357">
        <f>ROW()-ROW(APORTACIONESOCIOS[[#Headers],[SECUENCIA]])</f>
        <v>49</v>
      </c>
      <c r="G53" s="173">
        <v>44880</v>
      </c>
      <c r="H53" s="3">
        <v>10</v>
      </c>
      <c r="I53" s="263">
        <v>10</v>
      </c>
      <c r="J53" s="249" t="s">
        <v>18</v>
      </c>
      <c r="K53" s="253"/>
    </row>
    <row r="54" spans="6:11" x14ac:dyDescent="0.3">
      <c r="F54" s="355">
        <f>ROW()-ROW(APORTACIONESOCIOS[[#Headers],[SECUENCIA]])</f>
        <v>50</v>
      </c>
      <c r="G54" s="173">
        <v>44880</v>
      </c>
      <c r="H54" s="3">
        <v>10</v>
      </c>
      <c r="I54" s="263">
        <v>11</v>
      </c>
      <c r="J54" s="249" t="s">
        <v>19</v>
      </c>
      <c r="K54" s="253"/>
    </row>
    <row r="55" spans="6:11" x14ac:dyDescent="0.3">
      <c r="F55" s="355">
        <f>ROW()-ROW(APORTACIONESOCIOS[[#Headers],[SECUENCIA]])</f>
        <v>51</v>
      </c>
      <c r="G55" s="173">
        <v>44880</v>
      </c>
      <c r="H55" s="3">
        <v>10</v>
      </c>
      <c r="I55" s="263">
        <v>12</v>
      </c>
      <c r="J55" s="249" t="s">
        <v>20</v>
      </c>
      <c r="K55" s="253"/>
    </row>
    <row r="56" spans="6:11" x14ac:dyDescent="0.3">
      <c r="F56" s="355">
        <f>ROW()-ROW(APORTACIONESOCIOS[[#Headers],[SECUENCIA]])</f>
        <v>52</v>
      </c>
      <c r="G56" s="173">
        <v>44880</v>
      </c>
      <c r="H56" s="3">
        <v>10</v>
      </c>
      <c r="I56" s="263">
        <v>14</v>
      </c>
      <c r="J56" s="249" t="s">
        <v>21</v>
      </c>
      <c r="K56" s="253"/>
    </row>
    <row r="57" spans="6:11" x14ac:dyDescent="0.3">
      <c r="F57" s="355">
        <f>ROW()-ROW(APORTACIONESOCIOS[[#Headers],[SECUENCIA]])</f>
        <v>53</v>
      </c>
      <c r="G57" s="173">
        <v>44880</v>
      </c>
      <c r="H57" s="3">
        <v>10</v>
      </c>
      <c r="I57" s="263">
        <v>15</v>
      </c>
      <c r="J57" s="249" t="s">
        <v>22</v>
      </c>
      <c r="K57" s="253"/>
    </row>
    <row r="58" spans="6:11" x14ac:dyDescent="0.3">
      <c r="F58" s="355">
        <f>ROW()-ROW(APORTACIONESOCIOS[[#Headers],[SECUENCIA]])</f>
        <v>54</v>
      </c>
      <c r="G58" s="173">
        <v>44880</v>
      </c>
      <c r="H58" s="3">
        <v>10</v>
      </c>
      <c r="I58" s="263">
        <v>16</v>
      </c>
      <c r="J58" s="249" t="s">
        <v>23</v>
      </c>
      <c r="K58" s="253"/>
    </row>
    <row r="59" spans="6:11" x14ac:dyDescent="0.3">
      <c r="F59" s="356">
        <f>ROW()-ROW(APORTACIONESOCIOS[[#Headers],[SECUENCIA]])</f>
        <v>55</v>
      </c>
      <c r="G59" s="186">
        <v>44910</v>
      </c>
      <c r="H59" s="3">
        <v>10</v>
      </c>
      <c r="I59" s="263">
        <v>3</v>
      </c>
      <c r="J59" s="249" t="s">
        <v>13</v>
      </c>
      <c r="K59" s="255"/>
    </row>
    <row r="60" spans="6:11" x14ac:dyDescent="0.3">
      <c r="F60" s="355">
        <f>ROW()-ROW(APORTACIONESOCIOS[[#Headers],[SECUENCIA]])</f>
        <v>56</v>
      </c>
      <c r="G60" s="173">
        <v>44910</v>
      </c>
      <c r="H60" s="3">
        <v>10</v>
      </c>
      <c r="I60" s="263">
        <v>4</v>
      </c>
      <c r="J60" s="249" t="s">
        <v>12</v>
      </c>
      <c r="K60" s="253"/>
    </row>
    <row r="61" spans="6:11" x14ac:dyDescent="0.3">
      <c r="F61" s="355">
        <f>ROW()-ROW(APORTACIONESOCIOS[[#Headers],[SECUENCIA]])</f>
        <v>57</v>
      </c>
      <c r="G61" s="173">
        <v>44910</v>
      </c>
      <c r="H61" s="3">
        <v>10</v>
      </c>
      <c r="I61" s="263">
        <v>5</v>
      </c>
      <c r="J61" s="249" t="s">
        <v>14</v>
      </c>
      <c r="K61" s="253"/>
    </row>
    <row r="62" spans="6:11" x14ac:dyDescent="0.3">
      <c r="F62" s="355">
        <f>ROW()-ROW(APORTACIONESOCIOS[[#Headers],[SECUENCIA]])</f>
        <v>58</v>
      </c>
      <c r="G62" s="173">
        <v>44910</v>
      </c>
      <c r="H62" s="3">
        <v>10</v>
      </c>
      <c r="I62" s="263">
        <v>6</v>
      </c>
      <c r="J62" s="249" t="s">
        <v>24</v>
      </c>
      <c r="K62" s="253"/>
    </row>
    <row r="63" spans="6:11" x14ac:dyDescent="0.3">
      <c r="F63" s="355">
        <f>ROW()-ROW(APORTACIONESOCIOS[[#Headers],[SECUENCIA]])</f>
        <v>59</v>
      </c>
      <c r="G63" s="173">
        <v>44910</v>
      </c>
      <c r="H63" s="3">
        <v>10</v>
      </c>
      <c r="I63" s="263">
        <v>7</v>
      </c>
      <c r="J63" s="249" t="s">
        <v>15</v>
      </c>
      <c r="K63" s="253"/>
    </row>
    <row r="64" spans="6:11" x14ac:dyDescent="0.3">
      <c r="F64" s="355">
        <f>ROW()-ROW(APORTACIONESOCIOS[[#Headers],[SECUENCIA]])</f>
        <v>60</v>
      </c>
      <c r="G64" s="173">
        <v>44910</v>
      </c>
      <c r="H64" s="3">
        <v>10</v>
      </c>
      <c r="I64" s="263">
        <v>8</v>
      </c>
      <c r="J64" s="249" t="s">
        <v>16</v>
      </c>
      <c r="K64" s="253"/>
    </row>
    <row r="65" spans="6:11" x14ac:dyDescent="0.3">
      <c r="F65" s="355">
        <f>ROW()-ROW(APORTACIONESOCIOS[[#Headers],[SECUENCIA]])</f>
        <v>61</v>
      </c>
      <c r="G65" s="173">
        <v>44910</v>
      </c>
      <c r="H65" s="3">
        <v>10</v>
      </c>
      <c r="I65" s="263">
        <v>9</v>
      </c>
      <c r="J65" s="249" t="s">
        <v>17</v>
      </c>
      <c r="K65" s="253"/>
    </row>
    <row r="66" spans="6:11" x14ac:dyDescent="0.3">
      <c r="F66" s="355">
        <f>ROW()-ROW(APORTACIONESOCIOS[[#Headers],[SECUENCIA]])</f>
        <v>62</v>
      </c>
      <c r="G66" s="173">
        <v>44910</v>
      </c>
      <c r="H66" s="3">
        <v>10</v>
      </c>
      <c r="I66" s="263">
        <v>10</v>
      </c>
      <c r="J66" s="249" t="s">
        <v>18</v>
      </c>
      <c r="K66" s="253"/>
    </row>
    <row r="67" spans="6:11" x14ac:dyDescent="0.3">
      <c r="F67" s="355">
        <f>ROW()-ROW(APORTACIONESOCIOS[[#Headers],[SECUENCIA]])</f>
        <v>63</v>
      </c>
      <c r="G67" s="173">
        <v>44910</v>
      </c>
      <c r="H67" s="3">
        <v>10</v>
      </c>
      <c r="I67" s="263">
        <v>11</v>
      </c>
      <c r="J67" s="249" t="s">
        <v>19</v>
      </c>
      <c r="K67" s="253"/>
    </row>
    <row r="68" spans="6:11" x14ac:dyDescent="0.3">
      <c r="F68" s="355">
        <f>ROW()-ROW(APORTACIONESOCIOS[[#Headers],[SECUENCIA]])</f>
        <v>64</v>
      </c>
      <c r="G68" s="173">
        <v>44910</v>
      </c>
      <c r="H68" s="3">
        <v>10</v>
      </c>
      <c r="I68" s="263">
        <v>12</v>
      </c>
      <c r="J68" s="249" t="s">
        <v>20</v>
      </c>
      <c r="K68" s="253"/>
    </row>
    <row r="69" spans="6:11" x14ac:dyDescent="0.3">
      <c r="F69" s="355">
        <f>ROW()-ROW(APORTACIONESOCIOS[[#Headers],[SECUENCIA]])</f>
        <v>65</v>
      </c>
      <c r="G69" s="173">
        <v>44910</v>
      </c>
      <c r="H69" s="3">
        <v>10</v>
      </c>
      <c r="I69" s="263">
        <v>14</v>
      </c>
      <c r="J69" s="249" t="s">
        <v>21</v>
      </c>
      <c r="K69" s="253"/>
    </row>
    <row r="70" spans="6:11" x14ac:dyDescent="0.3">
      <c r="F70" s="355">
        <f>ROW()-ROW(APORTACIONESOCIOS[[#Headers],[SECUENCIA]])</f>
        <v>66</v>
      </c>
      <c r="G70" s="173">
        <v>44910</v>
      </c>
      <c r="H70" s="3">
        <v>10</v>
      </c>
      <c r="I70" s="263">
        <v>15</v>
      </c>
      <c r="J70" s="249" t="s">
        <v>22</v>
      </c>
      <c r="K70" s="253"/>
    </row>
    <row r="71" spans="6:11" x14ac:dyDescent="0.3">
      <c r="F71" s="355">
        <f>ROW()-ROW(APORTACIONESOCIOS[[#Headers],[SECUENCIA]])</f>
        <v>67</v>
      </c>
      <c r="G71" s="173">
        <v>44910</v>
      </c>
      <c r="H71" s="3">
        <v>10</v>
      </c>
      <c r="I71" s="263">
        <v>16</v>
      </c>
      <c r="J71" s="249" t="s">
        <v>23</v>
      </c>
      <c r="K71" s="253"/>
    </row>
    <row r="72" spans="6:11" x14ac:dyDescent="0.3">
      <c r="F72" s="356">
        <f>ROW()-ROW(APORTACIONESOCIOS[[#Headers],[SECUENCIA]])</f>
        <v>68</v>
      </c>
      <c r="G72" s="186">
        <v>44941</v>
      </c>
      <c r="H72" s="3">
        <v>10</v>
      </c>
      <c r="I72" s="263">
        <v>3</v>
      </c>
      <c r="J72" s="249" t="s">
        <v>13</v>
      </c>
      <c r="K72" s="255"/>
    </row>
    <row r="73" spans="6:11" x14ac:dyDescent="0.3">
      <c r="F73" s="355">
        <f>ROW()-ROW(APORTACIONESOCIOS[[#Headers],[SECUENCIA]])</f>
        <v>69</v>
      </c>
      <c r="G73" s="173">
        <v>44941</v>
      </c>
      <c r="H73" s="3">
        <v>10</v>
      </c>
      <c r="I73" s="263">
        <v>4</v>
      </c>
      <c r="J73" s="249" t="s">
        <v>12</v>
      </c>
      <c r="K73" s="253"/>
    </row>
    <row r="74" spans="6:11" x14ac:dyDescent="0.3">
      <c r="F74" s="355">
        <f>ROW()-ROW(APORTACIONESOCIOS[[#Headers],[SECUENCIA]])</f>
        <v>70</v>
      </c>
      <c r="G74" s="173">
        <v>44941</v>
      </c>
      <c r="H74" s="3">
        <v>10</v>
      </c>
      <c r="I74" s="263">
        <v>5</v>
      </c>
      <c r="J74" s="249" t="s">
        <v>14</v>
      </c>
      <c r="K74" s="253"/>
    </row>
    <row r="75" spans="6:11" x14ac:dyDescent="0.3">
      <c r="F75" s="355">
        <f>ROW()-ROW(APORTACIONESOCIOS[[#Headers],[SECUENCIA]])</f>
        <v>71</v>
      </c>
      <c r="G75" s="173">
        <v>44941</v>
      </c>
      <c r="H75" s="3">
        <v>10</v>
      </c>
      <c r="I75" s="263">
        <v>6</v>
      </c>
      <c r="J75" s="249" t="s">
        <v>24</v>
      </c>
      <c r="K75" s="253"/>
    </row>
    <row r="76" spans="6:11" x14ac:dyDescent="0.3">
      <c r="F76" s="355">
        <f>ROW()-ROW(APORTACIONESOCIOS[[#Headers],[SECUENCIA]])</f>
        <v>72</v>
      </c>
      <c r="G76" s="173">
        <v>44941</v>
      </c>
      <c r="H76" s="3">
        <v>10</v>
      </c>
      <c r="I76" s="263">
        <v>7</v>
      </c>
      <c r="J76" s="249" t="s">
        <v>15</v>
      </c>
      <c r="K76" s="253"/>
    </row>
    <row r="77" spans="6:11" x14ac:dyDescent="0.3">
      <c r="F77" s="355">
        <f>ROW()-ROW(APORTACIONESOCIOS[[#Headers],[SECUENCIA]])</f>
        <v>73</v>
      </c>
      <c r="G77" s="173">
        <v>44941</v>
      </c>
      <c r="H77" s="3">
        <v>10</v>
      </c>
      <c r="I77" s="263">
        <v>8</v>
      </c>
      <c r="J77" s="249" t="s">
        <v>16</v>
      </c>
      <c r="K77" s="253"/>
    </row>
    <row r="78" spans="6:11" x14ac:dyDescent="0.3">
      <c r="F78" s="355">
        <f>ROW()-ROW(APORTACIONESOCIOS[[#Headers],[SECUENCIA]])</f>
        <v>74</v>
      </c>
      <c r="G78" s="173">
        <v>44941</v>
      </c>
      <c r="H78" s="3">
        <v>10</v>
      </c>
      <c r="I78" s="263">
        <v>9</v>
      </c>
      <c r="J78" s="249" t="s">
        <v>17</v>
      </c>
      <c r="K78" s="253"/>
    </row>
    <row r="79" spans="6:11" x14ac:dyDescent="0.3">
      <c r="F79" s="355">
        <f>ROW()-ROW(APORTACIONESOCIOS[[#Headers],[SECUENCIA]])</f>
        <v>75</v>
      </c>
      <c r="G79" s="173">
        <v>44941</v>
      </c>
      <c r="H79" s="3">
        <v>10</v>
      </c>
      <c r="I79" s="263">
        <v>10</v>
      </c>
      <c r="J79" s="249" t="s">
        <v>18</v>
      </c>
      <c r="K79" s="253"/>
    </row>
    <row r="80" spans="6:11" x14ac:dyDescent="0.3">
      <c r="F80" s="355">
        <f>ROW()-ROW(APORTACIONESOCIOS[[#Headers],[SECUENCIA]])</f>
        <v>76</v>
      </c>
      <c r="G80" s="173">
        <v>44941</v>
      </c>
      <c r="H80" s="3">
        <v>10</v>
      </c>
      <c r="I80" s="263">
        <v>11</v>
      </c>
      <c r="J80" s="249" t="s">
        <v>19</v>
      </c>
      <c r="K80" s="253"/>
    </row>
    <row r="81" spans="6:11" x14ac:dyDescent="0.3">
      <c r="F81" s="355">
        <f>ROW()-ROW(APORTACIONESOCIOS[[#Headers],[SECUENCIA]])</f>
        <v>77</v>
      </c>
      <c r="G81" s="173">
        <v>44941</v>
      </c>
      <c r="H81" s="3">
        <v>10</v>
      </c>
      <c r="I81" s="263">
        <v>12</v>
      </c>
      <c r="J81" s="249" t="s">
        <v>20</v>
      </c>
      <c r="K81" s="253"/>
    </row>
    <row r="82" spans="6:11" x14ac:dyDescent="0.3">
      <c r="F82" s="355">
        <f>ROW()-ROW(APORTACIONESOCIOS[[#Headers],[SECUENCIA]])</f>
        <v>78</v>
      </c>
      <c r="G82" s="173">
        <v>44941</v>
      </c>
      <c r="H82" s="3">
        <v>10</v>
      </c>
      <c r="I82" s="263">
        <v>14</v>
      </c>
      <c r="J82" s="249" t="s">
        <v>21</v>
      </c>
      <c r="K82" s="253"/>
    </row>
    <row r="83" spans="6:11" x14ac:dyDescent="0.3">
      <c r="F83" s="355">
        <f>ROW()-ROW(APORTACIONESOCIOS[[#Headers],[SECUENCIA]])</f>
        <v>79</v>
      </c>
      <c r="G83" s="173">
        <v>44941</v>
      </c>
      <c r="H83" s="3">
        <v>10</v>
      </c>
      <c r="I83" s="263">
        <v>15</v>
      </c>
      <c r="J83" s="249" t="s">
        <v>22</v>
      </c>
      <c r="K83" s="253"/>
    </row>
    <row r="84" spans="6:11" x14ac:dyDescent="0.3">
      <c r="F84" s="355">
        <f>ROW()-ROW(APORTACIONESOCIOS[[#Headers],[SECUENCIA]])</f>
        <v>80</v>
      </c>
      <c r="G84" s="173">
        <v>44941</v>
      </c>
      <c r="H84" s="3">
        <v>10</v>
      </c>
      <c r="I84" s="263">
        <v>16</v>
      </c>
      <c r="J84" s="249" t="s">
        <v>23</v>
      </c>
      <c r="K84" s="253"/>
    </row>
    <row r="85" spans="6:11" x14ac:dyDescent="0.3">
      <c r="F85" s="356">
        <f>ROW()-ROW(APORTACIONESOCIOS[[#Headers],[SECUENCIA]])</f>
        <v>81</v>
      </c>
      <c r="G85" s="186">
        <v>44972</v>
      </c>
      <c r="H85" s="3">
        <v>10</v>
      </c>
      <c r="I85" s="263">
        <v>3</v>
      </c>
      <c r="J85" s="249" t="s">
        <v>13</v>
      </c>
      <c r="K85" s="255"/>
    </row>
    <row r="86" spans="6:11" x14ac:dyDescent="0.3">
      <c r="F86" s="355">
        <f>ROW()-ROW(APORTACIONESOCIOS[[#Headers],[SECUENCIA]])</f>
        <v>82</v>
      </c>
      <c r="G86" s="173">
        <v>44972</v>
      </c>
      <c r="H86" s="3">
        <v>10</v>
      </c>
      <c r="I86" s="263">
        <v>4</v>
      </c>
      <c r="J86" s="249" t="s">
        <v>12</v>
      </c>
      <c r="K86" s="253"/>
    </row>
    <row r="87" spans="6:11" x14ac:dyDescent="0.3">
      <c r="F87" s="355">
        <f>ROW()-ROW(APORTACIONESOCIOS[[#Headers],[SECUENCIA]])</f>
        <v>83</v>
      </c>
      <c r="G87" s="173">
        <v>44972</v>
      </c>
      <c r="H87" s="3">
        <v>10</v>
      </c>
      <c r="I87" s="263">
        <v>5</v>
      </c>
      <c r="J87" s="249" t="s">
        <v>14</v>
      </c>
      <c r="K87" s="253"/>
    </row>
    <row r="88" spans="6:11" x14ac:dyDescent="0.3">
      <c r="F88" s="355">
        <f>ROW()-ROW(APORTACIONESOCIOS[[#Headers],[SECUENCIA]])</f>
        <v>84</v>
      </c>
      <c r="G88" s="173">
        <v>44972</v>
      </c>
      <c r="H88" s="3">
        <v>10</v>
      </c>
      <c r="I88" s="263">
        <v>6</v>
      </c>
      <c r="J88" s="249" t="s">
        <v>24</v>
      </c>
      <c r="K88" s="253"/>
    </row>
    <row r="89" spans="6:11" x14ac:dyDescent="0.3">
      <c r="F89" s="355">
        <f>ROW()-ROW(APORTACIONESOCIOS[[#Headers],[SECUENCIA]])</f>
        <v>85</v>
      </c>
      <c r="G89" s="173">
        <v>44972</v>
      </c>
      <c r="H89" s="3">
        <v>10</v>
      </c>
      <c r="I89" s="263">
        <v>7</v>
      </c>
      <c r="J89" s="249" t="s">
        <v>15</v>
      </c>
      <c r="K89" s="253"/>
    </row>
    <row r="90" spans="6:11" x14ac:dyDescent="0.3">
      <c r="F90" s="355">
        <f>ROW()-ROW(APORTACIONESOCIOS[[#Headers],[SECUENCIA]])</f>
        <v>86</v>
      </c>
      <c r="G90" s="173">
        <v>44972</v>
      </c>
      <c r="H90" s="3">
        <v>10</v>
      </c>
      <c r="I90" s="263">
        <v>8</v>
      </c>
      <c r="J90" s="249" t="s">
        <v>16</v>
      </c>
      <c r="K90" s="253"/>
    </row>
    <row r="91" spans="6:11" x14ac:dyDescent="0.3">
      <c r="F91" s="355">
        <f>ROW()-ROW(APORTACIONESOCIOS[[#Headers],[SECUENCIA]])</f>
        <v>87</v>
      </c>
      <c r="G91" s="173">
        <v>44972</v>
      </c>
      <c r="H91" s="3">
        <v>10</v>
      </c>
      <c r="I91" s="263">
        <v>9</v>
      </c>
      <c r="J91" s="249" t="s">
        <v>17</v>
      </c>
      <c r="K91" s="253"/>
    </row>
    <row r="92" spans="6:11" x14ac:dyDescent="0.3">
      <c r="F92" s="355">
        <f>ROW()-ROW(APORTACIONESOCIOS[[#Headers],[SECUENCIA]])</f>
        <v>88</v>
      </c>
      <c r="G92" s="173">
        <v>44972</v>
      </c>
      <c r="H92" s="3">
        <v>10</v>
      </c>
      <c r="I92" s="263">
        <v>10</v>
      </c>
      <c r="J92" s="249" t="s">
        <v>18</v>
      </c>
      <c r="K92" s="253"/>
    </row>
    <row r="93" spans="6:11" x14ac:dyDescent="0.3">
      <c r="F93" s="355">
        <f>ROW()-ROW(APORTACIONESOCIOS[[#Headers],[SECUENCIA]])</f>
        <v>89</v>
      </c>
      <c r="G93" s="173">
        <v>44972</v>
      </c>
      <c r="H93" s="3">
        <v>10</v>
      </c>
      <c r="I93" s="263">
        <v>11</v>
      </c>
      <c r="J93" s="249" t="s">
        <v>19</v>
      </c>
      <c r="K93" s="253"/>
    </row>
    <row r="94" spans="6:11" x14ac:dyDescent="0.3">
      <c r="F94" s="355">
        <f>ROW()-ROW(APORTACIONESOCIOS[[#Headers],[SECUENCIA]])</f>
        <v>90</v>
      </c>
      <c r="G94" s="173">
        <v>44972</v>
      </c>
      <c r="H94" s="3">
        <v>10</v>
      </c>
      <c r="I94" s="263">
        <v>12</v>
      </c>
      <c r="J94" s="249" t="s">
        <v>20</v>
      </c>
      <c r="K94" s="253"/>
    </row>
    <row r="95" spans="6:11" x14ac:dyDescent="0.3">
      <c r="F95" s="355">
        <f>ROW()-ROW(APORTACIONESOCIOS[[#Headers],[SECUENCIA]])</f>
        <v>91</v>
      </c>
      <c r="G95" s="173">
        <v>44972</v>
      </c>
      <c r="H95" s="3">
        <v>10</v>
      </c>
      <c r="I95" s="263">
        <v>14</v>
      </c>
      <c r="J95" s="249" t="s">
        <v>21</v>
      </c>
      <c r="K95" s="253"/>
    </row>
    <row r="96" spans="6:11" x14ac:dyDescent="0.3">
      <c r="F96" s="355">
        <f>ROW()-ROW(APORTACIONESOCIOS[[#Headers],[SECUENCIA]])</f>
        <v>92</v>
      </c>
      <c r="G96" s="173">
        <v>44972</v>
      </c>
      <c r="H96" s="3">
        <v>10</v>
      </c>
      <c r="I96" s="263">
        <v>15</v>
      </c>
      <c r="J96" s="249" t="s">
        <v>22</v>
      </c>
      <c r="K96" s="253"/>
    </row>
    <row r="97" spans="6:11" x14ac:dyDescent="0.3">
      <c r="F97" s="355">
        <f>ROW()-ROW(APORTACIONESOCIOS[[#Headers],[SECUENCIA]])</f>
        <v>93</v>
      </c>
      <c r="G97" s="173">
        <v>44972</v>
      </c>
      <c r="H97" s="3">
        <v>10</v>
      </c>
      <c r="I97" s="263">
        <v>16</v>
      </c>
      <c r="J97" s="249" t="s">
        <v>23</v>
      </c>
      <c r="K97" s="253"/>
    </row>
    <row r="98" spans="6:11" x14ac:dyDescent="0.3">
      <c r="F98" s="356">
        <f>ROW()-ROW(APORTACIONESOCIOS[[#Headers],[SECUENCIA]])</f>
        <v>94</v>
      </c>
      <c r="G98" s="186">
        <v>45000</v>
      </c>
      <c r="H98" s="3">
        <v>10</v>
      </c>
      <c r="I98" s="263">
        <v>3</v>
      </c>
      <c r="J98" s="249" t="s">
        <v>13</v>
      </c>
      <c r="K98" s="255"/>
    </row>
    <row r="99" spans="6:11" x14ac:dyDescent="0.3">
      <c r="F99" s="355">
        <f>ROW()-ROW(APORTACIONESOCIOS[[#Headers],[SECUENCIA]])</f>
        <v>95</v>
      </c>
      <c r="G99" s="173">
        <v>45000</v>
      </c>
      <c r="H99" s="3">
        <v>10</v>
      </c>
      <c r="I99" s="263">
        <v>4</v>
      </c>
      <c r="J99" s="249" t="s">
        <v>12</v>
      </c>
      <c r="K99" s="253"/>
    </row>
    <row r="100" spans="6:11" x14ac:dyDescent="0.3">
      <c r="F100" s="355">
        <f>ROW()-ROW(APORTACIONESOCIOS[[#Headers],[SECUENCIA]])</f>
        <v>96</v>
      </c>
      <c r="G100" s="173">
        <v>45000</v>
      </c>
      <c r="H100" s="3">
        <v>10</v>
      </c>
      <c r="I100" s="263">
        <v>5</v>
      </c>
      <c r="J100" s="249" t="s">
        <v>14</v>
      </c>
      <c r="K100" s="253"/>
    </row>
    <row r="101" spans="6:11" x14ac:dyDescent="0.3">
      <c r="F101" s="355">
        <f>ROW()-ROW(APORTACIONESOCIOS[[#Headers],[SECUENCIA]])</f>
        <v>97</v>
      </c>
      <c r="G101" s="173">
        <v>45000</v>
      </c>
      <c r="H101" s="3">
        <v>10</v>
      </c>
      <c r="I101" s="263">
        <v>6</v>
      </c>
      <c r="J101" s="249" t="s">
        <v>24</v>
      </c>
      <c r="K101" s="253"/>
    </row>
    <row r="102" spans="6:11" x14ac:dyDescent="0.3">
      <c r="F102" s="355">
        <f>ROW()-ROW(APORTACIONESOCIOS[[#Headers],[SECUENCIA]])</f>
        <v>98</v>
      </c>
      <c r="G102" s="173">
        <v>45000</v>
      </c>
      <c r="H102" s="3">
        <v>10</v>
      </c>
      <c r="I102" s="263">
        <v>7</v>
      </c>
      <c r="J102" s="249" t="s">
        <v>15</v>
      </c>
      <c r="K102" s="253"/>
    </row>
    <row r="103" spans="6:11" x14ac:dyDescent="0.3">
      <c r="F103" s="355">
        <f>ROW()-ROW(APORTACIONESOCIOS[[#Headers],[SECUENCIA]])</f>
        <v>99</v>
      </c>
      <c r="G103" s="173">
        <v>45000</v>
      </c>
      <c r="H103" s="3">
        <v>10</v>
      </c>
      <c r="I103" s="263">
        <v>8</v>
      </c>
      <c r="J103" s="249" t="s">
        <v>16</v>
      </c>
      <c r="K103" s="253"/>
    </row>
    <row r="104" spans="6:11" x14ac:dyDescent="0.3">
      <c r="F104" s="355">
        <f>ROW()-ROW(APORTACIONESOCIOS[[#Headers],[SECUENCIA]])</f>
        <v>100</v>
      </c>
      <c r="G104" s="173">
        <v>45000</v>
      </c>
      <c r="H104" s="3">
        <v>10</v>
      </c>
      <c r="I104" s="263">
        <v>9</v>
      </c>
      <c r="J104" s="249" t="s">
        <v>17</v>
      </c>
      <c r="K104" s="253"/>
    </row>
    <row r="105" spans="6:11" x14ac:dyDescent="0.3">
      <c r="F105" s="355">
        <f>ROW()-ROW(APORTACIONESOCIOS[[#Headers],[SECUENCIA]])</f>
        <v>101</v>
      </c>
      <c r="G105" s="173">
        <v>45000</v>
      </c>
      <c r="H105" s="3">
        <v>10</v>
      </c>
      <c r="I105" s="263">
        <v>10</v>
      </c>
      <c r="J105" s="249" t="s">
        <v>18</v>
      </c>
      <c r="K105" s="253"/>
    </row>
    <row r="106" spans="6:11" x14ac:dyDescent="0.3">
      <c r="F106" s="355">
        <f>ROW()-ROW(APORTACIONESOCIOS[[#Headers],[SECUENCIA]])</f>
        <v>102</v>
      </c>
      <c r="G106" s="173">
        <v>45000</v>
      </c>
      <c r="H106" s="3">
        <v>10</v>
      </c>
      <c r="I106" s="263">
        <v>11</v>
      </c>
      <c r="J106" s="249" t="s">
        <v>19</v>
      </c>
      <c r="K106" s="253"/>
    </row>
    <row r="107" spans="6:11" x14ac:dyDescent="0.3">
      <c r="F107" s="355">
        <f>ROW()-ROW(APORTACIONESOCIOS[[#Headers],[SECUENCIA]])</f>
        <v>103</v>
      </c>
      <c r="G107" s="173">
        <v>45000</v>
      </c>
      <c r="H107" s="3">
        <v>10</v>
      </c>
      <c r="I107" s="263">
        <v>12</v>
      </c>
      <c r="J107" s="249" t="s">
        <v>20</v>
      </c>
      <c r="K107" s="253"/>
    </row>
    <row r="108" spans="6:11" x14ac:dyDescent="0.3">
      <c r="F108" s="355">
        <f>ROW()-ROW(APORTACIONESOCIOS[[#Headers],[SECUENCIA]])</f>
        <v>104</v>
      </c>
      <c r="G108" s="173">
        <v>45000</v>
      </c>
      <c r="H108" s="3">
        <v>10</v>
      </c>
      <c r="I108" s="263">
        <v>14</v>
      </c>
      <c r="J108" s="249" t="s">
        <v>21</v>
      </c>
      <c r="K108" s="253"/>
    </row>
    <row r="109" spans="6:11" x14ac:dyDescent="0.3">
      <c r="F109" s="355">
        <f>ROW()-ROW(APORTACIONESOCIOS[[#Headers],[SECUENCIA]])</f>
        <v>105</v>
      </c>
      <c r="G109" s="173">
        <v>45000</v>
      </c>
      <c r="H109" s="3">
        <v>10</v>
      </c>
      <c r="I109" s="263">
        <v>15</v>
      </c>
      <c r="J109" s="249" t="s">
        <v>22</v>
      </c>
      <c r="K109" s="253"/>
    </row>
    <row r="110" spans="6:11" x14ac:dyDescent="0.3">
      <c r="F110" s="355">
        <f>ROW()-ROW(APORTACIONESOCIOS[[#Headers],[SECUENCIA]])</f>
        <v>106</v>
      </c>
      <c r="G110" s="173">
        <v>45000</v>
      </c>
      <c r="H110" s="3">
        <v>10</v>
      </c>
      <c r="I110" s="263">
        <v>16</v>
      </c>
      <c r="J110" s="249" t="s">
        <v>23</v>
      </c>
      <c r="K110" s="253"/>
    </row>
    <row r="111" spans="6:11" x14ac:dyDescent="0.3">
      <c r="F111" s="356">
        <f>ROW()-ROW(APORTACIONESOCIOS[[#Headers],[SECUENCIA]])</f>
        <v>107</v>
      </c>
      <c r="G111" s="186">
        <v>45031</v>
      </c>
      <c r="H111" s="3">
        <v>10</v>
      </c>
      <c r="I111" s="263">
        <v>3</v>
      </c>
      <c r="J111" s="249" t="s">
        <v>13</v>
      </c>
      <c r="K111" s="255"/>
    </row>
    <row r="112" spans="6:11" x14ac:dyDescent="0.3">
      <c r="F112" s="356">
        <f>ROW()-ROW(APORTACIONESOCIOS[[#Headers],[SECUENCIA]])</f>
        <v>108</v>
      </c>
      <c r="G112" s="173">
        <v>45031</v>
      </c>
      <c r="H112" s="3">
        <v>10</v>
      </c>
      <c r="I112" s="263">
        <v>4</v>
      </c>
      <c r="J112" s="249" t="s">
        <v>12</v>
      </c>
      <c r="K112" s="255"/>
    </row>
    <row r="113" spans="6:11" x14ac:dyDescent="0.3">
      <c r="F113" s="355">
        <f>ROW()-ROW(APORTACIONESOCIOS[[#Headers],[SECUENCIA]])</f>
        <v>109</v>
      </c>
      <c r="G113" s="173">
        <v>45031</v>
      </c>
      <c r="H113" s="3">
        <v>10</v>
      </c>
      <c r="I113" s="263">
        <v>5</v>
      </c>
      <c r="J113" s="249" t="s">
        <v>14</v>
      </c>
      <c r="K113" s="253"/>
    </row>
    <row r="114" spans="6:11" x14ac:dyDescent="0.3">
      <c r="F114" s="355">
        <f>ROW()-ROW(APORTACIONESOCIOS[[#Headers],[SECUENCIA]])</f>
        <v>110</v>
      </c>
      <c r="G114" s="173">
        <v>45031</v>
      </c>
      <c r="H114" s="3">
        <v>10</v>
      </c>
      <c r="I114" s="263">
        <v>6</v>
      </c>
      <c r="J114" s="249" t="s">
        <v>24</v>
      </c>
      <c r="K114" s="253"/>
    </row>
    <row r="115" spans="6:11" x14ac:dyDescent="0.3">
      <c r="F115" s="355">
        <f>ROW()-ROW(APORTACIONESOCIOS[[#Headers],[SECUENCIA]])</f>
        <v>111</v>
      </c>
      <c r="G115" s="173">
        <v>45031</v>
      </c>
      <c r="H115" s="3">
        <v>10</v>
      </c>
      <c r="I115" s="263">
        <v>7</v>
      </c>
      <c r="J115" s="249" t="s">
        <v>15</v>
      </c>
      <c r="K115" s="253"/>
    </row>
    <row r="116" spans="6:11" x14ac:dyDescent="0.3">
      <c r="F116" s="355">
        <f>ROW()-ROW(APORTACIONESOCIOS[[#Headers],[SECUENCIA]])</f>
        <v>112</v>
      </c>
      <c r="G116" s="173">
        <v>45031</v>
      </c>
      <c r="H116" s="3">
        <v>10</v>
      </c>
      <c r="I116" s="263">
        <v>8</v>
      </c>
      <c r="J116" s="249" t="s">
        <v>16</v>
      </c>
      <c r="K116" s="253"/>
    </row>
    <row r="117" spans="6:11" x14ac:dyDescent="0.3">
      <c r="F117" s="355">
        <f>ROW()-ROW(APORTACIONESOCIOS[[#Headers],[SECUENCIA]])</f>
        <v>113</v>
      </c>
      <c r="G117" s="173">
        <v>45031</v>
      </c>
      <c r="H117" s="3">
        <v>10</v>
      </c>
      <c r="I117" s="263">
        <v>9</v>
      </c>
      <c r="J117" s="249" t="s">
        <v>17</v>
      </c>
      <c r="K117" s="253"/>
    </row>
    <row r="118" spans="6:11" x14ac:dyDescent="0.3">
      <c r="F118" s="355">
        <f>ROW()-ROW(APORTACIONESOCIOS[[#Headers],[SECUENCIA]])</f>
        <v>114</v>
      </c>
      <c r="G118" s="173">
        <v>45031</v>
      </c>
      <c r="H118" s="3">
        <v>10</v>
      </c>
      <c r="I118" s="263">
        <v>10</v>
      </c>
      <c r="J118" s="249" t="s">
        <v>18</v>
      </c>
      <c r="K118" s="253"/>
    </row>
    <row r="119" spans="6:11" x14ac:dyDescent="0.3">
      <c r="F119" s="355">
        <f>ROW()-ROW(APORTACIONESOCIOS[[#Headers],[SECUENCIA]])</f>
        <v>115</v>
      </c>
      <c r="G119" s="173">
        <v>45031</v>
      </c>
      <c r="H119" s="3">
        <v>10</v>
      </c>
      <c r="I119" s="263">
        <v>11</v>
      </c>
      <c r="J119" s="249" t="s">
        <v>19</v>
      </c>
      <c r="K119" s="253"/>
    </row>
    <row r="120" spans="6:11" x14ac:dyDescent="0.3">
      <c r="F120" s="355">
        <f>ROW()-ROW(APORTACIONESOCIOS[[#Headers],[SECUENCIA]])</f>
        <v>116</v>
      </c>
      <c r="G120" s="173">
        <v>45031</v>
      </c>
      <c r="H120" s="3">
        <v>10</v>
      </c>
      <c r="I120" s="263">
        <v>12</v>
      </c>
      <c r="J120" s="249" t="s">
        <v>20</v>
      </c>
      <c r="K120" s="253"/>
    </row>
    <row r="121" spans="6:11" x14ac:dyDescent="0.3">
      <c r="F121" s="355">
        <f>ROW()-ROW(APORTACIONESOCIOS[[#Headers],[SECUENCIA]])</f>
        <v>117</v>
      </c>
      <c r="G121" s="173">
        <v>45031</v>
      </c>
      <c r="H121" s="3">
        <v>10</v>
      </c>
      <c r="I121" s="263">
        <v>14</v>
      </c>
      <c r="J121" s="249" t="s">
        <v>21</v>
      </c>
      <c r="K121" s="253"/>
    </row>
    <row r="122" spans="6:11" x14ac:dyDescent="0.3">
      <c r="F122" s="355">
        <f>ROW()-ROW(APORTACIONESOCIOS[[#Headers],[SECUENCIA]])</f>
        <v>118</v>
      </c>
      <c r="G122" s="173">
        <v>45031</v>
      </c>
      <c r="H122" s="3">
        <v>10</v>
      </c>
      <c r="I122" s="263">
        <v>15</v>
      </c>
      <c r="J122" s="249" t="s">
        <v>22</v>
      </c>
      <c r="K122" s="253"/>
    </row>
    <row r="123" spans="6:11" x14ac:dyDescent="0.3">
      <c r="F123" s="355">
        <f>ROW()-ROW(APORTACIONESOCIOS[[#Headers],[SECUENCIA]])</f>
        <v>119</v>
      </c>
      <c r="G123" s="173">
        <v>45031</v>
      </c>
      <c r="H123" s="3">
        <v>10</v>
      </c>
      <c r="I123" s="263">
        <v>16</v>
      </c>
      <c r="J123" s="249" t="s">
        <v>23</v>
      </c>
      <c r="K123" s="253"/>
    </row>
    <row r="124" spans="6:11" x14ac:dyDescent="0.3">
      <c r="F124" s="355">
        <f>ROW()-ROW(APORTACIONESOCIOS[[#Headers],[SECUENCIA]])</f>
        <v>120</v>
      </c>
      <c r="G124" s="186">
        <v>45061</v>
      </c>
      <c r="H124" s="3">
        <v>10</v>
      </c>
      <c r="I124" s="263">
        <v>3</v>
      </c>
      <c r="J124" s="249" t="s">
        <v>13</v>
      </c>
      <c r="K124" s="253"/>
    </row>
    <row r="125" spans="6:11" x14ac:dyDescent="0.3">
      <c r="F125" s="356">
        <f>ROW()-ROW(APORTACIONESOCIOS[[#Headers],[SECUENCIA]])</f>
        <v>121</v>
      </c>
      <c r="G125" s="173">
        <v>45061</v>
      </c>
      <c r="H125" s="3">
        <v>10</v>
      </c>
      <c r="I125" s="263">
        <v>4</v>
      </c>
      <c r="J125" s="249" t="s">
        <v>12</v>
      </c>
      <c r="K125" s="255"/>
    </row>
    <row r="126" spans="6:11" x14ac:dyDescent="0.3">
      <c r="F126" s="355">
        <f>ROW()-ROW(APORTACIONESOCIOS[[#Headers],[SECUENCIA]])</f>
        <v>122</v>
      </c>
      <c r="G126" s="173">
        <v>45061</v>
      </c>
      <c r="H126" s="3">
        <v>10</v>
      </c>
      <c r="I126" s="263">
        <v>5</v>
      </c>
      <c r="J126" s="249" t="s">
        <v>14</v>
      </c>
      <c r="K126" s="253"/>
    </row>
    <row r="127" spans="6:11" x14ac:dyDescent="0.3">
      <c r="F127" s="355">
        <f>ROW()-ROW(APORTACIONESOCIOS[[#Headers],[SECUENCIA]])</f>
        <v>123</v>
      </c>
      <c r="G127" s="173">
        <v>45061</v>
      </c>
      <c r="H127" s="3">
        <v>10</v>
      </c>
      <c r="I127" s="263">
        <v>6</v>
      </c>
      <c r="J127" s="249" t="s">
        <v>24</v>
      </c>
      <c r="K127" s="253"/>
    </row>
    <row r="128" spans="6:11" x14ac:dyDescent="0.3">
      <c r="F128" s="355">
        <f>ROW()-ROW(APORTACIONESOCIOS[[#Headers],[SECUENCIA]])</f>
        <v>124</v>
      </c>
      <c r="G128" s="173">
        <v>45061</v>
      </c>
      <c r="H128" s="3">
        <v>10</v>
      </c>
      <c r="I128" s="263">
        <v>7</v>
      </c>
      <c r="J128" s="249" t="s">
        <v>15</v>
      </c>
      <c r="K128" s="253"/>
    </row>
    <row r="129" spans="6:11" x14ac:dyDescent="0.3">
      <c r="F129" s="355">
        <f>ROW()-ROW(APORTACIONESOCIOS[[#Headers],[SECUENCIA]])</f>
        <v>125</v>
      </c>
      <c r="G129" s="173">
        <v>45061</v>
      </c>
      <c r="H129" s="3">
        <v>10</v>
      </c>
      <c r="I129" s="263">
        <v>8</v>
      </c>
      <c r="J129" s="249" t="s">
        <v>16</v>
      </c>
      <c r="K129" s="253"/>
    </row>
    <row r="130" spans="6:11" x14ac:dyDescent="0.3">
      <c r="F130" s="355">
        <f>ROW()-ROW(APORTACIONESOCIOS[[#Headers],[SECUENCIA]])</f>
        <v>126</v>
      </c>
      <c r="G130" s="173">
        <v>45061</v>
      </c>
      <c r="H130" s="3">
        <v>10</v>
      </c>
      <c r="I130" s="263">
        <v>9</v>
      </c>
      <c r="J130" s="249" t="s">
        <v>17</v>
      </c>
      <c r="K130" s="253"/>
    </row>
    <row r="131" spans="6:11" x14ac:dyDescent="0.3">
      <c r="F131" s="355">
        <f>ROW()-ROW(APORTACIONESOCIOS[[#Headers],[SECUENCIA]])</f>
        <v>127</v>
      </c>
      <c r="G131" s="173">
        <v>45061</v>
      </c>
      <c r="H131" s="3">
        <v>10</v>
      </c>
      <c r="I131" s="263">
        <v>10</v>
      </c>
      <c r="J131" s="249" t="s">
        <v>18</v>
      </c>
      <c r="K131" s="253"/>
    </row>
    <row r="132" spans="6:11" x14ac:dyDescent="0.3">
      <c r="F132" s="355">
        <f>ROW()-ROW(APORTACIONESOCIOS[[#Headers],[SECUENCIA]])</f>
        <v>128</v>
      </c>
      <c r="G132" s="173">
        <v>45061</v>
      </c>
      <c r="H132" s="3">
        <v>10</v>
      </c>
      <c r="I132" s="263">
        <v>11</v>
      </c>
      <c r="J132" s="249" t="s">
        <v>19</v>
      </c>
      <c r="K132" s="253"/>
    </row>
    <row r="133" spans="6:11" x14ac:dyDescent="0.3">
      <c r="F133" s="355">
        <f>ROW()-ROW(APORTACIONESOCIOS[[#Headers],[SECUENCIA]])</f>
        <v>129</v>
      </c>
      <c r="G133" s="173">
        <v>45061</v>
      </c>
      <c r="H133" s="3">
        <v>10</v>
      </c>
      <c r="I133" s="263">
        <v>12</v>
      </c>
      <c r="J133" s="249" t="s">
        <v>20</v>
      </c>
      <c r="K133" s="253"/>
    </row>
    <row r="134" spans="6:11" x14ac:dyDescent="0.3">
      <c r="F134" s="355">
        <f>ROW()-ROW(APORTACIONESOCIOS[[#Headers],[SECUENCIA]])</f>
        <v>130</v>
      </c>
      <c r="G134" s="173">
        <v>45061</v>
      </c>
      <c r="H134" s="3">
        <v>10</v>
      </c>
      <c r="I134" s="263">
        <v>14</v>
      </c>
      <c r="J134" s="249" t="s">
        <v>21</v>
      </c>
      <c r="K134" s="253"/>
    </row>
    <row r="135" spans="6:11" x14ac:dyDescent="0.3">
      <c r="F135" s="355">
        <f>ROW()-ROW(APORTACIONESOCIOS[[#Headers],[SECUENCIA]])</f>
        <v>131</v>
      </c>
      <c r="G135" s="173">
        <v>45061</v>
      </c>
      <c r="H135" s="3">
        <v>10</v>
      </c>
      <c r="I135" s="263">
        <v>15</v>
      </c>
      <c r="J135" s="249" t="s">
        <v>22</v>
      </c>
      <c r="K135" s="253"/>
    </row>
    <row r="136" spans="6:11" x14ac:dyDescent="0.3">
      <c r="F136" s="355">
        <f>ROW()-ROW(APORTACIONESOCIOS[[#Headers],[SECUENCIA]])</f>
        <v>132</v>
      </c>
      <c r="G136" s="173">
        <v>45061</v>
      </c>
      <c r="H136" s="3">
        <v>10</v>
      </c>
      <c r="I136" s="263">
        <v>16</v>
      </c>
      <c r="J136" s="249" t="s">
        <v>23</v>
      </c>
      <c r="K136" s="253"/>
    </row>
    <row r="137" spans="6:11" x14ac:dyDescent="0.3">
      <c r="F137" s="355">
        <f>ROW()-ROW(APORTACIONESOCIOS[[#Headers],[SECUENCIA]])</f>
        <v>133</v>
      </c>
      <c r="G137" s="186">
        <v>45092</v>
      </c>
      <c r="H137" s="3">
        <v>10</v>
      </c>
      <c r="I137" s="263">
        <v>3</v>
      </c>
      <c r="J137" s="249" t="s">
        <v>13</v>
      </c>
      <c r="K137" s="253"/>
    </row>
    <row r="138" spans="6:11" x14ac:dyDescent="0.3">
      <c r="F138" s="356">
        <f>ROW()-ROW(APORTACIONESOCIOS[[#Headers],[SECUENCIA]])</f>
        <v>134</v>
      </c>
      <c r="G138" s="173">
        <v>45092</v>
      </c>
      <c r="H138" s="3">
        <v>10</v>
      </c>
      <c r="I138" s="263">
        <v>4</v>
      </c>
      <c r="J138" s="249" t="s">
        <v>12</v>
      </c>
      <c r="K138" s="255"/>
    </row>
    <row r="139" spans="6:11" x14ac:dyDescent="0.3">
      <c r="F139" s="355">
        <f>ROW()-ROW(APORTACIONESOCIOS[[#Headers],[SECUENCIA]])</f>
        <v>135</v>
      </c>
      <c r="G139" s="173">
        <v>45092</v>
      </c>
      <c r="H139" s="3">
        <v>10</v>
      </c>
      <c r="I139" s="263">
        <v>5</v>
      </c>
      <c r="J139" s="249" t="s">
        <v>14</v>
      </c>
      <c r="K139" s="253"/>
    </row>
    <row r="140" spans="6:11" x14ac:dyDescent="0.3">
      <c r="F140" s="355">
        <f>ROW()-ROW(APORTACIONESOCIOS[[#Headers],[SECUENCIA]])</f>
        <v>136</v>
      </c>
      <c r="G140" s="173">
        <v>45092</v>
      </c>
      <c r="H140" s="3">
        <v>10</v>
      </c>
      <c r="I140" s="263">
        <v>6</v>
      </c>
      <c r="J140" s="249" t="s">
        <v>24</v>
      </c>
      <c r="K140" s="253"/>
    </row>
    <row r="141" spans="6:11" x14ac:dyDescent="0.3">
      <c r="F141" s="355">
        <f>ROW()-ROW(APORTACIONESOCIOS[[#Headers],[SECUENCIA]])</f>
        <v>137</v>
      </c>
      <c r="G141" s="173">
        <v>45092</v>
      </c>
      <c r="H141" s="3">
        <v>10</v>
      </c>
      <c r="I141" s="263">
        <v>7</v>
      </c>
      <c r="J141" s="249" t="s">
        <v>15</v>
      </c>
      <c r="K141" s="253"/>
    </row>
    <row r="142" spans="6:11" x14ac:dyDescent="0.3">
      <c r="F142" s="355">
        <f>ROW()-ROW(APORTACIONESOCIOS[[#Headers],[SECUENCIA]])</f>
        <v>138</v>
      </c>
      <c r="G142" s="173">
        <v>45092</v>
      </c>
      <c r="H142" s="3">
        <v>10</v>
      </c>
      <c r="I142" s="263">
        <v>8</v>
      </c>
      <c r="J142" s="249" t="s">
        <v>16</v>
      </c>
      <c r="K142" s="253"/>
    </row>
    <row r="143" spans="6:11" x14ac:dyDescent="0.3">
      <c r="F143" s="355">
        <f>ROW()-ROW(APORTACIONESOCIOS[[#Headers],[SECUENCIA]])</f>
        <v>139</v>
      </c>
      <c r="G143" s="173">
        <v>45092</v>
      </c>
      <c r="H143" s="3">
        <v>10</v>
      </c>
      <c r="I143" s="263">
        <v>9</v>
      </c>
      <c r="J143" s="249" t="s">
        <v>17</v>
      </c>
      <c r="K143" s="253"/>
    </row>
    <row r="144" spans="6:11" x14ac:dyDescent="0.3">
      <c r="F144" s="355">
        <f>ROW()-ROW(APORTACIONESOCIOS[[#Headers],[SECUENCIA]])</f>
        <v>140</v>
      </c>
      <c r="G144" s="173">
        <v>45092</v>
      </c>
      <c r="H144" s="3">
        <v>10</v>
      </c>
      <c r="I144" s="263">
        <v>10</v>
      </c>
      <c r="J144" s="249" t="s">
        <v>18</v>
      </c>
      <c r="K144" s="253"/>
    </row>
    <row r="145" spans="6:11" x14ac:dyDescent="0.3">
      <c r="F145" s="355">
        <f>ROW()-ROW(APORTACIONESOCIOS[[#Headers],[SECUENCIA]])</f>
        <v>141</v>
      </c>
      <c r="G145" s="173">
        <v>45092</v>
      </c>
      <c r="H145" s="3">
        <v>10</v>
      </c>
      <c r="I145" s="263">
        <v>11</v>
      </c>
      <c r="J145" s="249" t="s">
        <v>19</v>
      </c>
      <c r="K145" s="253"/>
    </row>
    <row r="146" spans="6:11" x14ac:dyDescent="0.3">
      <c r="F146" s="355">
        <f>ROW()-ROW(APORTACIONESOCIOS[[#Headers],[SECUENCIA]])</f>
        <v>142</v>
      </c>
      <c r="G146" s="173">
        <v>45092</v>
      </c>
      <c r="H146" s="3">
        <v>10</v>
      </c>
      <c r="I146" s="263">
        <v>12</v>
      </c>
      <c r="J146" s="249" t="s">
        <v>20</v>
      </c>
      <c r="K146" s="253"/>
    </row>
    <row r="147" spans="6:11" x14ac:dyDescent="0.3">
      <c r="F147" s="355">
        <f>ROW()-ROW(APORTACIONESOCIOS[[#Headers],[SECUENCIA]])</f>
        <v>143</v>
      </c>
      <c r="G147" s="173">
        <v>45092</v>
      </c>
      <c r="H147" s="3">
        <v>10</v>
      </c>
      <c r="I147" s="263">
        <v>14</v>
      </c>
      <c r="J147" s="249" t="s">
        <v>21</v>
      </c>
      <c r="K147" s="253"/>
    </row>
    <row r="148" spans="6:11" x14ac:dyDescent="0.3">
      <c r="F148" s="355">
        <f>ROW()-ROW(APORTACIONESOCIOS[[#Headers],[SECUENCIA]])</f>
        <v>144</v>
      </c>
      <c r="G148" s="173">
        <v>45092</v>
      </c>
      <c r="H148" s="3">
        <v>10</v>
      </c>
      <c r="I148" s="263">
        <v>15</v>
      </c>
      <c r="J148" s="249" t="s">
        <v>22</v>
      </c>
      <c r="K148" s="253"/>
    </row>
    <row r="149" spans="6:11" x14ac:dyDescent="0.3">
      <c r="F149" s="355">
        <f>ROW()-ROW(APORTACIONESOCIOS[[#Headers],[SECUENCIA]])</f>
        <v>145</v>
      </c>
      <c r="G149" s="173">
        <v>45092</v>
      </c>
      <c r="H149" s="3">
        <v>10</v>
      </c>
      <c r="I149" s="263">
        <v>16</v>
      </c>
      <c r="J149" s="249" t="s">
        <v>23</v>
      </c>
      <c r="K149" s="253"/>
    </row>
    <row r="150" spans="6:11" x14ac:dyDescent="0.3">
      <c r="F150" s="355">
        <f>ROW()-ROW(APORTACIONESOCIOS[[#Headers],[SECUENCIA]])</f>
        <v>146</v>
      </c>
      <c r="G150" s="186">
        <v>45122</v>
      </c>
      <c r="H150" s="3">
        <v>10</v>
      </c>
      <c r="I150" s="263">
        <v>3</v>
      </c>
      <c r="J150" s="249" t="s">
        <v>13</v>
      </c>
      <c r="K150" s="253"/>
    </row>
    <row r="151" spans="6:11" x14ac:dyDescent="0.3">
      <c r="F151" s="356">
        <f>ROW()-ROW(APORTACIONESOCIOS[[#Headers],[SECUENCIA]])</f>
        <v>147</v>
      </c>
      <c r="G151" s="173">
        <v>45122</v>
      </c>
      <c r="H151" s="3">
        <v>10</v>
      </c>
      <c r="I151" s="263">
        <v>4</v>
      </c>
      <c r="J151" s="249" t="s">
        <v>12</v>
      </c>
      <c r="K151" s="255"/>
    </row>
    <row r="152" spans="6:11" x14ac:dyDescent="0.3">
      <c r="F152" s="355">
        <f>ROW()-ROW(APORTACIONESOCIOS[[#Headers],[SECUENCIA]])</f>
        <v>148</v>
      </c>
      <c r="G152" s="173">
        <v>45122</v>
      </c>
      <c r="H152" s="3">
        <v>10</v>
      </c>
      <c r="I152" s="263">
        <v>5</v>
      </c>
      <c r="J152" s="249" t="s">
        <v>14</v>
      </c>
      <c r="K152" s="253"/>
    </row>
    <row r="153" spans="6:11" x14ac:dyDescent="0.3">
      <c r="F153" s="355">
        <f>ROW()-ROW(APORTACIONESOCIOS[[#Headers],[SECUENCIA]])</f>
        <v>149</v>
      </c>
      <c r="G153" s="173">
        <v>45122</v>
      </c>
      <c r="H153" s="3">
        <v>10</v>
      </c>
      <c r="I153" s="263">
        <v>6</v>
      </c>
      <c r="J153" s="249" t="s">
        <v>24</v>
      </c>
      <c r="K153" s="253"/>
    </row>
    <row r="154" spans="6:11" x14ac:dyDescent="0.3">
      <c r="F154" s="355">
        <f>ROW()-ROW(APORTACIONESOCIOS[[#Headers],[SECUENCIA]])</f>
        <v>150</v>
      </c>
      <c r="G154" s="173">
        <v>45122</v>
      </c>
      <c r="H154" s="3">
        <v>10</v>
      </c>
      <c r="I154" s="263">
        <v>7</v>
      </c>
      <c r="J154" s="249" t="s">
        <v>15</v>
      </c>
      <c r="K154" s="253"/>
    </row>
    <row r="155" spans="6:11" x14ac:dyDescent="0.3">
      <c r="F155" s="355">
        <f>ROW()-ROW(APORTACIONESOCIOS[[#Headers],[SECUENCIA]])</f>
        <v>151</v>
      </c>
      <c r="G155" s="173">
        <v>45122</v>
      </c>
      <c r="H155" s="3">
        <v>10</v>
      </c>
      <c r="I155" s="263">
        <v>8</v>
      </c>
      <c r="J155" s="249" t="s">
        <v>16</v>
      </c>
      <c r="K155" s="253"/>
    </row>
    <row r="156" spans="6:11" x14ac:dyDescent="0.3">
      <c r="F156" s="355">
        <f>ROW()-ROW(APORTACIONESOCIOS[[#Headers],[SECUENCIA]])</f>
        <v>152</v>
      </c>
      <c r="G156" s="173">
        <v>45122</v>
      </c>
      <c r="H156" s="3">
        <v>10</v>
      </c>
      <c r="I156" s="263">
        <v>9</v>
      </c>
      <c r="J156" s="249" t="s">
        <v>17</v>
      </c>
      <c r="K156" s="253"/>
    </row>
    <row r="157" spans="6:11" x14ac:dyDescent="0.3">
      <c r="F157" s="355">
        <f>ROW()-ROW(APORTACIONESOCIOS[[#Headers],[SECUENCIA]])</f>
        <v>153</v>
      </c>
      <c r="G157" s="173">
        <v>45122</v>
      </c>
      <c r="H157" s="3">
        <v>10</v>
      </c>
      <c r="I157" s="263">
        <v>10</v>
      </c>
      <c r="J157" s="249" t="s">
        <v>18</v>
      </c>
      <c r="K157" s="253"/>
    </row>
    <row r="158" spans="6:11" x14ac:dyDescent="0.3">
      <c r="F158" s="355">
        <f>ROW()-ROW(APORTACIONESOCIOS[[#Headers],[SECUENCIA]])</f>
        <v>154</v>
      </c>
      <c r="G158" s="173">
        <v>45122</v>
      </c>
      <c r="H158" s="3">
        <v>10</v>
      </c>
      <c r="I158" s="263">
        <v>11</v>
      </c>
      <c r="J158" s="249" t="s">
        <v>19</v>
      </c>
      <c r="K158" s="253"/>
    </row>
    <row r="159" spans="6:11" x14ac:dyDescent="0.3">
      <c r="F159" s="355">
        <f>ROW()-ROW(APORTACIONESOCIOS[[#Headers],[SECUENCIA]])</f>
        <v>155</v>
      </c>
      <c r="G159" s="173">
        <v>45122</v>
      </c>
      <c r="H159" s="3">
        <v>10</v>
      </c>
      <c r="I159" s="263">
        <v>12</v>
      </c>
      <c r="J159" s="249" t="s">
        <v>20</v>
      </c>
      <c r="K159" s="253"/>
    </row>
    <row r="160" spans="6:11" x14ac:dyDescent="0.3">
      <c r="F160" s="355">
        <f>ROW()-ROW(APORTACIONESOCIOS[[#Headers],[SECUENCIA]])</f>
        <v>156</v>
      </c>
      <c r="G160" s="173">
        <v>45122</v>
      </c>
      <c r="H160" s="3">
        <v>10</v>
      </c>
      <c r="I160" s="263">
        <v>14</v>
      </c>
      <c r="J160" s="249" t="s">
        <v>21</v>
      </c>
      <c r="K160" s="253"/>
    </row>
    <row r="161" spans="6:11" x14ac:dyDescent="0.3">
      <c r="F161" s="355">
        <f>ROW()-ROW(APORTACIONESOCIOS[[#Headers],[SECUENCIA]])</f>
        <v>157</v>
      </c>
      <c r="G161" s="173">
        <v>45122</v>
      </c>
      <c r="H161" s="3">
        <v>10</v>
      </c>
      <c r="I161" s="263">
        <v>15</v>
      </c>
      <c r="J161" s="249" t="s">
        <v>22</v>
      </c>
      <c r="K161" s="253"/>
    </row>
    <row r="162" spans="6:11" x14ac:dyDescent="0.3">
      <c r="F162" s="355">
        <f>ROW()-ROW(APORTACIONESOCIOS[[#Headers],[SECUENCIA]])</f>
        <v>158</v>
      </c>
      <c r="G162" s="173">
        <v>45122</v>
      </c>
      <c r="H162" s="3">
        <v>10</v>
      </c>
      <c r="I162" s="263">
        <v>16</v>
      </c>
      <c r="J162" s="249" t="s">
        <v>23</v>
      </c>
      <c r="K162" s="253"/>
    </row>
    <row r="163" spans="6:11" x14ac:dyDescent="0.3">
      <c r="F163" s="355">
        <f>ROW()-ROW(APORTACIONESOCIOS[[#Headers],[SECUENCIA]])</f>
        <v>159</v>
      </c>
      <c r="G163" s="186">
        <v>45153</v>
      </c>
      <c r="H163" s="3">
        <v>10</v>
      </c>
      <c r="I163" s="263">
        <v>3</v>
      </c>
      <c r="J163" s="249" t="s">
        <v>13</v>
      </c>
      <c r="K163" s="253"/>
    </row>
    <row r="164" spans="6:11" x14ac:dyDescent="0.3">
      <c r="F164" s="356">
        <f>ROW()-ROW(APORTACIONESOCIOS[[#Headers],[SECUENCIA]])</f>
        <v>160</v>
      </c>
      <c r="G164" s="173">
        <v>45153</v>
      </c>
      <c r="H164" s="3">
        <v>10</v>
      </c>
      <c r="I164" s="263">
        <v>4</v>
      </c>
      <c r="J164" s="249" t="s">
        <v>12</v>
      </c>
      <c r="K164" s="255"/>
    </row>
    <row r="165" spans="6:11" x14ac:dyDescent="0.3">
      <c r="F165" s="355">
        <f>ROW()-ROW(APORTACIONESOCIOS[[#Headers],[SECUENCIA]])</f>
        <v>161</v>
      </c>
      <c r="G165" s="173">
        <v>45153</v>
      </c>
      <c r="H165" s="3">
        <v>10</v>
      </c>
      <c r="I165" s="263">
        <v>5</v>
      </c>
      <c r="J165" s="249" t="s">
        <v>14</v>
      </c>
      <c r="K165" s="253"/>
    </row>
    <row r="166" spans="6:11" x14ac:dyDescent="0.3">
      <c r="F166" s="355">
        <f>ROW()-ROW(APORTACIONESOCIOS[[#Headers],[SECUENCIA]])</f>
        <v>162</v>
      </c>
      <c r="G166" s="173">
        <v>45153</v>
      </c>
      <c r="H166" s="3">
        <v>10</v>
      </c>
      <c r="I166" s="263">
        <v>6</v>
      </c>
      <c r="J166" s="249" t="s">
        <v>24</v>
      </c>
      <c r="K166" s="253"/>
    </row>
    <row r="167" spans="6:11" x14ac:dyDescent="0.3">
      <c r="F167" s="355">
        <f>ROW()-ROW(APORTACIONESOCIOS[[#Headers],[SECUENCIA]])</f>
        <v>163</v>
      </c>
      <c r="G167" s="173">
        <v>45153</v>
      </c>
      <c r="H167" s="3">
        <v>10</v>
      </c>
      <c r="I167" s="263">
        <v>7</v>
      </c>
      <c r="J167" s="249" t="s">
        <v>15</v>
      </c>
      <c r="K167" s="253"/>
    </row>
    <row r="168" spans="6:11" x14ac:dyDescent="0.3">
      <c r="F168" s="355">
        <f>ROW()-ROW(APORTACIONESOCIOS[[#Headers],[SECUENCIA]])</f>
        <v>164</v>
      </c>
      <c r="G168" s="173">
        <v>45153</v>
      </c>
      <c r="H168" s="3">
        <v>10</v>
      </c>
      <c r="I168" s="263">
        <v>8</v>
      </c>
      <c r="J168" s="249" t="s">
        <v>16</v>
      </c>
      <c r="K168" s="253"/>
    </row>
    <row r="169" spans="6:11" x14ac:dyDescent="0.3">
      <c r="F169" s="355">
        <f>ROW()-ROW(APORTACIONESOCIOS[[#Headers],[SECUENCIA]])</f>
        <v>165</v>
      </c>
      <c r="G169" s="173">
        <v>45153</v>
      </c>
      <c r="H169" s="3">
        <v>10</v>
      </c>
      <c r="I169" s="263">
        <v>9</v>
      </c>
      <c r="J169" s="249" t="s">
        <v>17</v>
      </c>
      <c r="K169" s="253"/>
    </row>
    <row r="170" spans="6:11" x14ac:dyDescent="0.3">
      <c r="F170" s="355">
        <f>ROW()-ROW(APORTACIONESOCIOS[[#Headers],[SECUENCIA]])</f>
        <v>166</v>
      </c>
      <c r="G170" s="173">
        <v>45153</v>
      </c>
      <c r="H170" s="3">
        <v>10</v>
      </c>
      <c r="I170" s="263">
        <v>10</v>
      </c>
      <c r="J170" s="249" t="s">
        <v>18</v>
      </c>
      <c r="K170" s="253"/>
    </row>
    <row r="171" spans="6:11" x14ac:dyDescent="0.3">
      <c r="F171" s="355">
        <f>ROW()-ROW(APORTACIONESOCIOS[[#Headers],[SECUENCIA]])</f>
        <v>167</v>
      </c>
      <c r="G171" s="173">
        <v>45153</v>
      </c>
      <c r="H171" s="3">
        <v>10</v>
      </c>
      <c r="I171" s="263">
        <v>11</v>
      </c>
      <c r="J171" s="249" t="s">
        <v>19</v>
      </c>
      <c r="K171" s="253"/>
    </row>
    <row r="172" spans="6:11" x14ac:dyDescent="0.3">
      <c r="F172" s="355">
        <f>ROW()-ROW(APORTACIONESOCIOS[[#Headers],[SECUENCIA]])</f>
        <v>168</v>
      </c>
      <c r="G172" s="173">
        <v>45153</v>
      </c>
      <c r="H172" s="3">
        <v>10</v>
      </c>
      <c r="I172" s="263">
        <v>12</v>
      </c>
      <c r="J172" s="249" t="s">
        <v>20</v>
      </c>
      <c r="K172" s="253"/>
    </row>
    <row r="173" spans="6:11" x14ac:dyDescent="0.3">
      <c r="F173" s="355">
        <f>ROW()-ROW(APORTACIONESOCIOS[[#Headers],[SECUENCIA]])</f>
        <v>169</v>
      </c>
      <c r="G173" s="173">
        <v>45153</v>
      </c>
      <c r="H173" s="3">
        <v>10</v>
      </c>
      <c r="I173" s="263">
        <v>14</v>
      </c>
      <c r="J173" s="249" t="s">
        <v>21</v>
      </c>
      <c r="K173" s="253"/>
    </row>
    <row r="174" spans="6:11" x14ac:dyDescent="0.3">
      <c r="F174" s="355">
        <f>ROW()-ROW(APORTACIONESOCIOS[[#Headers],[SECUENCIA]])</f>
        <v>170</v>
      </c>
      <c r="G174" s="173">
        <v>45153</v>
      </c>
      <c r="H174" s="3">
        <v>10</v>
      </c>
      <c r="I174" s="263">
        <v>15</v>
      </c>
      <c r="J174" s="249" t="s">
        <v>22</v>
      </c>
      <c r="K174" s="253"/>
    </row>
    <row r="175" spans="6:11" x14ac:dyDescent="0.3">
      <c r="F175" s="355">
        <f>ROW()-ROW(APORTACIONESOCIOS[[#Headers],[SECUENCIA]])</f>
        <v>171</v>
      </c>
      <c r="G175" s="173">
        <v>45153</v>
      </c>
      <c r="H175" s="3">
        <v>10</v>
      </c>
      <c r="I175" s="263">
        <v>16</v>
      </c>
      <c r="J175" s="249" t="s">
        <v>23</v>
      </c>
      <c r="K175" s="253"/>
    </row>
    <row r="176" spans="6:11" x14ac:dyDescent="0.3">
      <c r="F176" s="355">
        <f>ROW()-ROW(APORTACIONESOCIOS[[#Headers],[SECUENCIA]])</f>
        <v>172</v>
      </c>
      <c r="G176" s="186">
        <v>45184</v>
      </c>
      <c r="H176" s="3">
        <v>10</v>
      </c>
      <c r="I176" s="263">
        <v>3</v>
      </c>
      <c r="J176" s="249" t="s">
        <v>13</v>
      </c>
      <c r="K176" s="253"/>
    </row>
    <row r="177" spans="6:11" x14ac:dyDescent="0.3">
      <c r="F177" s="356">
        <f>ROW()-ROW(APORTACIONESOCIOS[[#Headers],[SECUENCIA]])</f>
        <v>173</v>
      </c>
      <c r="G177" s="173">
        <v>45184</v>
      </c>
      <c r="H177" s="3">
        <v>10</v>
      </c>
      <c r="I177" s="263">
        <v>4</v>
      </c>
      <c r="J177" s="249" t="s">
        <v>12</v>
      </c>
      <c r="K177" s="255"/>
    </row>
    <row r="178" spans="6:11" x14ac:dyDescent="0.3">
      <c r="F178" s="355">
        <f>ROW()-ROW(APORTACIONESOCIOS[[#Headers],[SECUENCIA]])</f>
        <v>174</v>
      </c>
      <c r="G178" s="173">
        <v>45184</v>
      </c>
      <c r="H178" s="3">
        <v>10</v>
      </c>
      <c r="I178" s="263">
        <v>5</v>
      </c>
      <c r="J178" s="249" t="s">
        <v>14</v>
      </c>
      <c r="K178" s="253"/>
    </row>
    <row r="179" spans="6:11" x14ac:dyDescent="0.3">
      <c r="F179" s="355">
        <f>ROW()-ROW(APORTACIONESOCIOS[[#Headers],[SECUENCIA]])</f>
        <v>175</v>
      </c>
      <c r="G179" s="173">
        <v>45184</v>
      </c>
      <c r="H179" s="3">
        <v>10</v>
      </c>
      <c r="I179" s="263">
        <v>6</v>
      </c>
      <c r="J179" s="249" t="s">
        <v>24</v>
      </c>
      <c r="K179" s="253"/>
    </row>
    <row r="180" spans="6:11" x14ac:dyDescent="0.3">
      <c r="F180" s="355">
        <f>ROW()-ROW(APORTACIONESOCIOS[[#Headers],[SECUENCIA]])</f>
        <v>176</v>
      </c>
      <c r="G180" s="173">
        <v>45184</v>
      </c>
      <c r="H180" s="3">
        <v>10</v>
      </c>
      <c r="I180" s="263">
        <v>7</v>
      </c>
      <c r="J180" s="249" t="s">
        <v>15</v>
      </c>
      <c r="K180" s="253"/>
    </row>
    <row r="181" spans="6:11" x14ac:dyDescent="0.3">
      <c r="F181" s="355">
        <f>ROW()-ROW(APORTACIONESOCIOS[[#Headers],[SECUENCIA]])</f>
        <v>177</v>
      </c>
      <c r="G181" s="173">
        <v>45184</v>
      </c>
      <c r="H181" s="3">
        <v>10</v>
      </c>
      <c r="I181" s="263">
        <v>8</v>
      </c>
      <c r="J181" s="249" t="s">
        <v>16</v>
      </c>
      <c r="K181" s="253"/>
    </row>
    <row r="182" spans="6:11" x14ac:dyDescent="0.3">
      <c r="F182" s="355">
        <f>ROW()-ROW(APORTACIONESOCIOS[[#Headers],[SECUENCIA]])</f>
        <v>178</v>
      </c>
      <c r="G182" s="173">
        <v>45184</v>
      </c>
      <c r="H182" s="3">
        <v>10</v>
      </c>
      <c r="I182" s="263">
        <v>9</v>
      </c>
      <c r="J182" s="249" t="s">
        <v>17</v>
      </c>
      <c r="K182" s="253"/>
    </row>
    <row r="183" spans="6:11" x14ac:dyDescent="0.3">
      <c r="F183" s="355">
        <f>ROW()-ROW(APORTACIONESOCIOS[[#Headers],[SECUENCIA]])</f>
        <v>179</v>
      </c>
      <c r="G183" s="173">
        <v>45184</v>
      </c>
      <c r="H183" s="3">
        <v>10</v>
      </c>
      <c r="I183" s="263">
        <v>10</v>
      </c>
      <c r="J183" s="249" t="s">
        <v>18</v>
      </c>
      <c r="K183" s="253"/>
    </row>
    <row r="184" spans="6:11" x14ac:dyDescent="0.3">
      <c r="F184" s="355">
        <f>ROW()-ROW(APORTACIONESOCIOS[[#Headers],[SECUENCIA]])</f>
        <v>180</v>
      </c>
      <c r="G184" s="173">
        <v>45184</v>
      </c>
      <c r="H184" s="3">
        <v>10</v>
      </c>
      <c r="I184" s="263">
        <v>11</v>
      </c>
      <c r="J184" s="249" t="s">
        <v>19</v>
      </c>
      <c r="K184" s="253"/>
    </row>
    <row r="185" spans="6:11" x14ac:dyDescent="0.3">
      <c r="F185" s="355">
        <f>ROW()-ROW(APORTACIONESOCIOS[[#Headers],[SECUENCIA]])</f>
        <v>181</v>
      </c>
      <c r="G185" s="173">
        <v>45184</v>
      </c>
      <c r="H185" s="3">
        <v>10</v>
      </c>
      <c r="I185" s="263">
        <v>12</v>
      </c>
      <c r="J185" s="249" t="s">
        <v>20</v>
      </c>
      <c r="K185" s="253"/>
    </row>
    <row r="186" spans="6:11" x14ac:dyDescent="0.3">
      <c r="F186" s="355">
        <f>ROW()-ROW(APORTACIONESOCIOS[[#Headers],[SECUENCIA]])</f>
        <v>182</v>
      </c>
      <c r="G186" s="173">
        <v>45184</v>
      </c>
      <c r="H186" s="3">
        <v>10</v>
      </c>
      <c r="I186" s="263">
        <v>14</v>
      </c>
      <c r="J186" s="249" t="s">
        <v>21</v>
      </c>
      <c r="K186" s="253"/>
    </row>
    <row r="187" spans="6:11" x14ac:dyDescent="0.3">
      <c r="F187" s="355">
        <f>ROW()-ROW(APORTACIONESOCIOS[[#Headers],[SECUENCIA]])</f>
        <v>183</v>
      </c>
      <c r="G187" s="173">
        <v>45184</v>
      </c>
      <c r="H187" s="3">
        <v>10</v>
      </c>
      <c r="I187" s="263">
        <v>15</v>
      </c>
      <c r="J187" s="249" t="s">
        <v>22</v>
      </c>
      <c r="K187" s="253"/>
    </row>
    <row r="188" spans="6:11" x14ac:dyDescent="0.3">
      <c r="F188" s="355">
        <f>ROW()-ROW(APORTACIONESOCIOS[[#Headers],[SECUENCIA]])</f>
        <v>184</v>
      </c>
      <c r="G188" s="173">
        <v>45184</v>
      </c>
      <c r="H188" s="3">
        <v>10</v>
      </c>
      <c r="I188" s="263">
        <v>16</v>
      </c>
      <c r="J188" s="249" t="s">
        <v>23</v>
      </c>
      <c r="K188" s="253"/>
    </row>
    <row r="189" spans="6:11" x14ac:dyDescent="0.3">
      <c r="F189" s="355">
        <f>ROW()-ROW(APORTACIONESOCIOS[[#Headers],[SECUENCIA]])</f>
        <v>185</v>
      </c>
      <c r="G189" s="186">
        <v>45214</v>
      </c>
      <c r="H189" s="3">
        <v>10</v>
      </c>
      <c r="I189" s="263">
        <v>3</v>
      </c>
      <c r="J189" s="249" t="s">
        <v>13</v>
      </c>
      <c r="K189" s="253"/>
    </row>
    <row r="190" spans="6:11" x14ac:dyDescent="0.3">
      <c r="F190" s="356">
        <f>ROW()-ROW(APORTACIONESOCIOS[[#Headers],[SECUENCIA]])</f>
        <v>186</v>
      </c>
      <c r="G190" s="173">
        <v>45214</v>
      </c>
      <c r="H190" s="3">
        <v>10</v>
      </c>
      <c r="I190" s="263">
        <v>4</v>
      </c>
      <c r="J190" s="249" t="s">
        <v>12</v>
      </c>
      <c r="K190" s="255"/>
    </row>
    <row r="191" spans="6:11" x14ac:dyDescent="0.3">
      <c r="F191" s="355">
        <f>ROW()-ROW(APORTACIONESOCIOS[[#Headers],[SECUENCIA]])</f>
        <v>187</v>
      </c>
      <c r="G191" s="173">
        <v>45214</v>
      </c>
      <c r="H191" s="3">
        <v>10</v>
      </c>
      <c r="I191" s="263">
        <v>5</v>
      </c>
      <c r="J191" s="249" t="s">
        <v>14</v>
      </c>
      <c r="K191" s="253"/>
    </row>
    <row r="192" spans="6:11" x14ac:dyDescent="0.3">
      <c r="F192" s="355">
        <f>ROW()-ROW(APORTACIONESOCIOS[[#Headers],[SECUENCIA]])</f>
        <v>188</v>
      </c>
      <c r="G192" s="173">
        <v>45214</v>
      </c>
      <c r="H192" s="3">
        <v>10</v>
      </c>
      <c r="I192" s="263">
        <v>6</v>
      </c>
      <c r="J192" s="249" t="s">
        <v>24</v>
      </c>
      <c r="K192" s="253"/>
    </row>
    <row r="193" spans="6:11" x14ac:dyDescent="0.3">
      <c r="F193" s="355">
        <f>ROW()-ROW(APORTACIONESOCIOS[[#Headers],[SECUENCIA]])</f>
        <v>189</v>
      </c>
      <c r="G193" s="173">
        <v>45214</v>
      </c>
      <c r="H193" s="3">
        <v>10</v>
      </c>
      <c r="I193" s="263">
        <v>7</v>
      </c>
      <c r="J193" s="249" t="s">
        <v>15</v>
      </c>
      <c r="K193" s="253"/>
    </row>
    <row r="194" spans="6:11" x14ac:dyDescent="0.3">
      <c r="F194" s="355">
        <f>ROW()-ROW(APORTACIONESOCIOS[[#Headers],[SECUENCIA]])</f>
        <v>190</v>
      </c>
      <c r="G194" s="173">
        <v>45214</v>
      </c>
      <c r="H194" s="3">
        <v>10</v>
      </c>
      <c r="I194" s="263">
        <v>8</v>
      </c>
      <c r="J194" s="249" t="s">
        <v>16</v>
      </c>
      <c r="K194" s="253"/>
    </row>
    <row r="195" spans="6:11" x14ac:dyDescent="0.3">
      <c r="F195" s="355">
        <f>ROW()-ROW(APORTACIONESOCIOS[[#Headers],[SECUENCIA]])</f>
        <v>191</v>
      </c>
      <c r="G195" s="173">
        <v>45214</v>
      </c>
      <c r="H195" s="3">
        <v>10</v>
      </c>
      <c r="I195" s="263">
        <v>9</v>
      </c>
      <c r="J195" s="249" t="s">
        <v>17</v>
      </c>
      <c r="K195" s="253"/>
    </row>
    <row r="196" spans="6:11" x14ac:dyDescent="0.3">
      <c r="F196" s="355">
        <f>ROW()-ROW(APORTACIONESOCIOS[[#Headers],[SECUENCIA]])</f>
        <v>192</v>
      </c>
      <c r="G196" s="173">
        <v>45214</v>
      </c>
      <c r="H196" s="3">
        <v>10</v>
      </c>
      <c r="I196" s="263">
        <v>10</v>
      </c>
      <c r="J196" s="249" t="s">
        <v>18</v>
      </c>
      <c r="K196" s="253"/>
    </row>
    <row r="197" spans="6:11" x14ac:dyDescent="0.3">
      <c r="F197" s="355">
        <f>ROW()-ROW(APORTACIONESOCIOS[[#Headers],[SECUENCIA]])</f>
        <v>193</v>
      </c>
      <c r="G197" s="173">
        <v>45214</v>
      </c>
      <c r="H197" s="3">
        <v>10</v>
      </c>
      <c r="I197" s="263">
        <v>11</v>
      </c>
      <c r="J197" s="249" t="s">
        <v>19</v>
      </c>
      <c r="K197" s="253"/>
    </row>
    <row r="198" spans="6:11" x14ac:dyDescent="0.3">
      <c r="F198" s="355">
        <f>ROW()-ROW(APORTACIONESOCIOS[[#Headers],[SECUENCIA]])</f>
        <v>194</v>
      </c>
      <c r="G198" s="173">
        <v>45214</v>
      </c>
      <c r="H198" s="3">
        <v>10</v>
      </c>
      <c r="I198" s="263">
        <v>12</v>
      </c>
      <c r="J198" s="249" t="s">
        <v>20</v>
      </c>
      <c r="K198" s="253"/>
    </row>
    <row r="199" spans="6:11" x14ac:dyDescent="0.3">
      <c r="F199" s="355">
        <f>ROW()-ROW(APORTACIONESOCIOS[[#Headers],[SECUENCIA]])</f>
        <v>195</v>
      </c>
      <c r="G199" s="173">
        <v>45214</v>
      </c>
      <c r="H199" s="3">
        <v>10</v>
      </c>
      <c r="I199" s="263">
        <v>14</v>
      </c>
      <c r="J199" s="249" t="s">
        <v>21</v>
      </c>
      <c r="K199" s="253"/>
    </row>
    <row r="200" spans="6:11" x14ac:dyDescent="0.3">
      <c r="F200" s="355">
        <f>ROW()-ROW(APORTACIONESOCIOS[[#Headers],[SECUENCIA]])</f>
        <v>196</v>
      </c>
      <c r="G200" s="173">
        <v>45214</v>
      </c>
      <c r="H200" s="3">
        <v>10</v>
      </c>
      <c r="I200" s="263">
        <v>15</v>
      </c>
      <c r="J200" s="249" t="s">
        <v>22</v>
      </c>
      <c r="K200" s="253"/>
    </row>
    <row r="201" spans="6:11" x14ac:dyDescent="0.3">
      <c r="F201" s="355">
        <f>ROW()-ROW(APORTACIONESOCIOS[[#Headers],[SECUENCIA]])</f>
        <v>197</v>
      </c>
      <c r="G201" s="173">
        <v>45214</v>
      </c>
      <c r="H201" s="3">
        <v>10</v>
      </c>
      <c r="I201" s="263">
        <v>16</v>
      </c>
      <c r="J201" s="249" t="s">
        <v>23</v>
      </c>
      <c r="K201" s="253"/>
    </row>
    <row r="202" spans="6:11" x14ac:dyDescent="0.3">
      <c r="F202" s="355">
        <f>ROW()-ROW(APORTACIONESOCIOS[[#Headers],[SECUENCIA]])</f>
        <v>198</v>
      </c>
      <c r="G202" s="186">
        <v>45245</v>
      </c>
      <c r="H202" s="3">
        <v>10</v>
      </c>
      <c r="I202" s="263">
        <v>3</v>
      </c>
      <c r="J202" s="249" t="s">
        <v>13</v>
      </c>
      <c r="K202" s="253"/>
    </row>
    <row r="203" spans="6:11" x14ac:dyDescent="0.3">
      <c r="F203" s="356">
        <f>ROW()-ROW(APORTACIONESOCIOS[[#Headers],[SECUENCIA]])</f>
        <v>199</v>
      </c>
      <c r="G203" s="173">
        <v>45245</v>
      </c>
      <c r="H203" s="3">
        <v>10</v>
      </c>
      <c r="I203" s="263">
        <v>4</v>
      </c>
      <c r="J203" s="249" t="s">
        <v>12</v>
      </c>
      <c r="K203" s="255"/>
    </row>
    <row r="204" spans="6:11" x14ac:dyDescent="0.3">
      <c r="F204" s="355">
        <f>ROW()-ROW(APORTACIONESOCIOS[[#Headers],[SECUENCIA]])</f>
        <v>200</v>
      </c>
      <c r="G204" s="173">
        <v>45245</v>
      </c>
      <c r="H204" s="3">
        <v>10</v>
      </c>
      <c r="I204" s="263">
        <v>5</v>
      </c>
      <c r="J204" s="249" t="s">
        <v>14</v>
      </c>
      <c r="K204" s="253"/>
    </row>
    <row r="205" spans="6:11" x14ac:dyDescent="0.3">
      <c r="F205" s="355">
        <f>ROW()-ROW(APORTACIONESOCIOS[[#Headers],[SECUENCIA]])</f>
        <v>201</v>
      </c>
      <c r="G205" s="173">
        <v>45245</v>
      </c>
      <c r="H205" s="3">
        <v>10</v>
      </c>
      <c r="I205" s="263">
        <v>6</v>
      </c>
      <c r="J205" s="249" t="s">
        <v>24</v>
      </c>
      <c r="K205" s="253"/>
    </row>
    <row r="206" spans="6:11" x14ac:dyDescent="0.3">
      <c r="F206" s="355">
        <f>ROW()-ROW(APORTACIONESOCIOS[[#Headers],[SECUENCIA]])</f>
        <v>202</v>
      </c>
      <c r="G206" s="173">
        <v>45245</v>
      </c>
      <c r="H206" s="3">
        <v>10</v>
      </c>
      <c r="I206" s="263">
        <v>7</v>
      </c>
      <c r="J206" s="249" t="s">
        <v>15</v>
      </c>
      <c r="K206" s="253"/>
    </row>
    <row r="207" spans="6:11" x14ac:dyDescent="0.3">
      <c r="F207" s="355">
        <f>ROW()-ROW(APORTACIONESOCIOS[[#Headers],[SECUENCIA]])</f>
        <v>203</v>
      </c>
      <c r="G207" s="173">
        <v>45245</v>
      </c>
      <c r="H207" s="3">
        <v>10</v>
      </c>
      <c r="I207" s="263">
        <v>8</v>
      </c>
      <c r="J207" s="249" t="s">
        <v>16</v>
      </c>
      <c r="K207" s="253"/>
    </row>
    <row r="208" spans="6:11" x14ac:dyDescent="0.3">
      <c r="F208" s="355">
        <f>ROW()-ROW(APORTACIONESOCIOS[[#Headers],[SECUENCIA]])</f>
        <v>204</v>
      </c>
      <c r="G208" s="173">
        <v>45245</v>
      </c>
      <c r="H208" s="3">
        <v>10</v>
      </c>
      <c r="I208" s="263">
        <v>9</v>
      </c>
      <c r="J208" s="249" t="s">
        <v>17</v>
      </c>
      <c r="K208" s="253"/>
    </row>
    <row r="209" spans="6:11" x14ac:dyDescent="0.3">
      <c r="F209" s="355">
        <f>ROW()-ROW(APORTACIONESOCIOS[[#Headers],[SECUENCIA]])</f>
        <v>205</v>
      </c>
      <c r="G209" s="173">
        <v>45245</v>
      </c>
      <c r="H209" s="3">
        <v>10</v>
      </c>
      <c r="I209" s="263">
        <v>10</v>
      </c>
      <c r="J209" s="249" t="s">
        <v>18</v>
      </c>
      <c r="K209" s="253"/>
    </row>
    <row r="210" spans="6:11" x14ac:dyDescent="0.3">
      <c r="F210" s="355">
        <f>ROW()-ROW(APORTACIONESOCIOS[[#Headers],[SECUENCIA]])</f>
        <v>206</v>
      </c>
      <c r="G210" s="173">
        <v>45245</v>
      </c>
      <c r="H210" s="3">
        <v>10</v>
      </c>
      <c r="I210" s="263">
        <v>11</v>
      </c>
      <c r="J210" s="249" t="s">
        <v>19</v>
      </c>
      <c r="K210" s="253"/>
    </row>
    <row r="211" spans="6:11" x14ac:dyDescent="0.3">
      <c r="F211" s="355">
        <f>ROW()-ROW(APORTACIONESOCIOS[[#Headers],[SECUENCIA]])</f>
        <v>207</v>
      </c>
      <c r="G211" s="173">
        <v>45245</v>
      </c>
      <c r="H211" s="3">
        <v>10</v>
      </c>
      <c r="I211" s="263">
        <v>12</v>
      </c>
      <c r="J211" s="249" t="s">
        <v>20</v>
      </c>
      <c r="K211" s="253"/>
    </row>
    <row r="212" spans="6:11" x14ac:dyDescent="0.3">
      <c r="F212" s="355">
        <f>ROW()-ROW(APORTACIONESOCIOS[[#Headers],[SECUENCIA]])</f>
        <v>208</v>
      </c>
      <c r="G212" s="173">
        <v>45245</v>
      </c>
      <c r="H212" s="3">
        <v>10</v>
      </c>
      <c r="I212" s="263">
        <v>14</v>
      </c>
      <c r="J212" s="249" t="s">
        <v>21</v>
      </c>
      <c r="K212" s="253"/>
    </row>
    <row r="213" spans="6:11" x14ac:dyDescent="0.3">
      <c r="F213" s="355">
        <f>ROW()-ROW(APORTACIONESOCIOS[[#Headers],[SECUENCIA]])</f>
        <v>209</v>
      </c>
      <c r="G213" s="173">
        <v>45245</v>
      </c>
      <c r="H213" s="3">
        <v>10</v>
      </c>
      <c r="I213" s="263">
        <v>15</v>
      </c>
      <c r="J213" s="249" t="s">
        <v>22</v>
      </c>
      <c r="K213" s="253"/>
    </row>
    <row r="214" spans="6:11" x14ac:dyDescent="0.3">
      <c r="F214" s="355">
        <f>ROW()-ROW(APORTACIONESOCIOS[[#Headers],[SECUENCIA]])</f>
        <v>210</v>
      </c>
      <c r="G214" s="173">
        <v>45245</v>
      </c>
      <c r="H214" s="3">
        <v>10</v>
      </c>
      <c r="I214" s="263">
        <v>16</v>
      </c>
      <c r="J214" s="249" t="s">
        <v>23</v>
      </c>
      <c r="K214" s="253"/>
    </row>
    <row r="215" spans="6:11" x14ac:dyDescent="0.3">
      <c r="F215" s="355">
        <f>ROW()-ROW(APORTACIONESOCIOS[[#Headers],[SECUENCIA]])</f>
        <v>211</v>
      </c>
      <c r="G215" s="186">
        <v>45275</v>
      </c>
      <c r="H215" s="3">
        <v>10</v>
      </c>
      <c r="I215" s="263">
        <v>3</v>
      </c>
      <c r="J215" s="249" t="s">
        <v>13</v>
      </c>
      <c r="K215" s="253"/>
    </row>
    <row r="216" spans="6:11" x14ac:dyDescent="0.3">
      <c r="F216" s="356">
        <f>ROW()-ROW(APORTACIONESOCIOS[[#Headers],[SECUENCIA]])</f>
        <v>212</v>
      </c>
      <c r="G216" s="173">
        <v>45275</v>
      </c>
      <c r="H216" s="3">
        <v>10</v>
      </c>
      <c r="I216" s="263">
        <v>4</v>
      </c>
      <c r="J216" s="249" t="s">
        <v>12</v>
      </c>
      <c r="K216" s="255"/>
    </row>
    <row r="217" spans="6:11" x14ac:dyDescent="0.3">
      <c r="F217" s="355">
        <f>ROW()-ROW(APORTACIONESOCIOS[[#Headers],[SECUENCIA]])</f>
        <v>213</v>
      </c>
      <c r="G217" s="173">
        <v>45275</v>
      </c>
      <c r="H217" s="3">
        <v>10</v>
      </c>
      <c r="I217" s="263">
        <v>5</v>
      </c>
      <c r="J217" s="249" t="s">
        <v>14</v>
      </c>
      <c r="K217" s="253"/>
    </row>
    <row r="218" spans="6:11" x14ac:dyDescent="0.3">
      <c r="F218" s="355">
        <f>ROW()-ROW(APORTACIONESOCIOS[[#Headers],[SECUENCIA]])</f>
        <v>214</v>
      </c>
      <c r="G218" s="173">
        <v>45275</v>
      </c>
      <c r="H218" s="3">
        <v>10</v>
      </c>
      <c r="I218" s="263">
        <v>6</v>
      </c>
      <c r="J218" s="249" t="s">
        <v>24</v>
      </c>
      <c r="K218" s="253"/>
    </row>
    <row r="219" spans="6:11" x14ac:dyDescent="0.3">
      <c r="F219" s="355">
        <f>ROW()-ROW(APORTACIONESOCIOS[[#Headers],[SECUENCIA]])</f>
        <v>215</v>
      </c>
      <c r="G219" s="173">
        <v>45275</v>
      </c>
      <c r="H219" s="3">
        <v>10</v>
      </c>
      <c r="I219" s="263">
        <v>7</v>
      </c>
      <c r="J219" s="249" t="s">
        <v>15</v>
      </c>
      <c r="K219" s="253"/>
    </row>
    <row r="220" spans="6:11" x14ac:dyDescent="0.3">
      <c r="F220" s="355">
        <f>ROW()-ROW(APORTACIONESOCIOS[[#Headers],[SECUENCIA]])</f>
        <v>216</v>
      </c>
      <c r="G220" s="173">
        <v>45275</v>
      </c>
      <c r="H220" s="3">
        <v>10</v>
      </c>
      <c r="I220" s="263">
        <v>8</v>
      </c>
      <c r="J220" s="249" t="s">
        <v>16</v>
      </c>
      <c r="K220" s="253"/>
    </row>
    <row r="221" spans="6:11" x14ac:dyDescent="0.3">
      <c r="F221" s="355">
        <f>ROW()-ROW(APORTACIONESOCIOS[[#Headers],[SECUENCIA]])</f>
        <v>217</v>
      </c>
      <c r="G221" s="173">
        <v>45275</v>
      </c>
      <c r="H221" s="3">
        <v>10</v>
      </c>
      <c r="I221" s="263">
        <v>9</v>
      </c>
      <c r="J221" s="249" t="s">
        <v>17</v>
      </c>
      <c r="K221" s="253"/>
    </row>
    <row r="222" spans="6:11" x14ac:dyDescent="0.3">
      <c r="F222" s="355">
        <f>ROW()-ROW(APORTACIONESOCIOS[[#Headers],[SECUENCIA]])</f>
        <v>218</v>
      </c>
      <c r="G222" s="173">
        <v>45275</v>
      </c>
      <c r="H222" s="3">
        <v>10</v>
      </c>
      <c r="I222" s="263">
        <v>10</v>
      </c>
      <c r="J222" s="249" t="s">
        <v>18</v>
      </c>
      <c r="K222" s="253"/>
    </row>
    <row r="223" spans="6:11" x14ac:dyDescent="0.3">
      <c r="F223" s="355">
        <f>ROW()-ROW(APORTACIONESOCIOS[[#Headers],[SECUENCIA]])</f>
        <v>219</v>
      </c>
      <c r="G223" s="173">
        <v>45275</v>
      </c>
      <c r="H223" s="3">
        <v>10</v>
      </c>
      <c r="I223" s="263">
        <v>11</v>
      </c>
      <c r="J223" s="249" t="s">
        <v>19</v>
      </c>
      <c r="K223" s="253"/>
    </row>
    <row r="224" spans="6:11" x14ac:dyDescent="0.3">
      <c r="F224" s="355">
        <f>ROW()-ROW(APORTACIONESOCIOS[[#Headers],[SECUENCIA]])</f>
        <v>220</v>
      </c>
      <c r="G224" s="173">
        <v>45275</v>
      </c>
      <c r="H224" s="3">
        <v>10</v>
      </c>
      <c r="I224" s="263">
        <v>12</v>
      </c>
      <c r="J224" s="249" t="s">
        <v>20</v>
      </c>
      <c r="K224" s="253"/>
    </row>
    <row r="225" spans="6:11" x14ac:dyDescent="0.3">
      <c r="F225" s="355">
        <f>ROW()-ROW(APORTACIONESOCIOS[[#Headers],[SECUENCIA]])</f>
        <v>221</v>
      </c>
      <c r="G225" s="173">
        <v>45275</v>
      </c>
      <c r="H225" s="3">
        <v>10</v>
      </c>
      <c r="I225" s="263">
        <v>14</v>
      </c>
      <c r="J225" s="249" t="s">
        <v>21</v>
      </c>
      <c r="K225" s="253"/>
    </row>
    <row r="226" spans="6:11" x14ac:dyDescent="0.3">
      <c r="F226" s="355">
        <f>ROW()-ROW(APORTACIONESOCIOS[[#Headers],[SECUENCIA]])</f>
        <v>222</v>
      </c>
      <c r="G226" s="173">
        <v>45275</v>
      </c>
      <c r="H226" s="3">
        <v>10</v>
      </c>
      <c r="I226" s="263">
        <v>15</v>
      </c>
      <c r="J226" s="249" t="s">
        <v>22</v>
      </c>
      <c r="K226" s="253"/>
    </row>
    <row r="227" spans="6:11" x14ac:dyDescent="0.3">
      <c r="F227" s="355">
        <f>ROW()-ROW(APORTACIONESOCIOS[[#Headers],[SECUENCIA]])</f>
        <v>223</v>
      </c>
      <c r="G227" s="173">
        <v>45275</v>
      </c>
      <c r="H227" s="3">
        <v>10</v>
      </c>
      <c r="I227" s="263">
        <v>16</v>
      </c>
      <c r="J227" s="249" t="s">
        <v>23</v>
      </c>
      <c r="K227" s="253"/>
    </row>
    <row r="228" spans="6:11" x14ac:dyDescent="0.3">
      <c r="F228" s="355">
        <f>ROW()-ROW(APORTACIONESOCIOS[[#Headers],[SECUENCIA]])</f>
        <v>224</v>
      </c>
      <c r="G228" s="173">
        <v>45306</v>
      </c>
      <c r="H228" s="3">
        <v>10</v>
      </c>
      <c r="I228" s="263">
        <v>3</v>
      </c>
      <c r="J228" s="249" t="s">
        <v>13</v>
      </c>
      <c r="K228" s="253"/>
    </row>
    <row r="229" spans="6:11" x14ac:dyDescent="0.3">
      <c r="F229" s="355">
        <f>ROW()-ROW(APORTACIONESOCIOS[[#Headers],[SECUENCIA]])</f>
        <v>225</v>
      </c>
      <c r="G229" s="173">
        <v>45306</v>
      </c>
      <c r="H229" s="3">
        <v>10</v>
      </c>
      <c r="I229" s="263">
        <v>4</v>
      </c>
      <c r="J229" s="249" t="s">
        <v>12</v>
      </c>
      <c r="K229" s="253"/>
    </row>
    <row r="230" spans="6:11" x14ac:dyDescent="0.3">
      <c r="F230" s="355">
        <f>ROW()-ROW(APORTACIONESOCIOS[[#Headers],[SECUENCIA]])</f>
        <v>226</v>
      </c>
      <c r="G230" s="173">
        <v>45306</v>
      </c>
      <c r="H230" s="3">
        <v>10</v>
      </c>
      <c r="I230" s="263">
        <v>5</v>
      </c>
      <c r="J230" s="249" t="s">
        <v>14</v>
      </c>
      <c r="K230" s="253"/>
    </row>
    <row r="231" spans="6:11" x14ac:dyDescent="0.3">
      <c r="F231" s="355">
        <f>ROW()-ROW(APORTACIONESOCIOS[[#Headers],[SECUENCIA]])</f>
        <v>227</v>
      </c>
      <c r="G231" s="173">
        <v>45306</v>
      </c>
      <c r="H231" s="3">
        <v>10</v>
      </c>
      <c r="I231" s="263">
        <v>6</v>
      </c>
      <c r="J231" s="249" t="s">
        <v>24</v>
      </c>
      <c r="K231" s="253"/>
    </row>
    <row r="232" spans="6:11" x14ac:dyDescent="0.3">
      <c r="F232" s="355">
        <f>ROW()-ROW(APORTACIONESOCIOS[[#Headers],[SECUENCIA]])</f>
        <v>228</v>
      </c>
      <c r="G232" s="173">
        <v>45306</v>
      </c>
      <c r="H232" s="3">
        <v>10</v>
      </c>
      <c r="I232" s="263">
        <v>7</v>
      </c>
      <c r="J232" s="249" t="s">
        <v>15</v>
      </c>
      <c r="K232" s="253"/>
    </row>
    <row r="233" spans="6:11" x14ac:dyDescent="0.3">
      <c r="F233" s="355">
        <f>ROW()-ROW(APORTACIONESOCIOS[[#Headers],[SECUENCIA]])</f>
        <v>229</v>
      </c>
      <c r="G233" s="173">
        <v>45306</v>
      </c>
      <c r="H233" s="3">
        <v>10</v>
      </c>
      <c r="I233" s="263">
        <v>8</v>
      </c>
      <c r="J233" s="249" t="s">
        <v>16</v>
      </c>
      <c r="K233" s="253"/>
    </row>
    <row r="234" spans="6:11" x14ac:dyDescent="0.3">
      <c r="F234" s="355">
        <f>ROW()-ROW(APORTACIONESOCIOS[[#Headers],[SECUENCIA]])</f>
        <v>230</v>
      </c>
      <c r="G234" s="173">
        <v>45306</v>
      </c>
      <c r="H234" s="3">
        <v>10</v>
      </c>
      <c r="I234" s="263">
        <v>9</v>
      </c>
      <c r="J234" s="249" t="s">
        <v>17</v>
      </c>
      <c r="K234" s="253"/>
    </row>
    <row r="235" spans="6:11" x14ac:dyDescent="0.3">
      <c r="F235" s="355">
        <f>ROW()-ROW(APORTACIONESOCIOS[[#Headers],[SECUENCIA]])</f>
        <v>231</v>
      </c>
      <c r="G235" s="173">
        <v>45306</v>
      </c>
      <c r="H235" s="3">
        <v>10</v>
      </c>
      <c r="I235" s="263">
        <v>10</v>
      </c>
      <c r="J235" s="249" t="s">
        <v>18</v>
      </c>
      <c r="K235" s="253"/>
    </row>
    <row r="236" spans="6:11" x14ac:dyDescent="0.3">
      <c r="F236" s="355">
        <f>ROW()-ROW(APORTACIONESOCIOS[[#Headers],[SECUENCIA]])</f>
        <v>232</v>
      </c>
      <c r="G236" s="173">
        <v>45306</v>
      </c>
      <c r="H236" s="3">
        <v>10</v>
      </c>
      <c r="I236" s="263">
        <v>11</v>
      </c>
      <c r="J236" s="249" t="s">
        <v>19</v>
      </c>
      <c r="K236" s="253"/>
    </row>
    <row r="237" spans="6:11" x14ac:dyDescent="0.3">
      <c r="F237" s="355">
        <f>ROW()-ROW(APORTACIONESOCIOS[[#Headers],[SECUENCIA]])</f>
        <v>233</v>
      </c>
      <c r="G237" s="173">
        <v>45306</v>
      </c>
      <c r="H237" s="3">
        <v>10</v>
      </c>
      <c r="I237" s="263">
        <v>12</v>
      </c>
      <c r="J237" s="249" t="s">
        <v>20</v>
      </c>
      <c r="K237" s="253"/>
    </row>
    <row r="238" spans="6:11" x14ac:dyDescent="0.3">
      <c r="F238" s="355">
        <f>ROW()-ROW(APORTACIONESOCIOS[[#Headers],[SECUENCIA]])</f>
        <v>234</v>
      </c>
      <c r="G238" s="173">
        <v>45306</v>
      </c>
      <c r="H238" s="3">
        <v>10</v>
      </c>
      <c r="I238" s="263">
        <v>14</v>
      </c>
      <c r="J238" s="249" t="s">
        <v>21</v>
      </c>
      <c r="K238" s="253"/>
    </row>
    <row r="239" spans="6:11" x14ac:dyDescent="0.3">
      <c r="F239" s="355">
        <f>ROW()-ROW(APORTACIONESOCIOS[[#Headers],[SECUENCIA]])</f>
        <v>235</v>
      </c>
      <c r="G239" s="173">
        <v>45306</v>
      </c>
      <c r="H239" s="3">
        <v>10</v>
      </c>
      <c r="I239" s="263">
        <v>15</v>
      </c>
      <c r="J239" s="249" t="s">
        <v>22</v>
      </c>
      <c r="K239" s="253"/>
    </row>
    <row r="240" spans="6:11" x14ac:dyDescent="0.3">
      <c r="F240" s="355">
        <f>ROW()-ROW(APORTACIONESOCIOS[[#Headers],[SECUENCIA]])</f>
        <v>236</v>
      </c>
      <c r="G240" s="173">
        <v>45306</v>
      </c>
      <c r="H240" s="3">
        <v>10</v>
      </c>
      <c r="I240" s="263">
        <v>16</v>
      </c>
      <c r="J240" s="249" t="s">
        <v>23</v>
      </c>
      <c r="K240" s="253"/>
    </row>
    <row r="241" spans="6:11" x14ac:dyDescent="0.3">
      <c r="F241" s="355">
        <f>ROW()-ROW(APORTACIONESOCIOS[[#Headers],[SECUENCIA]])</f>
        <v>237</v>
      </c>
      <c r="G241" s="173">
        <v>45337</v>
      </c>
      <c r="H241" s="3">
        <v>10</v>
      </c>
      <c r="I241" s="263">
        <v>3</v>
      </c>
      <c r="J241" s="249" t="s">
        <v>13</v>
      </c>
      <c r="K241" s="253"/>
    </row>
    <row r="242" spans="6:11" x14ac:dyDescent="0.3">
      <c r="F242" s="355">
        <f>ROW()-ROW(APORTACIONESOCIOS[[#Headers],[SECUENCIA]])</f>
        <v>238</v>
      </c>
      <c r="G242" s="173">
        <v>45337</v>
      </c>
      <c r="H242" s="3">
        <v>10</v>
      </c>
      <c r="I242" s="263">
        <v>4</v>
      </c>
      <c r="J242" s="249" t="s">
        <v>12</v>
      </c>
      <c r="K242" s="253"/>
    </row>
    <row r="243" spans="6:11" x14ac:dyDescent="0.3">
      <c r="F243" s="355">
        <f>ROW()-ROW(APORTACIONESOCIOS[[#Headers],[SECUENCIA]])</f>
        <v>239</v>
      </c>
      <c r="G243" s="173">
        <v>45337</v>
      </c>
      <c r="H243" s="3">
        <v>10</v>
      </c>
      <c r="I243" s="263">
        <v>5</v>
      </c>
      <c r="J243" s="249" t="s">
        <v>14</v>
      </c>
      <c r="K243" s="253"/>
    </row>
    <row r="244" spans="6:11" x14ac:dyDescent="0.3">
      <c r="F244" s="355">
        <f>ROW()-ROW(APORTACIONESOCIOS[[#Headers],[SECUENCIA]])</f>
        <v>240</v>
      </c>
      <c r="G244" s="173">
        <v>45337</v>
      </c>
      <c r="H244" s="3">
        <v>10</v>
      </c>
      <c r="I244" s="263">
        <v>6</v>
      </c>
      <c r="J244" s="249" t="s">
        <v>24</v>
      </c>
      <c r="K244" s="253"/>
    </row>
    <row r="245" spans="6:11" x14ac:dyDescent="0.3">
      <c r="F245" s="355">
        <f>ROW()-ROW(APORTACIONESOCIOS[[#Headers],[SECUENCIA]])</f>
        <v>241</v>
      </c>
      <c r="G245" s="173">
        <v>45337</v>
      </c>
      <c r="H245" s="3">
        <v>10</v>
      </c>
      <c r="I245" s="263">
        <v>7</v>
      </c>
      <c r="J245" s="249" t="s">
        <v>15</v>
      </c>
      <c r="K245" s="253"/>
    </row>
    <row r="246" spans="6:11" x14ac:dyDescent="0.3">
      <c r="F246" s="355">
        <f>ROW()-ROW(APORTACIONESOCIOS[[#Headers],[SECUENCIA]])</f>
        <v>242</v>
      </c>
      <c r="G246" s="173">
        <v>45337</v>
      </c>
      <c r="H246" s="3">
        <v>10</v>
      </c>
      <c r="I246" s="263">
        <v>8</v>
      </c>
      <c r="J246" s="249" t="s">
        <v>16</v>
      </c>
      <c r="K246" s="253"/>
    </row>
    <row r="247" spans="6:11" x14ac:dyDescent="0.3">
      <c r="F247" s="355">
        <f>ROW()-ROW(APORTACIONESOCIOS[[#Headers],[SECUENCIA]])</f>
        <v>243</v>
      </c>
      <c r="G247" s="173">
        <v>45337</v>
      </c>
      <c r="H247" s="3">
        <v>10</v>
      </c>
      <c r="I247" s="263">
        <v>9</v>
      </c>
      <c r="J247" s="249" t="s">
        <v>17</v>
      </c>
      <c r="K247" s="253"/>
    </row>
    <row r="248" spans="6:11" x14ac:dyDescent="0.3">
      <c r="F248" s="355">
        <f>ROW()-ROW(APORTACIONESOCIOS[[#Headers],[SECUENCIA]])</f>
        <v>244</v>
      </c>
      <c r="G248" s="173">
        <v>45337</v>
      </c>
      <c r="H248" s="3">
        <v>10</v>
      </c>
      <c r="I248" s="263">
        <v>10</v>
      </c>
      <c r="J248" s="249" t="s">
        <v>18</v>
      </c>
      <c r="K248" s="253"/>
    </row>
    <row r="249" spans="6:11" x14ac:dyDescent="0.3">
      <c r="F249" s="355">
        <f>ROW()-ROW(APORTACIONESOCIOS[[#Headers],[SECUENCIA]])</f>
        <v>245</v>
      </c>
      <c r="G249" s="173">
        <v>45337</v>
      </c>
      <c r="H249" s="3">
        <v>10</v>
      </c>
      <c r="I249" s="263">
        <v>11</v>
      </c>
      <c r="J249" s="249" t="s">
        <v>19</v>
      </c>
      <c r="K249" s="253"/>
    </row>
    <row r="250" spans="6:11" x14ac:dyDescent="0.3">
      <c r="F250" s="355">
        <f>ROW()-ROW(APORTACIONESOCIOS[[#Headers],[SECUENCIA]])</f>
        <v>246</v>
      </c>
      <c r="G250" s="173">
        <v>45337</v>
      </c>
      <c r="H250" s="3">
        <v>10</v>
      </c>
      <c r="I250" s="263">
        <v>12</v>
      </c>
      <c r="J250" s="249" t="s">
        <v>20</v>
      </c>
      <c r="K250" s="253"/>
    </row>
    <row r="251" spans="6:11" x14ac:dyDescent="0.3">
      <c r="F251" s="355">
        <f>ROW()-ROW(APORTACIONESOCIOS[[#Headers],[SECUENCIA]])</f>
        <v>247</v>
      </c>
      <c r="G251" s="173">
        <v>45337</v>
      </c>
      <c r="H251" s="3">
        <v>10</v>
      </c>
      <c r="I251" s="263">
        <v>14</v>
      </c>
      <c r="J251" s="249" t="s">
        <v>21</v>
      </c>
      <c r="K251" s="253"/>
    </row>
    <row r="252" spans="6:11" x14ac:dyDescent="0.3">
      <c r="F252" s="355">
        <f>ROW()-ROW(APORTACIONESOCIOS[[#Headers],[SECUENCIA]])</f>
        <v>248</v>
      </c>
      <c r="G252" s="173">
        <v>45337</v>
      </c>
      <c r="H252" s="3">
        <v>10</v>
      </c>
      <c r="I252" s="263">
        <v>15</v>
      </c>
      <c r="J252" s="249" t="s">
        <v>22</v>
      </c>
      <c r="K252" s="253"/>
    </row>
    <row r="253" spans="6:11" x14ac:dyDescent="0.3">
      <c r="F253" s="355">
        <f>ROW()-ROW(APORTACIONESOCIOS[[#Headers],[SECUENCIA]])</f>
        <v>249</v>
      </c>
      <c r="G253" s="173">
        <v>45337</v>
      </c>
      <c r="H253" s="3">
        <v>10</v>
      </c>
      <c r="I253" s="263">
        <v>16</v>
      </c>
      <c r="J253" s="249" t="s">
        <v>23</v>
      </c>
      <c r="K253" s="253"/>
    </row>
    <row r="254" spans="6:11" x14ac:dyDescent="0.3">
      <c r="F254" s="355">
        <f>ROW()-ROW(APORTACIONESOCIOS[[#Headers],[SECUENCIA]])</f>
        <v>250</v>
      </c>
      <c r="G254" s="186">
        <v>45366</v>
      </c>
      <c r="H254" s="3">
        <v>10</v>
      </c>
      <c r="I254" s="263">
        <v>3</v>
      </c>
      <c r="J254" s="249" t="s">
        <v>13</v>
      </c>
      <c r="K254" s="253"/>
    </row>
    <row r="255" spans="6:11" x14ac:dyDescent="0.3">
      <c r="F255" s="355">
        <f>ROW()-ROW(APORTACIONESOCIOS[[#Headers],[SECUENCIA]])</f>
        <v>251</v>
      </c>
      <c r="G255" s="173">
        <v>45366</v>
      </c>
      <c r="H255" s="3">
        <v>10</v>
      </c>
      <c r="I255" s="263">
        <v>4</v>
      </c>
      <c r="J255" s="249" t="s">
        <v>12</v>
      </c>
      <c r="K255" s="253"/>
    </row>
    <row r="256" spans="6:11" x14ac:dyDescent="0.3">
      <c r="F256" s="355">
        <f>ROW()-ROW(APORTACIONESOCIOS[[#Headers],[SECUENCIA]])</f>
        <v>252</v>
      </c>
      <c r="G256" s="173">
        <v>45366</v>
      </c>
      <c r="H256" s="3">
        <v>10</v>
      </c>
      <c r="I256" s="263">
        <v>5</v>
      </c>
      <c r="J256" s="249" t="s">
        <v>14</v>
      </c>
      <c r="K256" s="253"/>
    </row>
    <row r="257" spans="6:11" x14ac:dyDescent="0.3">
      <c r="F257" s="355">
        <f>ROW()-ROW(APORTACIONESOCIOS[[#Headers],[SECUENCIA]])</f>
        <v>253</v>
      </c>
      <c r="G257" s="173">
        <v>45366</v>
      </c>
      <c r="H257" s="3">
        <v>10</v>
      </c>
      <c r="I257" s="263">
        <v>6</v>
      </c>
      <c r="J257" s="249" t="s">
        <v>24</v>
      </c>
      <c r="K257" s="253"/>
    </row>
    <row r="258" spans="6:11" x14ac:dyDescent="0.3">
      <c r="F258" s="355">
        <f>ROW()-ROW(APORTACIONESOCIOS[[#Headers],[SECUENCIA]])</f>
        <v>254</v>
      </c>
      <c r="G258" s="173">
        <v>45366</v>
      </c>
      <c r="H258" s="3">
        <v>10</v>
      </c>
      <c r="I258" s="263">
        <v>7</v>
      </c>
      <c r="J258" s="249" t="s">
        <v>15</v>
      </c>
      <c r="K258" s="253"/>
    </row>
    <row r="259" spans="6:11" x14ac:dyDescent="0.3">
      <c r="F259" s="355">
        <f>ROW()-ROW(APORTACIONESOCIOS[[#Headers],[SECUENCIA]])</f>
        <v>255</v>
      </c>
      <c r="G259" s="173">
        <v>45366</v>
      </c>
      <c r="H259" s="3">
        <v>10</v>
      </c>
      <c r="I259" s="263">
        <v>8</v>
      </c>
      <c r="J259" s="249" t="s">
        <v>16</v>
      </c>
      <c r="K259" s="253"/>
    </row>
    <row r="260" spans="6:11" x14ac:dyDescent="0.3">
      <c r="F260" s="355">
        <f>ROW()-ROW(APORTACIONESOCIOS[[#Headers],[SECUENCIA]])</f>
        <v>256</v>
      </c>
      <c r="G260" s="173">
        <v>45366</v>
      </c>
      <c r="H260" s="3">
        <v>10</v>
      </c>
      <c r="I260" s="263">
        <v>9</v>
      </c>
      <c r="J260" s="249" t="s">
        <v>17</v>
      </c>
      <c r="K260" s="253"/>
    </row>
    <row r="261" spans="6:11" x14ac:dyDescent="0.3">
      <c r="F261" s="355">
        <f>ROW()-ROW(APORTACIONESOCIOS[[#Headers],[SECUENCIA]])</f>
        <v>257</v>
      </c>
      <c r="G261" s="173">
        <v>45366</v>
      </c>
      <c r="H261" s="3">
        <v>10</v>
      </c>
      <c r="I261" s="263">
        <v>10</v>
      </c>
      <c r="J261" s="249" t="s">
        <v>18</v>
      </c>
      <c r="K261" s="253"/>
    </row>
    <row r="262" spans="6:11" x14ac:dyDescent="0.3">
      <c r="F262" s="355">
        <f>ROW()-ROW(APORTACIONESOCIOS[[#Headers],[SECUENCIA]])</f>
        <v>258</v>
      </c>
      <c r="G262" s="173">
        <v>45366</v>
      </c>
      <c r="H262" s="3">
        <v>10</v>
      </c>
      <c r="I262" s="263">
        <v>11</v>
      </c>
      <c r="J262" s="249" t="s">
        <v>19</v>
      </c>
      <c r="K262" s="253"/>
    </row>
    <row r="263" spans="6:11" x14ac:dyDescent="0.3">
      <c r="F263" s="355">
        <f>ROW()-ROW(APORTACIONESOCIOS[[#Headers],[SECUENCIA]])</f>
        <v>259</v>
      </c>
      <c r="G263" s="173">
        <v>45366</v>
      </c>
      <c r="H263" s="3">
        <v>10</v>
      </c>
      <c r="I263" s="263">
        <v>12</v>
      </c>
      <c r="J263" s="249" t="s">
        <v>20</v>
      </c>
      <c r="K263" s="253"/>
    </row>
    <row r="264" spans="6:11" x14ac:dyDescent="0.3">
      <c r="F264" s="355">
        <f>ROW()-ROW(APORTACIONESOCIOS[[#Headers],[SECUENCIA]])</f>
        <v>260</v>
      </c>
      <c r="G264" s="173">
        <v>45366</v>
      </c>
      <c r="H264" s="3">
        <v>10</v>
      </c>
      <c r="I264" s="263">
        <v>14</v>
      </c>
      <c r="J264" s="249" t="s">
        <v>21</v>
      </c>
      <c r="K264" s="253"/>
    </row>
    <row r="265" spans="6:11" x14ac:dyDescent="0.3">
      <c r="F265" s="355">
        <f>ROW()-ROW(APORTACIONESOCIOS[[#Headers],[SECUENCIA]])</f>
        <v>261</v>
      </c>
      <c r="G265" s="173">
        <v>45366</v>
      </c>
      <c r="H265" s="3">
        <v>10</v>
      </c>
      <c r="I265" s="263">
        <v>15</v>
      </c>
      <c r="J265" s="249" t="s">
        <v>22</v>
      </c>
      <c r="K265" s="253"/>
    </row>
    <row r="266" spans="6:11" x14ac:dyDescent="0.3">
      <c r="F266" s="355">
        <f>ROW()-ROW(APORTACIONESOCIOS[[#Headers],[SECUENCIA]])</f>
        <v>262</v>
      </c>
      <c r="G266" s="173">
        <v>45366</v>
      </c>
      <c r="H266" s="3">
        <v>10</v>
      </c>
      <c r="I266" s="263">
        <v>16</v>
      </c>
      <c r="J266" s="249" t="s">
        <v>23</v>
      </c>
      <c r="K266" s="253"/>
    </row>
    <row r="267" spans="6:11" x14ac:dyDescent="0.3">
      <c r="F267" s="355">
        <f>ROW()-ROW(APORTACIONESOCIOS[[#Headers],[SECUENCIA]])</f>
        <v>263</v>
      </c>
      <c r="G267" s="186">
        <v>45397</v>
      </c>
      <c r="H267" s="3">
        <v>10</v>
      </c>
      <c r="I267" s="263">
        <v>3</v>
      </c>
      <c r="J267" s="249" t="s">
        <v>13</v>
      </c>
      <c r="K267" s="253"/>
    </row>
    <row r="268" spans="6:11" x14ac:dyDescent="0.3">
      <c r="F268" s="355">
        <f>ROW()-ROW(APORTACIONESOCIOS[[#Headers],[SECUENCIA]])</f>
        <v>264</v>
      </c>
      <c r="G268" s="173">
        <v>45397</v>
      </c>
      <c r="H268" s="3">
        <v>10</v>
      </c>
      <c r="I268" s="263">
        <v>4</v>
      </c>
      <c r="J268" s="249" t="s">
        <v>12</v>
      </c>
      <c r="K268" s="253"/>
    </row>
    <row r="269" spans="6:11" x14ac:dyDescent="0.3">
      <c r="F269" s="355">
        <f>ROW()-ROW(APORTACIONESOCIOS[[#Headers],[SECUENCIA]])</f>
        <v>265</v>
      </c>
      <c r="G269" s="173">
        <v>45397</v>
      </c>
      <c r="H269" s="3">
        <v>10</v>
      </c>
      <c r="I269" s="263">
        <v>5</v>
      </c>
      <c r="J269" s="249" t="s">
        <v>14</v>
      </c>
      <c r="K269" s="253"/>
    </row>
    <row r="270" spans="6:11" x14ac:dyDescent="0.3">
      <c r="F270" s="355">
        <f>ROW()-ROW(APORTACIONESOCIOS[[#Headers],[SECUENCIA]])</f>
        <v>266</v>
      </c>
      <c r="G270" s="173">
        <v>45397</v>
      </c>
      <c r="H270" s="3">
        <v>10</v>
      </c>
      <c r="I270" s="263">
        <v>6</v>
      </c>
      <c r="J270" s="249" t="s">
        <v>24</v>
      </c>
      <c r="K270" s="253"/>
    </row>
    <row r="271" spans="6:11" x14ac:dyDescent="0.3">
      <c r="F271" s="355">
        <f>ROW()-ROW(APORTACIONESOCIOS[[#Headers],[SECUENCIA]])</f>
        <v>267</v>
      </c>
      <c r="G271" s="173">
        <v>45397</v>
      </c>
      <c r="H271" s="3">
        <v>10</v>
      </c>
      <c r="I271" s="263">
        <v>7</v>
      </c>
      <c r="J271" s="249" t="s">
        <v>15</v>
      </c>
      <c r="K271" s="253"/>
    </row>
    <row r="272" spans="6:11" x14ac:dyDescent="0.3">
      <c r="F272" s="355">
        <f>ROW()-ROW(APORTACIONESOCIOS[[#Headers],[SECUENCIA]])</f>
        <v>268</v>
      </c>
      <c r="G272" s="173">
        <v>45397</v>
      </c>
      <c r="H272" s="3">
        <v>10</v>
      </c>
      <c r="I272" s="263">
        <v>8</v>
      </c>
      <c r="J272" s="249" t="s">
        <v>16</v>
      </c>
      <c r="K272" s="253"/>
    </row>
    <row r="273" spans="6:11" x14ac:dyDescent="0.3">
      <c r="F273" s="355">
        <f>ROW()-ROW(APORTACIONESOCIOS[[#Headers],[SECUENCIA]])</f>
        <v>269</v>
      </c>
      <c r="G273" s="173">
        <v>45397</v>
      </c>
      <c r="H273" s="3">
        <v>10</v>
      </c>
      <c r="I273" s="263">
        <v>9</v>
      </c>
      <c r="J273" s="249" t="s">
        <v>17</v>
      </c>
      <c r="K273" s="253"/>
    </row>
    <row r="274" spans="6:11" x14ac:dyDescent="0.3">
      <c r="F274" s="355">
        <f>ROW()-ROW(APORTACIONESOCIOS[[#Headers],[SECUENCIA]])</f>
        <v>270</v>
      </c>
      <c r="G274" s="173">
        <v>45397</v>
      </c>
      <c r="H274" s="3">
        <v>10</v>
      </c>
      <c r="I274" s="263">
        <v>10</v>
      </c>
      <c r="J274" s="249" t="s">
        <v>18</v>
      </c>
      <c r="K274" s="253"/>
    </row>
    <row r="275" spans="6:11" x14ac:dyDescent="0.3">
      <c r="F275" s="355">
        <f>ROW()-ROW(APORTACIONESOCIOS[[#Headers],[SECUENCIA]])</f>
        <v>271</v>
      </c>
      <c r="G275" s="173">
        <v>45397</v>
      </c>
      <c r="H275" s="3">
        <v>10</v>
      </c>
      <c r="I275" s="263">
        <v>11</v>
      </c>
      <c r="J275" s="249" t="s">
        <v>19</v>
      </c>
      <c r="K275" s="253"/>
    </row>
    <row r="276" spans="6:11" x14ac:dyDescent="0.3">
      <c r="F276" s="355">
        <f>ROW()-ROW(APORTACIONESOCIOS[[#Headers],[SECUENCIA]])</f>
        <v>272</v>
      </c>
      <c r="G276" s="173">
        <v>45397</v>
      </c>
      <c r="H276" s="3">
        <v>10</v>
      </c>
      <c r="I276" s="263">
        <v>12</v>
      </c>
      <c r="J276" s="249" t="s">
        <v>20</v>
      </c>
      <c r="K276" s="253"/>
    </row>
    <row r="277" spans="6:11" x14ac:dyDescent="0.3">
      <c r="F277" s="355">
        <f>ROW()-ROW(APORTACIONESOCIOS[[#Headers],[SECUENCIA]])</f>
        <v>273</v>
      </c>
      <c r="G277" s="173">
        <v>45397</v>
      </c>
      <c r="H277" s="3">
        <v>10</v>
      </c>
      <c r="I277" s="263">
        <v>14</v>
      </c>
      <c r="J277" s="249" t="s">
        <v>21</v>
      </c>
      <c r="K277" s="253"/>
    </row>
    <row r="278" spans="6:11" x14ac:dyDescent="0.3">
      <c r="F278" s="355">
        <f>ROW()-ROW(APORTACIONESOCIOS[[#Headers],[SECUENCIA]])</f>
        <v>274</v>
      </c>
      <c r="G278" s="173">
        <v>45397</v>
      </c>
      <c r="H278" s="3">
        <v>10</v>
      </c>
      <c r="I278" s="263">
        <v>15</v>
      </c>
      <c r="J278" s="249" t="s">
        <v>22</v>
      </c>
      <c r="K278" s="253"/>
    </row>
    <row r="279" spans="6:11" x14ac:dyDescent="0.3">
      <c r="F279" s="355">
        <f>ROW()-ROW(APORTACIONESOCIOS[[#Headers],[SECUENCIA]])</f>
        <v>275</v>
      </c>
      <c r="G279" s="173">
        <v>45397</v>
      </c>
      <c r="H279" s="3">
        <v>10</v>
      </c>
      <c r="I279" s="263">
        <v>16</v>
      </c>
      <c r="J279" s="249" t="s">
        <v>23</v>
      </c>
      <c r="K279" s="253"/>
    </row>
    <row r="280" spans="6:11" x14ac:dyDescent="0.3">
      <c r="F280" s="355">
        <f>ROW()-ROW(APORTACIONESOCIOS[[#Headers],[SECUENCIA]])</f>
        <v>276</v>
      </c>
      <c r="G280" s="186">
        <v>45427</v>
      </c>
      <c r="H280" s="3">
        <v>10</v>
      </c>
      <c r="I280" s="263">
        <v>3</v>
      </c>
      <c r="J280" s="249" t="s">
        <v>13</v>
      </c>
      <c r="K280" s="253"/>
    </row>
    <row r="281" spans="6:11" x14ac:dyDescent="0.3">
      <c r="F281" s="355">
        <f>ROW()-ROW(APORTACIONESOCIOS[[#Headers],[SECUENCIA]])</f>
        <v>277</v>
      </c>
      <c r="G281" s="173">
        <v>45427</v>
      </c>
      <c r="H281" s="3">
        <v>10</v>
      </c>
      <c r="I281" s="263">
        <v>4</v>
      </c>
      <c r="J281" s="249" t="s">
        <v>12</v>
      </c>
      <c r="K281" s="253"/>
    </row>
    <row r="282" spans="6:11" x14ac:dyDescent="0.3">
      <c r="F282" s="355">
        <f>ROW()-ROW(APORTACIONESOCIOS[[#Headers],[SECUENCIA]])</f>
        <v>278</v>
      </c>
      <c r="G282" s="173">
        <v>45427</v>
      </c>
      <c r="H282" s="3">
        <v>10</v>
      </c>
      <c r="I282" s="263">
        <v>5</v>
      </c>
      <c r="J282" s="249" t="s">
        <v>14</v>
      </c>
      <c r="K282" s="253"/>
    </row>
    <row r="283" spans="6:11" x14ac:dyDescent="0.3">
      <c r="F283" s="355">
        <f>ROW()-ROW(APORTACIONESOCIOS[[#Headers],[SECUENCIA]])</f>
        <v>279</v>
      </c>
      <c r="G283" s="173">
        <v>45427</v>
      </c>
      <c r="H283" s="3">
        <v>10</v>
      </c>
      <c r="I283" s="263">
        <v>6</v>
      </c>
      <c r="J283" s="249" t="s">
        <v>24</v>
      </c>
      <c r="K283" s="253"/>
    </row>
    <row r="284" spans="6:11" x14ac:dyDescent="0.3">
      <c r="F284" s="355">
        <f>ROW()-ROW(APORTACIONESOCIOS[[#Headers],[SECUENCIA]])</f>
        <v>280</v>
      </c>
      <c r="G284" s="173">
        <v>45427</v>
      </c>
      <c r="H284" s="3">
        <v>10</v>
      </c>
      <c r="I284" s="263">
        <v>7</v>
      </c>
      <c r="J284" s="249" t="s">
        <v>15</v>
      </c>
      <c r="K284" s="253"/>
    </row>
    <row r="285" spans="6:11" x14ac:dyDescent="0.3">
      <c r="F285" s="355">
        <f>ROW()-ROW(APORTACIONESOCIOS[[#Headers],[SECUENCIA]])</f>
        <v>281</v>
      </c>
      <c r="G285" s="173">
        <v>45427</v>
      </c>
      <c r="H285" s="3">
        <v>10</v>
      </c>
      <c r="I285" s="263">
        <v>8</v>
      </c>
      <c r="J285" s="249" t="s">
        <v>16</v>
      </c>
      <c r="K285" s="253"/>
    </row>
    <row r="286" spans="6:11" x14ac:dyDescent="0.3">
      <c r="F286" s="355">
        <f>ROW()-ROW(APORTACIONESOCIOS[[#Headers],[SECUENCIA]])</f>
        <v>282</v>
      </c>
      <c r="G286" s="173">
        <v>45427</v>
      </c>
      <c r="H286" s="3">
        <v>10</v>
      </c>
      <c r="I286" s="263">
        <v>9</v>
      </c>
      <c r="J286" s="249" t="s">
        <v>17</v>
      </c>
      <c r="K286" s="253"/>
    </row>
    <row r="287" spans="6:11" x14ac:dyDescent="0.3">
      <c r="F287" s="355">
        <f>ROW()-ROW(APORTACIONESOCIOS[[#Headers],[SECUENCIA]])</f>
        <v>283</v>
      </c>
      <c r="G287" s="173">
        <v>45427</v>
      </c>
      <c r="H287" s="3">
        <v>10</v>
      </c>
      <c r="I287" s="263">
        <v>10</v>
      </c>
      <c r="J287" s="249" t="s">
        <v>18</v>
      </c>
      <c r="K287" s="253"/>
    </row>
    <row r="288" spans="6:11" x14ac:dyDescent="0.3">
      <c r="F288" s="355">
        <f>ROW()-ROW(APORTACIONESOCIOS[[#Headers],[SECUENCIA]])</f>
        <v>284</v>
      </c>
      <c r="G288" s="173">
        <v>45427</v>
      </c>
      <c r="H288" s="3">
        <v>10</v>
      </c>
      <c r="I288" s="263">
        <v>11</v>
      </c>
      <c r="J288" s="249" t="s">
        <v>19</v>
      </c>
      <c r="K288" s="253"/>
    </row>
    <row r="289" spans="6:11" x14ac:dyDescent="0.3">
      <c r="F289" s="355">
        <f>ROW()-ROW(APORTACIONESOCIOS[[#Headers],[SECUENCIA]])</f>
        <v>285</v>
      </c>
      <c r="G289" s="173">
        <v>45427</v>
      </c>
      <c r="H289" s="3">
        <v>10</v>
      </c>
      <c r="I289" s="263">
        <v>12</v>
      </c>
      <c r="J289" s="249" t="s">
        <v>20</v>
      </c>
      <c r="K289" s="253"/>
    </row>
    <row r="290" spans="6:11" x14ac:dyDescent="0.3">
      <c r="F290" s="355">
        <f>ROW()-ROW(APORTACIONESOCIOS[[#Headers],[SECUENCIA]])</f>
        <v>286</v>
      </c>
      <c r="G290" s="173">
        <v>45427</v>
      </c>
      <c r="H290" s="3">
        <v>10</v>
      </c>
      <c r="I290" s="263">
        <v>14</v>
      </c>
      <c r="J290" s="249" t="s">
        <v>21</v>
      </c>
      <c r="K290" s="253"/>
    </row>
    <row r="291" spans="6:11" x14ac:dyDescent="0.3">
      <c r="F291" s="355">
        <f>ROW()-ROW(APORTACIONESOCIOS[[#Headers],[SECUENCIA]])</f>
        <v>287</v>
      </c>
      <c r="G291" s="173">
        <v>45427</v>
      </c>
      <c r="H291" s="3">
        <v>10</v>
      </c>
      <c r="I291" s="263">
        <v>15</v>
      </c>
      <c r="J291" s="249" t="s">
        <v>22</v>
      </c>
      <c r="K291" s="253"/>
    </row>
    <row r="292" spans="6:11" x14ac:dyDescent="0.3">
      <c r="F292" s="355">
        <f>ROW()-ROW(APORTACIONESOCIOS[[#Headers],[SECUENCIA]])</f>
        <v>288</v>
      </c>
      <c r="G292" s="173">
        <v>45427</v>
      </c>
      <c r="H292" s="3">
        <v>10</v>
      </c>
      <c r="I292" s="263">
        <v>16</v>
      </c>
      <c r="J292" s="249" t="s">
        <v>23</v>
      </c>
      <c r="K292" s="253"/>
    </row>
    <row r="293" spans="6:11" x14ac:dyDescent="0.3">
      <c r="F293" s="355">
        <f>ROW()-ROW(APORTACIONESOCIOS[[#Headers],[SECUENCIA]])</f>
        <v>289</v>
      </c>
      <c r="G293" s="186">
        <v>45458</v>
      </c>
      <c r="H293" s="3">
        <v>10</v>
      </c>
      <c r="I293" s="263">
        <v>3</v>
      </c>
      <c r="J293" s="249" t="s">
        <v>13</v>
      </c>
      <c r="K293" s="253"/>
    </row>
    <row r="294" spans="6:11" x14ac:dyDescent="0.3">
      <c r="F294" s="355">
        <f>ROW()-ROW(APORTACIONESOCIOS[[#Headers],[SECUENCIA]])</f>
        <v>290</v>
      </c>
      <c r="G294" s="173">
        <v>45458</v>
      </c>
      <c r="H294" s="3">
        <v>10</v>
      </c>
      <c r="I294" s="263">
        <v>4</v>
      </c>
      <c r="J294" s="249" t="s">
        <v>12</v>
      </c>
      <c r="K294" s="253"/>
    </row>
    <row r="295" spans="6:11" x14ac:dyDescent="0.3">
      <c r="F295" s="355">
        <f>ROW()-ROW(APORTACIONESOCIOS[[#Headers],[SECUENCIA]])</f>
        <v>291</v>
      </c>
      <c r="G295" s="173">
        <v>45458</v>
      </c>
      <c r="H295" s="3">
        <v>10</v>
      </c>
      <c r="I295" s="263">
        <v>5</v>
      </c>
      <c r="J295" s="249" t="s">
        <v>14</v>
      </c>
      <c r="K295" s="253"/>
    </row>
    <row r="296" spans="6:11" x14ac:dyDescent="0.3">
      <c r="F296" s="355">
        <f>ROW()-ROW(APORTACIONESOCIOS[[#Headers],[SECUENCIA]])</f>
        <v>292</v>
      </c>
      <c r="G296" s="173">
        <v>45458</v>
      </c>
      <c r="H296" s="3">
        <v>10</v>
      </c>
      <c r="I296" s="263">
        <v>6</v>
      </c>
      <c r="J296" s="249" t="s">
        <v>24</v>
      </c>
      <c r="K296" s="253"/>
    </row>
    <row r="297" spans="6:11" x14ac:dyDescent="0.3">
      <c r="F297" s="355">
        <f>ROW()-ROW(APORTACIONESOCIOS[[#Headers],[SECUENCIA]])</f>
        <v>293</v>
      </c>
      <c r="G297" s="173">
        <v>45458</v>
      </c>
      <c r="H297" s="3">
        <v>10</v>
      </c>
      <c r="I297" s="263">
        <v>7</v>
      </c>
      <c r="J297" s="249" t="s">
        <v>15</v>
      </c>
      <c r="K297" s="253"/>
    </row>
    <row r="298" spans="6:11" x14ac:dyDescent="0.3">
      <c r="F298" s="355">
        <f>ROW()-ROW(APORTACIONESOCIOS[[#Headers],[SECUENCIA]])</f>
        <v>294</v>
      </c>
      <c r="G298" s="173">
        <v>45458</v>
      </c>
      <c r="H298" s="3">
        <v>10</v>
      </c>
      <c r="I298" s="263">
        <v>8</v>
      </c>
      <c r="J298" s="249" t="s">
        <v>16</v>
      </c>
      <c r="K298" s="253"/>
    </row>
    <row r="299" spans="6:11" x14ac:dyDescent="0.3">
      <c r="F299" s="355">
        <f>ROW()-ROW(APORTACIONESOCIOS[[#Headers],[SECUENCIA]])</f>
        <v>295</v>
      </c>
      <c r="G299" s="173">
        <v>45458</v>
      </c>
      <c r="H299" s="3">
        <v>10</v>
      </c>
      <c r="I299" s="263">
        <v>9</v>
      </c>
      <c r="J299" s="249" t="s">
        <v>17</v>
      </c>
      <c r="K299" s="253"/>
    </row>
    <row r="300" spans="6:11" x14ac:dyDescent="0.3">
      <c r="F300" s="355">
        <f>ROW()-ROW(APORTACIONESOCIOS[[#Headers],[SECUENCIA]])</f>
        <v>296</v>
      </c>
      <c r="G300" s="173">
        <v>45458</v>
      </c>
      <c r="H300" s="3">
        <v>10</v>
      </c>
      <c r="I300" s="263">
        <v>10</v>
      </c>
      <c r="J300" s="249" t="s">
        <v>18</v>
      </c>
      <c r="K300" s="253"/>
    </row>
    <row r="301" spans="6:11" x14ac:dyDescent="0.3">
      <c r="F301" s="355">
        <f>ROW()-ROW(APORTACIONESOCIOS[[#Headers],[SECUENCIA]])</f>
        <v>297</v>
      </c>
      <c r="G301" s="173">
        <v>45458</v>
      </c>
      <c r="H301" s="3">
        <v>10</v>
      </c>
      <c r="I301" s="263">
        <v>11</v>
      </c>
      <c r="J301" s="249" t="s">
        <v>19</v>
      </c>
      <c r="K301" s="253"/>
    </row>
    <row r="302" spans="6:11" x14ac:dyDescent="0.3">
      <c r="F302" s="355">
        <f>ROW()-ROW(APORTACIONESOCIOS[[#Headers],[SECUENCIA]])</f>
        <v>298</v>
      </c>
      <c r="G302" s="173">
        <v>45458</v>
      </c>
      <c r="H302" s="3">
        <v>10</v>
      </c>
      <c r="I302" s="263">
        <v>12</v>
      </c>
      <c r="J302" s="249" t="s">
        <v>20</v>
      </c>
      <c r="K302" s="253"/>
    </row>
    <row r="303" spans="6:11" x14ac:dyDescent="0.3">
      <c r="F303" s="355">
        <f>ROW()-ROW(APORTACIONESOCIOS[[#Headers],[SECUENCIA]])</f>
        <v>299</v>
      </c>
      <c r="G303" s="173">
        <v>45458</v>
      </c>
      <c r="H303" s="3">
        <v>10</v>
      </c>
      <c r="I303" s="263">
        <v>14</v>
      </c>
      <c r="J303" s="249" t="s">
        <v>21</v>
      </c>
      <c r="K303" s="253"/>
    </row>
    <row r="304" spans="6:11" x14ac:dyDescent="0.3">
      <c r="F304" s="355">
        <f>ROW()-ROW(APORTACIONESOCIOS[[#Headers],[SECUENCIA]])</f>
        <v>300</v>
      </c>
      <c r="G304" s="173">
        <v>45458</v>
      </c>
      <c r="H304" s="3">
        <v>10</v>
      </c>
      <c r="I304" s="263">
        <v>15</v>
      </c>
      <c r="J304" s="249" t="s">
        <v>22</v>
      </c>
      <c r="K304" s="253"/>
    </row>
    <row r="305" spans="6:11" x14ac:dyDescent="0.3">
      <c r="F305" s="355">
        <f>ROW()-ROW(APORTACIONESOCIOS[[#Headers],[SECUENCIA]])</f>
        <v>301</v>
      </c>
      <c r="G305" s="173">
        <v>45458</v>
      </c>
      <c r="H305" s="3">
        <v>10</v>
      </c>
      <c r="I305" s="263">
        <v>16</v>
      </c>
      <c r="J305" s="249" t="s">
        <v>23</v>
      </c>
      <c r="K305" s="253"/>
    </row>
    <row r="306" spans="6:11" x14ac:dyDescent="0.3">
      <c r="F306" s="355">
        <f>ROW()-ROW(APORTACIONESOCIOS[[#Headers],[SECUENCIA]])</f>
        <v>302</v>
      </c>
      <c r="G306" s="186">
        <v>45488</v>
      </c>
      <c r="H306" s="3">
        <v>10</v>
      </c>
      <c r="I306" s="263">
        <v>3</v>
      </c>
      <c r="J306" s="249" t="s">
        <v>13</v>
      </c>
      <c r="K306" s="253"/>
    </row>
    <row r="307" spans="6:11" x14ac:dyDescent="0.3">
      <c r="F307" s="355">
        <f>ROW()-ROW(APORTACIONESOCIOS[[#Headers],[SECUENCIA]])</f>
        <v>303</v>
      </c>
      <c r="G307" s="173">
        <v>45488</v>
      </c>
      <c r="H307" s="3">
        <v>10</v>
      </c>
      <c r="I307" s="263">
        <v>4</v>
      </c>
      <c r="J307" s="249" t="s">
        <v>12</v>
      </c>
      <c r="K307" s="253"/>
    </row>
    <row r="308" spans="6:11" x14ac:dyDescent="0.3">
      <c r="F308" s="355">
        <f>ROW()-ROW(APORTACIONESOCIOS[[#Headers],[SECUENCIA]])</f>
        <v>304</v>
      </c>
      <c r="G308" s="173">
        <v>45488</v>
      </c>
      <c r="H308" s="3">
        <v>10</v>
      </c>
      <c r="I308" s="263">
        <v>5</v>
      </c>
      <c r="J308" s="249" t="s">
        <v>14</v>
      </c>
      <c r="K308" s="253"/>
    </row>
    <row r="309" spans="6:11" x14ac:dyDescent="0.3">
      <c r="F309" s="355">
        <f>ROW()-ROW(APORTACIONESOCIOS[[#Headers],[SECUENCIA]])</f>
        <v>305</v>
      </c>
      <c r="G309" s="173">
        <v>45488</v>
      </c>
      <c r="H309" s="3">
        <v>10</v>
      </c>
      <c r="I309" s="263">
        <v>6</v>
      </c>
      <c r="J309" s="249" t="s">
        <v>24</v>
      </c>
      <c r="K309" s="253"/>
    </row>
    <row r="310" spans="6:11" x14ac:dyDescent="0.3">
      <c r="F310" s="355">
        <f>ROW()-ROW(APORTACIONESOCIOS[[#Headers],[SECUENCIA]])</f>
        <v>306</v>
      </c>
      <c r="G310" s="173">
        <v>45488</v>
      </c>
      <c r="H310" s="3">
        <v>10</v>
      </c>
      <c r="I310" s="263">
        <v>7</v>
      </c>
      <c r="J310" s="249" t="s">
        <v>15</v>
      </c>
      <c r="K310" s="253"/>
    </row>
    <row r="311" spans="6:11" x14ac:dyDescent="0.3">
      <c r="F311" s="355">
        <f>ROW()-ROW(APORTACIONESOCIOS[[#Headers],[SECUENCIA]])</f>
        <v>307</v>
      </c>
      <c r="G311" s="173">
        <v>45488</v>
      </c>
      <c r="H311" s="3">
        <v>10</v>
      </c>
      <c r="I311" s="263">
        <v>8</v>
      </c>
      <c r="J311" s="249" t="s">
        <v>16</v>
      </c>
      <c r="K311" s="253"/>
    </row>
    <row r="312" spans="6:11" x14ac:dyDescent="0.3">
      <c r="F312" s="355">
        <f>ROW()-ROW(APORTACIONESOCIOS[[#Headers],[SECUENCIA]])</f>
        <v>308</v>
      </c>
      <c r="G312" s="173">
        <v>45488</v>
      </c>
      <c r="H312" s="3">
        <v>10</v>
      </c>
      <c r="I312" s="263">
        <v>9</v>
      </c>
      <c r="J312" s="249" t="s">
        <v>17</v>
      </c>
      <c r="K312" s="253"/>
    </row>
    <row r="313" spans="6:11" x14ac:dyDescent="0.3">
      <c r="F313" s="355">
        <f>ROW()-ROW(APORTACIONESOCIOS[[#Headers],[SECUENCIA]])</f>
        <v>309</v>
      </c>
      <c r="G313" s="173">
        <v>45488</v>
      </c>
      <c r="H313" s="3">
        <v>10</v>
      </c>
      <c r="I313" s="263">
        <v>10</v>
      </c>
      <c r="J313" s="249" t="s">
        <v>18</v>
      </c>
      <c r="K313" s="253"/>
    </row>
    <row r="314" spans="6:11" x14ac:dyDescent="0.3">
      <c r="F314" s="355">
        <f>ROW()-ROW(APORTACIONESOCIOS[[#Headers],[SECUENCIA]])</f>
        <v>310</v>
      </c>
      <c r="G314" s="173">
        <v>45488</v>
      </c>
      <c r="H314" s="3">
        <v>10</v>
      </c>
      <c r="I314" s="263">
        <v>11</v>
      </c>
      <c r="J314" s="249" t="s">
        <v>19</v>
      </c>
      <c r="K314" s="253"/>
    </row>
    <row r="315" spans="6:11" x14ac:dyDescent="0.3">
      <c r="F315" s="355">
        <f>ROW()-ROW(APORTACIONESOCIOS[[#Headers],[SECUENCIA]])</f>
        <v>311</v>
      </c>
      <c r="G315" s="173">
        <v>45488</v>
      </c>
      <c r="H315" s="3">
        <v>10</v>
      </c>
      <c r="I315" s="263">
        <v>12</v>
      </c>
      <c r="J315" s="249" t="s">
        <v>20</v>
      </c>
      <c r="K315" s="253"/>
    </row>
    <row r="316" spans="6:11" x14ac:dyDescent="0.3">
      <c r="F316" s="355">
        <f>ROW()-ROW(APORTACIONESOCIOS[[#Headers],[SECUENCIA]])</f>
        <v>312</v>
      </c>
      <c r="G316" s="173">
        <v>45488</v>
      </c>
      <c r="H316" s="3">
        <v>10</v>
      </c>
      <c r="I316" s="263">
        <v>14</v>
      </c>
      <c r="J316" s="249" t="s">
        <v>21</v>
      </c>
      <c r="K316" s="253"/>
    </row>
    <row r="317" spans="6:11" x14ac:dyDescent="0.3">
      <c r="F317" s="355">
        <f>ROW()-ROW(APORTACIONESOCIOS[[#Headers],[SECUENCIA]])</f>
        <v>313</v>
      </c>
      <c r="G317" s="173">
        <v>45488</v>
      </c>
      <c r="H317" s="3">
        <v>10</v>
      </c>
      <c r="I317" s="263">
        <v>15</v>
      </c>
      <c r="J317" s="249" t="s">
        <v>22</v>
      </c>
      <c r="K317" s="253"/>
    </row>
    <row r="318" spans="6:11" x14ac:dyDescent="0.3">
      <c r="F318" s="355">
        <f>ROW()-ROW(APORTACIONESOCIOS[[#Headers],[SECUENCIA]])</f>
        <v>314</v>
      </c>
      <c r="G318" s="173">
        <v>45488</v>
      </c>
      <c r="H318" s="3">
        <v>10</v>
      </c>
      <c r="I318" s="263">
        <v>16</v>
      </c>
      <c r="J318" s="249" t="s">
        <v>23</v>
      </c>
      <c r="K318" s="253"/>
    </row>
    <row r="319" spans="6:11" x14ac:dyDescent="0.3">
      <c r="F319" s="355">
        <f>ROW()-ROW(APORTACIONESOCIOS[[#Headers],[SECUENCIA]])</f>
        <v>315</v>
      </c>
      <c r="G319" s="186">
        <v>45519</v>
      </c>
      <c r="H319" s="3">
        <v>10</v>
      </c>
      <c r="I319" s="263">
        <v>3</v>
      </c>
      <c r="J319" s="249" t="s">
        <v>13</v>
      </c>
      <c r="K319" s="253"/>
    </row>
    <row r="320" spans="6:11" x14ac:dyDescent="0.3">
      <c r="F320" s="355">
        <f>ROW()-ROW(APORTACIONESOCIOS[[#Headers],[SECUENCIA]])</f>
        <v>316</v>
      </c>
      <c r="G320" s="173">
        <v>45519</v>
      </c>
      <c r="H320" s="3">
        <v>10</v>
      </c>
      <c r="I320" s="263">
        <v>4</v>
      </c>
      <c r="J320" s="249" t="s">
        <v>12</v>
      </c>
      <c r="K320" s="253"/>
    </row>
    <row r="321" spans="6:11" x14ac:dyDescent="0.3">
      <c r="F321" s="355">
        <f>ROW()-ROW(APORTACIONESOCIOS[[#Headers],[SECUENCIA]])</f>
        <v>317</v>
      </c>
      <c r="G321" s="173">
        <v>45519</v>
      </c>
      <c r="H321" s="3">
        <v>10</v>
      </c>
      <c r="I321" s="263">
        <v>5</v>
      </c>
      <c r="J321" s="249" t="s">
        <v>14</v>
      </c>
      <c r="K321" s="253"/>
    </row>
    <row r="322" spans="6:11" x14ac:dyDescent="0.3">
      <c r="F322" s="355">
        <f>ROW()-ROW(APORTACIONESOCIOS[[#Headers],[SECUENCIA]])</f>
        <v>318</v>
      </c>
      <c r="G322" s="173">
        <v>45519</v>
      </c>
      <c r="H322" s="3">
        <v>10</v>
      </c>
      <c r="I322" s="263">
        <v>6</v>
      </c>
      <c r="J322" s="249" t="s">
        <v>24</v>
      </c>
      <c r="K322" s="253"/>
    </row>
    <row r="323" spans="6:11" x14ac:dyDescent="0.3">
      <c r="F323" s="355">
        <f>ROW()-ROW(APORTACIONESOCIOS[[#Headers],[SECUENCIA]])</f>
        <v>319</v>
      </c>
      <c r="G323" s="173">
        <v>45519</v>
      </c>
      <c r="H323" s="3">
        <v>10</v>
      </c>
      <c r="I323" s="263">
        <v>7</v>
      </c>
      <c r="J323" s="249" t="s">
        <v>15</v>
      </c>
      <c r="K323" s="253"/>
    </row>
    <row r="324" spans="6:11" x14ac:dyDescent="0.3">
      <c r="F324" s="355">
        <f>ROW()-ROW(APORTACIONESOCIOS[[#Headers],[SECUENCIA]])</f>
        <v>320</v>
      </c>
      <c r="G324" s="173">
        <v>45519</v>
      </c>
      <c r="H324" s="3">
        <v>10</v>
      </c>
      <c r="I324" s="263">
        <v>8</v>
      </c>
      <c r="J324" s="249" t="s">
        <v>16</v>
      </c>
      <c r="K324" s="253"/>
    </row>
    <row r="325" spans="6:11" x14ac:dyDescent="0.3">
      <c r="F325" s="355">
        <f>ROW()-ROW(APORTACIONESOCIOS[[#Headers],[SECUENCIA]])</f>
        <v>321</v>
      </c>
      <c r="G325" s="173">
        <v>45519</v>
      </c>
      <c r="H325" s="3">
        <v>10</v>
      </c>
      <c r="I325" s="263">
        <v>9</v>
      </c>
      <c r="J325" s="249" t="s">
        <v>17</v>
      </c>
      <c r="K325" s="253"/>
    </row>
    <row r="326" spans="6:11" x14ac:dyDescent="0.3">
      <c r="F326" s="355">
        <f>ROW()-ROW(APORTACIONESOCIOS[[#Headers],[SECUENCIA]])</f>
        <v>322</v>
      </c>
      <c r="G326" s="173">
        <v>45519</v>
      </c>
      <c r="H326" s="3">
        <v>10</v>
      </c>
      <c r="I326" s="263">
        <v>10</v>
      </c>
      <c r="J326" s="249" t="s">
        <v>18</v>
      </c>
      <c r="K326" s="253"/>
    </row>
    <row r="327" spans="6:11" x14ac:dyDescent="0.3">
      <c r="F327" s="355">
        <f>ROW()-ROW(APORTACIONESOCIOS[[#Headers],[SECUENCIA]])</f>
        <v>323</v>
      </c>
      <c r="G327" s="173">
        <v>45519</v>
      </c>
      <c r="H327" s="3">
        <v>10</v>
      </c>
      <c r="I327" s="263">
        <v>11</v>
      </c>
      <c r="J327" s="249" t="s">
        <v>19</v>
      </c>
      <c r="K327" s="253"/>
    </row>
    <row r="328" spans="6:11" x14ac:dyDescent="0.3">
      <c r="F328" s="355">
        <f>ROW()-ROW(APORTACIONESOCIOS[[#Headers],[SECUENCIA]])</f>
        <v>324</v>
      </c>
      <c r="G328" s="173">
        <v>45519</v>
      </c>
      <c r="H328" s="3">
        <v>10</v>
      </c>
      <c r="I328" s="263">
        <v>12</v>
      </c>
      <c r="J328" s="249" t="s">
        <v>20</v>
      </c>
      <c r="K328" s="253"/>
    </row>
    <row r="329" spans="6:11" x14ac:dyDescent="0.3">
      <c r="F329" s="355">
        <f>ROW()-ROW(APORTACIONESOCIOS[[#Headers],[SECUENCIA]])</f>
        <v>325</v>
      </c>
      <c r="G329" s="173">
        <v>45519</v>
      </c>
      <c r="H329" s="3">
        <v>10</v>
      </c>
      <c r="I329" s="263">
        <v>14</v>
      </c>
      <c r="J329" s="249" t="s">
        <v>21</v>
      </c>
      <c r="K329" s="253"/>
    </row>
    <row r="330" spans="6:11" x14ac:dyDescent="0.3">
      <c r="F330" s="355">
        <f>ROW()-ROW(APORTACIONESOCIOS[[#Headers],[SECUENCIA]])</f>
        <v>326</v>
      </c>
      <c r="G330" s="173">
        <v>45519</v>
      </c>
      <c r="H330" s="3">
        <v>10</v>
      </c>
      <c r="I330" s="263">
        <v>15</v>
      </c>
      <c r="J330" s="249" t="s">
        <v>22</v>
      </c>
      <c r="K330" s="253"/>
    </row>
    <row r="331" spans="6:11" x14ac:dyDescent="0.3">
      <c r="F331" s="355">
        <f>ROW()-ROW(APORTACIONESOCIOS[[#Headers],[SECUENCIA]])</f>
        <v>327</v>
      </c>
      <c r="G331" s="173">
        <v>45519</v>
      </c>
      <c r="H331" s="3">
        <v>10</v>
      </c>
      <c r="I331" s="263">
        <v>16</v>
      </c>
      <c r="J331" s="249" t="s">
        <v>23</v>
      </c>
      <c r="K331" s="253"/>
    </row>
    <row r="332" spans="6:11" x14ac:dyDescent="0.3">
      <c r="F332" s="355">
        <f>ROW()-ROW(APORTACIONESOCIOS[[#Headers],[SECUENCIA]])</f>
        <v>328</v>
      </c>
      <c r="G332" s="186">
        <v>45550</v>
      </c>
      <c r="H332" s="3">
        <v>10</v>
      </c>
      <c r="I332" s="263">
        <v>3</v>
      </c>
      <c r="J332" s="249" t="s">
        <v>13</v>
      </c>
      <c r="K332" s="253"/>
    </row>
    <row r="333" spans="6:11" x14ac:dyDescent="0.3">
      <c r="F333" s="355">
        <f>ROW()-ROW(APORTACIONESOCIOS[[#Headers],[SECUENCIA]])</f>
        <v>329</v>
      </c>
      <c r="G333" s="173">
        <v>45550</v>
      </c>
      <c r="H333" s="3">
        <v>10</v>
      </c>
      <c r="I333" s="263">
        <v>4</v>
      </c>
      <c r="J333" s="249" t="s">
        <v>12</v>
      </c>
      <c r="K333" s="253"/>
    </row>
    <row r="334" spans="6:11" x14ac:dyDescent="0.3">
      <c r="F334" s="355">
        <f>ROW()-ROW(APORTACIONESOCIOS[[#Headers],[SECUENCIA]])</f>
        <v>330</v>
      </c>
      <c r="G334" s="173">
        <v>45550</v>
      </c>
      <c r="H334" s="3">
        <v>10</v>
      </c>
      <c r="I334" s="263">
        <v>5</v>
      </c>
      <c r="J334" s="249" t="s">
        <v>14</v>
      </c>
      <c r="K334" s="253"/>
    </row>
    <row r="335" spans="6:11" x14ac:dyDescent="0.3">
      <c r="F335" s="355">
        <f>ROW()-ROW(APORTACIONESOCIOS[[#Headers],[SECUENCIA]])</f>
        <v>331</v>
      </c>
      <c r="G335" s="173">
        <v>45550</v>
      </c>
      <c r="H335" s="3">
        <v>10</v>
      </c>
      <c r="I335" s="263">
        <v>6</v>
      </c>
      <c r="J335" s="249" t="s">
        <v>24</v>
      </c>
      <c r="K335" s="253"/>
    </row>
    <row r="336" spans="6:11" x14ac:dyDescent="0.3">
      <c r="F336" s="355">
        <f>ROW()-ROW(APORTACIONESOCIOS[[#Headers],[SECUENCIA]])</f>
        <v>332</v>
      </c>
      <c r="G336" s="173">
        <v>45550</v>
      </c>
      <c r="H336" s="3">
        <v>10</v>
      </c>
      <c r="I336" s="263">
        <v>7</v>
      </c>
      <c r="J336" s="249" t="s">
        <v>15</v>
      </c>
      <c r="K336" s="253"/>
    </row>
    <row r="337" spans="6:11" x14ac:dyDescent="0.3">
      <c r="F337" s="355">
        <f>ROW()-ROW(APORTACIONESOCIOS[[#Headers],[SECUENCIA]])</f>
        <v>333</v>
      </c>
      <c r="G337" s="173">
        <v>45550</v>
      </c>
      <c r="H337" s="3">
        <v>10</v>
      </c>
      <c r="I337" s="263">
        <v>8</v>
      </c>
      <c r="J337" s="249" t="s">
        <v>16</v>
      </c>
      <c r="K337" s="253"/>
    </row>
    <row r="338" spans="6:11" x14ac:dyDescent="0.3">
      <c r="F338" s="355">
        <f>ROW()-ROW(APORTACIONESOCIOS[[#Headers],[SECUENCIA]])</f>
        <v>334</v>
      </c>
      <c r="G338" s="173">
        <v>45550</v>
      </c>
      <c r="H338" s="3">
        <v>10</v>
      </c>
      <c r="I338" s="263">
        <v>9</v>
      </c>
      <c r="J338" s="249" t="s">
        <v>17</v>
      </c>
      <c r="K338" s="253"/>
    </row>
    <row r="339" spans="6:11" x14ac:dyDescent="0.3">
      <c r="F339" s="355">
        <f>ROW()-ROW(APORTACIONESOCIOS[[#Headers],[SECUENCIA]])</f>
        <v>335</v>
      </c>
      <c r="G339" s="173">
        <v>45550</v>
      </c>
      <c r="H339" s="3">
        <v>10</v>
      </c>
      <c r="I339" s="263">
        <v>10</v>
      </c>
      <c r="J339" s="249" t="s">
        <v>18</v>
      </c>
      <c r="K339" s="253"/>
    </row>
    <row r="340" spans="6:11" x14ac:dyDescent="0.3">
      <c r="F340" s="355">
        <f>ROW()-ROW(APORTACIONESOCIOS[[#Headers],[SECUENCIA]])</f>
        <v>336</v>
      </c>
      <c r="G340" s="173">
        <v>45550</v>
      </c>
      <c r="H340" s="3">
        <v>10</v>
      </c>
      <c r="I340" s="263">
        <v>11</v>
      </c>
      <c r="J340" s="249" t="s">
        <v>19</v>
      </c>
      <c r="K340" s="253"/>
    </row>
    <row r="341" spans="6:11" x14ac:dyDescent="0.3">
      <c r="F341" s="355">
        <f>ROW()-ROW(APORTACIONESOCIOS[[#Headers],[SECUENCIA]])</f>
        <v>337</v>
      </c>
      <c r="G341" s="173">
        <v>45550</v>
      </c>
      <c r="H341" s="3">
        <v>10</v>
      </c>
      <c r="I341" s="263">
        <v>12</v>
      </c>
      <c r="J341" s="249" t="s">
        <v>20</v>
      </c>
      <c r="K341" s="253"/>
    </row>
    <row r="342" spans="6:11" x14ac:dyDescent="0.3">
      <c r="F342" s="355">
        <f>ROW()-ROW(APORTACIONESOCIOS[[#Headers],[SECUENCIA]])</f>
        <v>338</v>
      </c>
      <c r="G342" s="173">
        <v>45550</v>
      </c>
      <c r="H342" s="3">
        <v>10</v>
      </c>
      <c r="I342" s="263">
        <v>14</v>
      </c>
      <c r="J342" s="249" t="s">
        <v>21</v>
      </c>
      <c r="K342" s="253"/>
    </row>
    <row r="343" spans="6:11" x14ac:dyDescent="0.3">
      <c r="F343" s="355">
        <f>ROW()-ROW(APORTACIONESOCIOS[[#Headers],[SECUENCIA]])</f>
        <v>339</v>
      </c>
      <c r="G343" s="173">
        <v>45550</v>
      </c>
      <c r="H343" s="3">
        <v>10</v>
      </c>
      <c r="I343" s="263">
        <v>15</v>
      </c>
      <c r="J343" s="249" t="s">
        <v>22</v>
      </c>
      <c r="K343" s="253"/>
    </row>
    <row r="344" spans="6:11" x14ac:dyDescent="0.3">
      <c r="F344" s="355">
        <f>ROW()-ROW(APORTACIONESOCIOS[[#Headers],[SECUENCIA]])</f>
        <v>340</v>
      </c>
      <c r="G344" s="173">
        <v>45550</v>
      </c>
      <c r="H344" s="3">
        <v>10</v>
      </c>
      <c r="I344" s="263">
        <v>16</v>
      </c>
      <c r="J344" s="249" t="s">
        <v>23</v>
      </c>
      <c r="K344" s="253"/>
    </row>
    <row r="345" spans="6:11" x14ac:dyDescent="0.3">
      <c r="F345" s="355">
        <f>ROW()-ROW(APORTACIONESOCIOS[[#Headers],[SECUENCIA]])</f>
        <v>341</v>
      </c>
      <c r="G345" s="186">
        <v>45580</v>
      </c>
      <c r="H345" s="3">
        <v>10</v>
      </c>
      <c r="I345" s="263">
        <v>3</v>
      </c>
      <c r="J345" s="249" t="s">
        <v>13</v>
      </c>
      <c r="K345" s="253"/>
    </row>
    <row r="346" spans="6:11" x14ac:dyDescent="0.3">
      <c r="F346" s="355">
        <f>ROW()-ROW(APORTACIONESOCIOS[[#Headers],[SECUENCIA]])</f>
        <v>342</v>
      </c>
      <c r="G346" s="173">
        <v>45580</v>
      </c>
      <c r="H346" s="3">
        <v>10</v>
      </c>
      <c r="I346" s="263">
        <v>4</v>
      </c>
      <c r="J346" s="249" t="s">
        <v>12</v>
      </c>
      <c r="K346" s="253"/>
    </row>
    <row r="347" spans="6:11" x14ac:dyDescent="0.3">
      <c r="F347" s="355">
        <f>ROW()-ROW(APORTACIONESOCIOS[[#Headers],[SECUENCIA]])</f>
        <v>343</v>
      </c>
      <c r="G347" s="173">
        <v>45580</v>
      </c>
      <c r="H347" s="3">
        <v>10</v>
      </c>
      <c r="I347" s="263">
        <v>5</v>
      </c>
      <c r="J347" s="249" t="s">
        <v>14</v>
      </c>
      <c r="K347" s="253"/>
    </row>
    <row r="348" spans="6:11" x14ac:dyDescent="0.3">
      <c r="F348" s="355">
        <f>ROW()-ROW(APORTACIONESOCIOS[[#Headers],[SECUENCIA]])</f>
        <v>344</v>
      </c>
      <c r="G348" s="173">
        <v>45580</v>
      </c>
      <c r="H348" s="3">
        <v>10</v>
      </c>
      <c r="I348" s="263">
        <v>6</v>
      </c>
      <c r="J348" s="249" t="s">
        <v>24</v>
      </c>
      <c r="K348" s="253"/>
    </row>
    <row r="349" spans="6:11" x14ac:dyDescent="0.3">
      <c r="F349" s="355">
        <f>ROW()-ROW(APORTACIONESOCIOS[[#Headers],[SECUENCIA]])</f>
        <v>345</v>
      </c>
      <c r="G349" s="173">
        <v>45580</v>
      </c>
      <c r="H349" s="3">
        <v>10</v>
      </c>
      <c r="I349" s="263">
        <v>7</v>
      </c>
      <c r="J349" s="249" t="s">
        <v>15</v>
      </c>
      <c r="K349" s="253"/>
    </row>
    <row r="350" spans="6:11" x14ac:dyDescent="0.3">
      <c r="F350" s="355">
        <f>ROW()-ROW(APORTACIONESOCIOS[[#Headers],[SECUENCIA]])</f>
        <v>346</v>
      </c>
      <c r="G350" s="173">
        <v>45580</v>
      </c>
      <c r="H350" s="3">
        <v>10</v>
      </c>
      <c r="I350" s="263">
        <v>8</v>
      </c>
      <c r="J350" s="249" t="s">
        <v>16</v>
      </c>
      <c r="K350" s="253"/>
    </row>
    <row r="351" spans="6:11" x14ac:dyDescent="0.3">
      <c r="F351" s="355">
        <f>ROW()-ROW(APORTACIONESOCIOS[[#Headers],[SECUENCIA]])</f>
        <v>347</v>
      </c>
      <c r="G351" s="173">
        <v>45580</v>
      </c>
      <c r="H351" s="3">
        <v>10</v>
      </c>
      <c r="I351" s="263">
        <v>9</v>
      </c>
      <c r="J351" s="249" t="s">
        <v>17</v>
      </c>
      <c r="K351" s="253"/>
    </row>
    <row r="352" spans="6:11" x14ac:dyDescent="0.3">
      <c r="F352" s="355">
        <f>ROW()-ROW(APORTACIONESOCIOS[[#Headers],[SECUENCIA]])</f>
        <v>348</v>
      </c>
      <c r="G352" s="173">
        <v>45580</v>
      </c>
      <c r="H352" s="3">
        <v>10</v>
      </c>
      <c r="I352" s="263">
        <v>10</v>
      </c>
      <c r="J352" s="249" t="s">
        <v>18</v>
      </c>
      <c r="K352" s="253"/>
    </row>
    <row r="353" spans="6:11" x14ac:dyDescent="0.3">
      <c r="F353" s="355">
        <f>ROW()-ROW(APORTACIONESOCIOS[[#Headers],[SECUENCIA]])</f>
        <v>349</v>
      </c>
      <c r="G353" s="173">
        <v>45580</v>
      </c>
      <c r="H353" s="3">
        <v>10</v>
      </c>
      <c r="I353" s="263">
        <v>11</v>
      </c>
      <c r="J353" s="249" t="s">
        <v>19</v>
      </c>
      <c r="K353" s="253"/>
    </row>
    <row r="354" spans="6:11" x14ac:dyDescent="0.3">
      <c r="F354" s="355">
        <f>ROW()-ROW(APORTACIONESOCIOS[[#Headers],[SECUENCIA]])</f>
        <v>350</v>
      </c>
      <c r="G354" s="173">
        <v>45580</v>
      </c>
      <c r="H354" s="3">
        <v>10</v>
      </c>
      <c r="I354" s="263">
        <v>12</v>
      </c>
      <c r="J354" s="249" t="s">
        <v>20</v>
      </c>
      <c r="K354" s="253"/>
    </row>
    <row r="355" spans="6:11" x14ac:dyDescent="0.3">
      <c r="F355" s="355">
        <f>ROW()-ROW(APORTACIONESOCIOS[[#Headers],[SECUENCIA]])</f>
        <v>351</v>
      </c>
      <c r="G355" s="173">
        <v>45580</v>
      </c>
      <c r="H355" s="3">
        <v>10</v>
      </c>
      <c r="I355" s="263">
        <v>14</v>
      </c>
      <c r="J355" s="249" t="s">
        <v>21</v>
      </c>
      <c r="K355" s="253"/>
    </row>
    <row r="356" spans="6:11" x14ac:dyDescent="0.3">
      <c r="F356" s="355">
        <f>ROW()-ROW(APORTACIONESOCIOS[[#Headers],[SECUENCIA]])</f>
        <v>352</v>
      </c>
      <c r="G356" s="173">
        <v>45580</v>
      </c>
      <c r="H356" s="3">
        <v>10</v>
      </c>
      <c r="I356" s="263">
        <v>15</v>
      </c>
      <c r="J356" s="249" t="s">
        <v>22</v>
      </c>
      <c r="K356" s="253"/>
    </row>
    <row r="357" spans="6:11" x14ac:dyDescent="0.3">
      <c r="F357" s="355">
        <f>ROW()-ROW(APORTACIONESOCIOS[[#Headers],[SECUENCIA]])</f>
        <v>353</v>
      </c>
      <c r="G357" s="173">
        <v>45580</v>
      </c>
      <c r="H357" s="3">
        <v>10</v>
      </c>
      <c r="I357" s="263">
        <v>16</v>
      </c>
      <c r="J357" s="249" t="s">
        <v>23</v>
      </c>
      <c r="K357" s="253"/>
    </row>
    <row r="358" spans="6:11" x14ac:dyDescent="0.3">
      <c r="F358" s="355">
        <f>ROW()-ROW(APORTACIONESOCIOS[[#Headers],[SECUENCIA]])</f>
        <v>354</v>
      </c>
      <c r="G358" s="186">
        <v>45611</v>
      </c>
      <c r="H358" s="3">
        <v>10</v>
      </c>
      <c r="I358" s="263">
        <v>3</v>
      </c>
      <c r="J358" s="249" t="s">
        <v>13</v>
      </c>
      <c r="K358" s="253"/>
    </row>
    <row r="359" spans="6:11" x14ac:dyDescent="0.3">
      <c r="F359" s="355">
        <f>ROW()-ROW(APORTACIONESOCIOS[[#Headers],[SECUENCIA]])</f>
        <v>355</v>
      </c>
      <c r="G359" s="173">
        <v>45611</v>
      </c>
      <c r="H359" s="3">
        <v>10</v>
      </c>
      <c r="I359" s="263">
        <v>4</v>
      </c>
      <c r="J359" s="249" t="s">
        <v>12</v>
      </c>
      <c r="K359" s="253"/>
    </row>
    <row r="360" spans="6:11" x14ac:dyDescent="0.3">
      <c r="F360" s="355">
        <f>ROW()-ROW(APORTACIONESOCIOS[[#Headers],[SECUENCIA]])</f>
        <v>356</v>
      </c>
      <c r="G360" s="173">
        <v>45611</v>
      </c>
      <c r="H360" s="3">
        <v>10</v>
      </c>
      <c r="I360" s="263">
        <v>5</v>
      </c>
      <c r="J360" s="249" t="s">
        <v>14</v>
      </c>
      <c r="K360" s="253"/>
    </row>
    <row r="361" spans="6:11" x14ac:dyDescent="0.3">
      <c r="F361" s="355">
        <f>ROW()-ROW(APORTACIONESOCIOS[[#Headers],[SECUENCIA]])</f>
        <v>357</v>
      </c>
      <c r="G361" s="173">
        <v>45611</v>
      </c>
      <c r="H361" s="3">
        <v>10</v>
      </c>
      <c r="I361" s="263">
        <v>6</v>
      </c>
      <c r="J361" s="249" t="s">
        <v>24</v>
      </c>
      <c r="K361" s="253"/>
    </row>
    <row r="362" spans="6:11" x14ac:dyDescent="0.3">
      <c r="F362" s="355">
        <f>ROW()-ROW(APORTACIONESOCIOS[[#Headers],[SECUENCIA]])</f>
        <v>358</v>
      </c>
      <c r="G362" s="173">
        <v>45611</v>
      </c>
      <c r="H362" s="3">
        <v>10</v>
      </c>
      <c r="I362" s="263">
        <v>7</v>
      </c>
      <c r="J362" s="249" t="s">
        <v>15</v>
      </c>
      <c r="K362" s="253"/>
    </row>
    <row r="363" spans="6:11" x14ac:dyDescent="0.3">
      <c r="F363" s="355">
        <f>ROW()-ROW(APORTACIONESOCIOS[[#Headers],[SECUENCIA]])</f>
        <v>359</v>
      </c>
      <c r="G363" s="173">
        <v>45611</v>
      </c>
      <c r="H363" s="3">
        <v>10</v>
      </c>
      <c r="I363" s="263">
        <v>8</v>
      </c>
      <c r="J363" s="249" t="s">
        <v>16</v>
      </c>
      <c r="K363" s="253"/>
    </row>
    <row r="364" spans="6:11" x14ac:dyDescent="0.3">
      <c r="F364" s="355">
        <f>ROW()-ROW(APORTACIONESOCIOS[[#Headers],[SECUENCIA]])</f>
        <v>360</v>
      </c>
      <c r="G364" s="173">
        <v>45611</v>
      </c>
      <c r="H364" s="3">
        <v>10</v>
      </c>
      <c r="I364" s="263">
        <v>9</v>
      </c>
      <c r="J364" s="249" t="s">
        <v>17</v>
      </c>
      <c r="K364" s="253"/>
    </row>
    <row r="365" spans="6:11" x14ac:dyDescent="0.3">
      <c r="F365" s="355">
        <f>ROW()-ROW(APORTACIONESOCIOS[[#Headers],[SECUENCIA]])</f>
        <v>361</v>
      </c>
      <c r="G365" s="173">
        <v>45611</v>
      </c>
      <c r="H365" s="3">
        <v>10</v>
      </c>
      <c r="I365" s="263">
        <v>10</v>
      </c>
      <c r="J365" s="249" t="s">
        <v>18</v>
      </c>
      <c r="K365" s="253"/>
    </row>
    <row r="366" spans="6:11" x14ac:dyDescent="0.3">
      <c r="F366" s="355">
        <f>ROW()-ROW(APORTACIONESOCIOS[[#Headers],[SECUENCIA]])</f>
        <v>362</v>
      </c>
      <c r="G366" s="173">
        <v>45611</v>
      </c>
      <c r="H366" s="3">
        <v>10</v>
      </c>
      <c r="I366" s="263">
        <v>11</v>
      </c>
      <c r="J366" s="249" t="s">
        <v>19</v>
      </c>
      <c r="K366" s="253"/>
    </row>
    <row r="367" spans="6:11" x14ac:dyDescent="0.3">
      <c r="F367" s="355">
        <f>ROW()-ROW(APORTACIONESOCIOS[[#Headers],[SECUENCIA]])</f>
        <v>363</v>
      </c>
      <c r="G367" s="173">
        <v>45611</v>
      </c>
      <c r="H367" s="3">
        <v>10</v>
      </c>
      <c r="I367" s="263">
        <v>12</v>
      </c>
      <c r="J367" s="249" t="s">
        <v>20</v>
      </c>
      <c r="K367" s="253"/>
    </row>
    <row r="368" spans="6:11" x14ac:dyDescent="0.3">
      <c r="F368" s="355">
        <f>ROW()-ROW(APORTACIONESOCIOS[[#Headers],[SECUENCIA]])</f>
        <v>364</v>
      </c>
      <c r="G368" s="173">
        <v>45611</v>
      </c>
      <c r="H368" s="3">
        <v>10</v>
      </c>
      <c r="I368" s="263">
        <v>14</v>
      </c>
      <c r="J368" s="249" t="s">
        <v>21</v>
      </c>
      <c r="K368" s="253"/>
    </row>
    <row r="369" spans="6:11" x14ac:dyDescent="0.3">
      <c r="F369" s="355">
        <f>ROW()-ROW(APORTACIONESOCIOS[[#Headers],[SECUENCIA]])</f>
        <v>365</v>
      </c>
      <c r="G369" s="173">
        <v>45611</v>
      </c>
      <c r="H369" s="3">
        <v>10</v>
      </c>
      <c r="I369" s="263">
        <v>15</v>
      </c>
      <c r="J369" s="249" t="s">
        <v>22</v>
      </c>
      <c r="K369" s="253"/>
    </row>
    <row r="370" spans="6:11" x14ac:dyDescent="0.3">
      <c r="F370" s="355">
        <f>ROW()-ROW(APORTACIONESOCIOS[[#Headers],[SECUENCIA]])</f>
        <v>366</v>
      </c>
      <c r="G370" s="173">
        <v>45611</v>
      </c>
      <c r="H370" s="3">
        <v>10</v>
      </c>
      <c r="I370" s="263">
        <v>16</v>
      </c>
      <c r="J370" s="249" t="s">
        <v>23</v>
      </c>
      <c r="K370" s="253"/>
    </row>
    <row r="371" spans="6:11" x14ac:dyDescent="0.3">
      <c r="F371" s="355">
        <f>ROW()-ROW(APORTACIONESOCIOS[[#Headers],[SECUENCIA]])</f>
        <v>367</v>
      </c>
      <c r="G371" s="186">
        <v>45641</v>
      </c>
      <c r="H371" s="3">
        <v>10</v>
      </c>
      <c r="I371" s="263">
        <v>3</v>
      </c>
      <c r="J371" s="249" t="s">
        <v>13</v>
      </c>
      <c r="K371" s="253"/>
    </row>
    <row r="372" spans="6:11" x14ac:dyDescent="0.3">
      <c r="F372" s="355">
        <f>ROW()-ROW(APORTACIONESOCIOS[[#Headers],[SECUENCIA]])</f>
        <v>368</v>
      </c>
      <c r="G372" s="173">
        <v>45641</v>
      </c>
      <c r="H372" s="3">
        <v>10</v>
      </c>
      <c r="I372" s="263">
        <v>4</v>
      </c>
      <c r="J372" s="249" t="s">
        <v>12</v>
      </c>
      <c r="K372" s="253"/>
    </row>
    <row r="373" spans="6:11" x14ac:dyDescent="0.3">
      <c r="F373" s="355">
        <f>ROW()-ROW(APORTACIONESOCIOS[[#Headers],[SECUENCIA]])</f>
        <v>369</v>
      </c>
      <c r="G373" s="173">
        <v>45641</v>
      </c>
      <c r="H373" s="3">
        <v>10</v>
      </c>
      <c r="I373" s="263">
        <v>5</v>
      </c>
      <c r="J373" s="249" t="s">
        <v>14</v>
      </c>
      <c r="K373" s="253"/>
    </row>
    <row r="374" spans="6:11" x14ac:dyDescent="0.3">
      <c r="F374" s="355">
        <f>ROW()-ROW(APORTACIONESOCIOS[[#Headers],[SECUENCIA]])</f>
        <v>370</v>
      </c>
      <c r="G374" s="173">
        <v>45641</v>
      </c>
      <c r="H374" s="3">
        <v>10</v>
      </c>
      <c r="I374" s="263">
        <v>6</v>
      </c>
      <c r="J374" s="249" t="s">
        <v>24</v>
      </c>
      <c r="K374" s="253"/>
    </row>
    <row r="375" spans="6:11" x14ac:dyDescent="0.3">
      <c r="F375" s="355">
        <f>ROW()-ROW(APORTACIONESOCIOS[[#Headers],[SECUENCIA]])</f>
        <v>371</v>
      </c>
      <c r="G375" s="173">
        <v>45641</v>
      </c>
      <c r="H375" s="3">
        <v>10</v>
      </c>
      <c r="I375" s="263">
        <v>7</v>
      </c>
      <c r="J375" s="249" t="s">
        <v>15</v>
      </c>
      <c r="K375" s="253"/>
    </row>
    <row r="376" spans="6:11" x14ac:dyDescent="0.3">
      <c r="F376" s="355">
        <f>ROW()-ROW(APORTACIONESOCIOS[[#Headers],[SECUENCIA]])</f>
        <v>372</v>
      </c>
      <c r="G376" s="173">
        <v>45641</v>
      </c>
      <c r="H376" s="3">
        <v>10</v>
      </c>
      <c r="I376" s="263">
        <v>8</v>
      </c>
      <c r="J376" s="249" t="s">
        <v>16</v>
      </c>
      <c r="K376" s="253"/>
    </row>
    <row r="377" spans="6:11" x14ac:dyDescent="0.3">
      <c r="F377" s="355">
        <f>ROW()-ROW(APORTACIONESOCIOS[[#Headers],[SECUENCIA]])</f>
        <v>373</v>
      </c>
      <c r="G377" s="173">
        <v>45641</v>
      </c>
      <c r="H377" s="3">
        <v>10</v>
      </c>
      <c r="I377" s="263">
        <v>9</v>
      </c>
      <c r="J377" s="249" t="s">
        <v>17</v>
      </c>
      <c r="K377" s="253"/>
    </row>
    <row r="378" spans="6:11" x14ac:dyDescent="0.3">
      <c r="F378" s="355">
        <f>ROW()-ROW(APORTACIONESOCIOS[[#Headers],[SECUENCIA]])</f>
        <v>374</v>
      </c>
      <c r="G378" s="173">
        <v>45641</v>
      </c>
      <c r="H378" s="3">
        <v>10</v>
      </c>
      <c r="I378" s="263">
        <v>10</v>
      </c>
      <c r="J378" s="249" t="s">
        <v>18</v>
      </c>
      <c r="K378" s="253"/>
    </row>
    <row r="379" spans="6:11" x14ac:dyDescent="0.3">
      <c r="F379" s="355">
        <f>ROW()-ROW(APORTACIONESOCIOS[[#Headers],[SECUENCIA]])</f>
        <v>375</v>
      </c>
      <c r="G379" s="173">
        <v>45641</v>
      </c>
      <c r="H379" s="3">
        <v>10</v>
      </c>
      <c r="I379" s="263">
        <v>11</v>
      </c>
      <c r="J379" s="249" t="s">
        <v>19</v>
      </c>
      <c r="K379" s="253"/>
    </row>
    <row r="380" spans="6:11" x14ac:dyDescent="0.3">
      <c r="F380" s="355">
        <f>ROW()-ROW(APORTACIONESOCIOS[[#Headers],[SECUENCIA]])</f>
        <v>376</v>
      </c>
      <c r="G380" s="173">
        <v>45641</v>
      </c>
      <c r="H380" s="3">
        <v>10</v>
      </c>
      <c r="I380" s="263">
        <v>12</v>
      </c>
      <c r="J380" s="249" t="s">
        <v>20</v>
      </c>
      <c r="K380" s="253"/>
    </row>
    <row r="381" spans="6:11" x14ac:dyDescent="0.3">
      <c r="F381" s="355">
        <f>ROW()-ROW(APORTACIONESOCIOS[[#Headers],[SECUENCIA]])</f>
        <v>377</v>
      </c>
      <c r="G381" s="173">
        <v>45641</v>
      </c>
      <c r="H381" s="3">
        <v>10</v>
      </c>
      <c r="I381" s="263">
        <v>14</v>
      </c>
      <c r="J381" s="249" t="s">
        <v>21</v>
      </c>
      <c r="K381" s="253"/>
    </row>
    <row r="382" spans="6:11" x14ac:dyDescent="0.3">
      <c r="F382" s="355">
        <f>ROW()-ROW(APORTACIONESOCIOS[[#Headers],[SECUENCIA]])</f>
        <v>378</v>
      </c>
      <c r="G382" s="173">
        <v>45641</v>
      </c>
      <c r="H382" s="3">
        <v>10</v>
      </c>
      <c r="I382" s="263">
        <v>15</v>
      </c>
      <c r="J382" s="249" t="s">
        <v>22</v>
      </c>
      <c r="K382" s="253"/>
    </row>
    <row r="383" spans="6:11" x14ac:dyDescent="0.3">
      <c r="F383" s="355">
        <f>ROW()-ROW(APORTACIONESOCIOS[[#Headers],[SECUENCIA]])</f>
        <v>379</v>
      </c>
      <c r="G383" s="173">
        <v>45641</v>
      </c>
      <c r="H383" s="3">
        <v>10</v>
      </c>
      <c r="I383" s="263">
        <v>16</v>
      </c>
      <c r="J383" s="249" t="s">
        <v>23</v>
      </c>
      <c r="K383" s="253"/>
    </row>
    <row r="384" spans="6:11" x14ac:dyDescent="0.3">
      <c r="F384" s="355">
        <f>ROW()-ROW(APORTACIONESOCIOS[[#Headers],[SECUENCIA]])</f>
        <v>380</v>
      </c>
      <c r="G384" s="173">
        <v>45672</v>
      </c>
      <c r="H384" s="3">
        <v>10</v>
      </c>
      <c r="I384" s="263">
        <v>3</v>
      </c>
      <c r="J384" s="249" t="s">
        <v>13</v>
      </c>
      <c r="K384" s="253"/>
    </row>
    <row r="385" spans="6:11" x14ac:dyDescent="0.3">
      <c r="F385" s="356">
        <f>ROW()-ROW(APORTACIONESOCIOS[[#Headers],[SECUENCIA]])</f>
        <v>381</v>
      </c>
      <c r="G385" s="173">
        <v>45672</v>
      </c>
      <c r="H385" s="3">
        <v>10</v>
      </c>
      <c r="I385" s="263">
        <v>4</v>
      </c>
      <c r="J385" s="249" t="s">
        <v>12</v>
      </c>
      <c r="K385" s="255"/>
    </row>
    <row r="386" spans="6:11" x14ac:dyDescent="0.3">
      <c r="F386" s="355">
        <f>ROW()-ROW(APORTACIONESOCIOS[[#Headers],[SECUENCIA]])</f>
        <v>382</v>
      </c>
      <c r="G386" s="173">
        <v>45672</v>
      </c>
      <c r="H386" s="3">
        <v>10</v>
      </c>
      <c r="I386" s="263">
        <v>5</v>
      </c>
      <c r="J386" s="249" t="s">
        <v>14</v>
      </c>
      <c r="K386" s="253"/>
    </row>
    <row r="387" spans="6:11" x14ac:dyDescent="0.3">
      <c r="F387" s="355">
        <f>ROW()-ROW(APORTACIONESOCIOS[[#Headers],[SECUENCIA]])</f>
        <v>383</v>
      </c>
      <c r="G387" s="173">
        <v>45672</v>
      </c>
      <c r="H387" s="3">
        <v>10</v>
      </c>
      <c r="I387" s="263">
        <v>6</v>
      </c>
      <c r="J387" s="249" t="s">
        <v>24</v>
      </c>
      <c r="K387" s="253"/>
    </row>
    <row r="388" spans="6:11" x14ac:dyDescent="0.3">
      <c r="F388" s="355">
        <f>ROW()-ROW(APORTACIONESOCIOS[[#Headers],[SECUENCIA]])</f>
        <v>384</v>
      </c>
      <c r="G388" s="173">
        <v>45672</v>
      </c>
      <c r="H388" s="3">
        <v>10</v>
      </c>
      <c r="I388" s="263">
        <v>7</v>
      </c>
      <c r="J388" s="249" t="s">
        <v>15</v>
      </c>
      <c r="K388" s="253"/>
    </row>
    <row r="389" spans="6:11" x14ac:dyDescent="0.3">
      <c r="F389" s="355">
        <f>ROW()-ROW(APORTACIONESOCIOS[[#Headers],[SECUENCIA]])</f>
        <v>385</v>
      </c>
      <c r="G389" s="173">
        <v>45672</v>
      </c>
      <c r="H389" s="3">
        <v>10</v>
      </c>
      <c r="I389" s="263">
        <v>8</v>
      </c>
      <c r="J389" s="249" t="s">
        <v>16</v>
      </c>
      <c r="K389" s="253"/>
    </row>
    <row r="390" spans="6:11" x14ac:dyDescent="0.3">
      <c r="F390" s="355">
        <f>ROW()-ROW(APORTACIONESOCIOS[[#Headers],[SECUENCIA]])</f>
        <v>386</v>
      </c>
      <c r="G390" s="173">
        <v>45672</v>
      </c>
      <c r="H390" s="3">
        <v>10</v>
      </c>
      <c r="I390" s="263">
        <v>9</v>
      </c>
      <c r="J390" s="249" t="s">
        <v>17</v>
      </c>
      <c r="K390" s="253"/>
    </row>
    <row r="391" spans="6:11" x14ac:dyDescent="0.3">
      <c r="F391" s="355">
        <f>ROW()-ROW(APORTACIONESOCIOS[[#Headers],[SECUENCIA]])</f>
        <v>387</v>
      </c>
      <c r="G391" s="173">
        <v>45672</v>
      </c>
      <c r="H391" s="3">
        <v>10</v>
      </c>
      <c r="I391" s="263">
        <v>10</v>
      </c>
      <c r="J391" s="249" t="s">
        <v>18</v>
      </c>
      <c r="K391" s="253"/>
    </row>
    <row r="392" spans="6:11" x14ac:dyDescent="0.3">
      <c r="F392" s="355">
        <f>ROW()-ROW(APORTACIONESOCIOS[[#Headers],[SECUENCIA]])</f>
        <v>388</v>
      </c>
      <c r="G392" s="173">
        <v>45672</v>
      </c>
      <c r="H392" s="3">
        <v>10</v>
      </c>
      <c r="I392" s="263">
        <v>11</v>
      </c>
      <c r="J392" s="249" t="s">
        <v>19</v>
      </c>
      <c r="K392" s="253"/>
    </row>
    <row r="393" spans="6:11" x14ac:dyDescent="0.3">
      <c r="F393" s="355">
        <f>ROW()-ROW(APORTACIONESOCIOS[[#Headers],[SECUENCIA]])</f>
        <v>389</v>
      </c>
      <c r="G393" s="173">
        <v>45672</v>
      </c>
      <c r="H393" s="3">
        <v>10</v>
      </c>
      <c r="I393" s="263">
        <v>12</v>
      </c>
      <c r="J393" s="249" t="s">
        <v>20</v>
      </c>
      <c r="K393" s="253"/>
    </row>
    <row r="394" spans="6:11" x14ac:dyDescent="0.3">
      <c r="F394" s="355">
        <f>ROW()-ROW(APORTACIONESOCIOS[[#Headers],[SECUENCIA]])</f>
        <v>390</v>
      </c>
      <c r="G394" s="173">
        <v>45672</v>
      </c>
      <c r="H394" s="3">
        <v>10</v>
      </c>
      <c r="I394" s="263">
        <v>14</v>
      </c>
      <c r="J394" s="249" t="s">
        <v>21</v>
      </c>
      <c r="K394" s="253"/>
    </row>
    <row r="395" spans="6:11" x14ac:dyDescent="0.3">
      <c r="F395" s="355">
        <f>ROW()-ROW(APORTACIONESOCIOS[[#Headers],[SECUENCIA]])</f>
        <v>391</v>
      </c>
      <c r="G395" s="173">
        <v>45672</v>
      </c>
      <c r="H395" s="3">
        <v>10</v>
      </c>
      <c r="I395" s="263">
        <v>15</v>
      </c>
      <c r="J395" s="249" t="s">
        <v>22</v>
      </c>
      <c r="K395" s="253"/>
    </row>
    <row r="396" spans="6:11" x14ac:dyDescent="0.3">
      <c r="F396" s="355">
        <f>ROW()-ROW(APORTACIONESOCIOS[[#Headers],[SECUENCIA]])</f>
        <v>392</v>
      </c>
      <c r="G396" s="173">
        <v>45672</v>
      </c>
      <c r="H396" s="3">
        <v>10</v>
      </c>
      <c r="I396" s="263">
        <v>16</v>
      </c>
      <c r="J396" s="249" t="s">
        <v>23</v>
      </c>
      <c r="K396" s="253"/>
    </row>
    <row r="397" spans="6:11" x14ac:dyDescent="0.3">
      <c r="F397" s="355">
        <f>ROW()-ROW(APORTACIONESOCIOS[[#Headers],[SECUENCIA]])</f>
        <v>393</v>
      </c>
      <c r="G397" s="173">
        <v>45703</v>
      </c>
      <c r="H397" s="3">
        <v>10</v>
      </c>
      <c r="I397" s="263">
        <v>3</v>
      </c>
      <c r="J397" s="249" t="s">
        <v>13</v>
      </c>
      <c r="K397" s="253"/>
    </row>
    <row r="398" spans="6:11" x14ac:dyDescent="0.3">
      <c r="F398" s="355">
        <f>ROW()-ROW(APORTACIONESOCIOS[[#Headers],[SECUENCIA]])</f>
        <v>394</v>
      </c>
      <c r="G398" s="173">
        <v>45703</v>
      </c>
      <c r="H398" s="3">
        <v>10</v>
      </c>
      <c r="I398" s="263">
        <v>4</v>
      </c>
      <c r="J398" s="249" t="s">
        <v>12</v>
      </c>
      <c r="K398" s="253"/>
    </row>
    <row r="399" spans="6:11" x14ac:dyDescent="0.3">
      <c r="F399" s="355">
        <f>ROW()-ROW(APORTACIONESOCIOS[[#Headers],[SECUENCIA]])</f>
        <v>395</v>
      </c>
      <c r="G399" s="173">
        <v>45703</v>
      </c>
      <c r="H399" s="3">
        <v>10</v>
      </c>
      <c r="I399" s="263">
        <v>5</v>
      </c>
      <c r="J399" s="249" t="s">
        <v>14</v>
      </c>
      <c r="K399" s="253"/>
    </row>
    <row r="400" spans="6:11" x14ac:dyDescent="0.3">
      <c r="F400" s="355">
        <f>ROW()-ROW(APORTACIONESOCIOS[[#Headers],[SECUENCIA]])</f>
        <v>396</v>
      </c>
      <c r="G400" s="173">
        <v>45703</v>
      </c>
      <c r="H400" s="3">
        <v>10</v>
      </c>
      <c r="I400" s="263">
        <v>6</v>
      </c>
      <c r="J400" s="249" t="s">
        <v>24</v>
      </c>
      <c r="K400" s="253"/>
    </row>
    <row r="401" spans="6:11" x14ac:dyDescent="0.3">
      <c r="F401" s="355">
        <f>ROW()-ROW(APORTACIONESOCIOS[[#Headers],[SECUENCIA]])</f>
        <v>397</v>
      </c>
      <c r="G401" s="173">
        <v>45703</v>
      </c>
      <c r="H401" s="3">
        <v>10</v>
      </c>
      <c r="I401" s="263">
        <v>7</v>
      </c>
      <c r="J401" s="249" t="s">
        <v>15</v>
      </c>
      <c r="K401" s="253"/>
    </row>
    <row r="402" spans="6:11" x14ac:dyDescent="0.3">
      <c r="F402" s="355">
        <f>ROW()-ROW(APORTACIONESOCIOS[[#Headers],[SECUENCIA]])</f>
        <v>398</v>
      </c>
      <c r="G402" s="173">
        <v>45703</v>
      </c>
      <c r="H402" s="3">
        <v>10</v>
      </c>
      <c r="I402" s="263">
        <v>8</v>
      </c>
      <c r="J402" s="249" t="s">
        <v>16</v>
      </c>
      <c r="K402" s="253"/>
    </row>
    <row r="403" spans="6:11" x14ac:dyDescent="0.3">
      <c r="F403" s="355">
        <f>ROW()-ROW(APORTACIONESOCIOS[[#Headers],[SECUENCIA]])</f>
        <v>399</v>
      </c>
      <c r="G403" s="173">
        <v>45703</v>
      </c>
      <c r="H403" s="3">
        <v>10</v>
      </c>
      <c r="I403" s="263">
        <v>9</v>
      </c>
      <c r="J403" s="249" t="s">
        <v>17</v>
      </c>
      <c r="K403" s="253"/>
    </row>
    <row r="404" spans="6:11" x14ac:dyDescent="0.3">
      <c r="F404" s="355">
        <f>ROW()-ROW(APORTACIONESOCIOS[[#Headers],[SECUENCIA]])</f>
        <v>400</v>
      </c>
      <c r="G404" s="173">
        <v>45703</v>
      </c>
      <c r="H404" s="3">
        <v>10</v>
      </c>
      <c r="I404" s="263">
        <v>10</v>
      </c>
      <c r="J404" s="249" t="s">
        <v>18</v>
      </c>
      <c r="K404" s="253"/>
    </row>
    <row r="405" spans="6:11" x14ac:dyDescent="0.3">
      <c r="F405" s="355">
        <f>ROW()-ROW(APORTACIONESOCIOS[[#Headers],[SECUENCIA]])</f>
        <v>401</v>
      </c>
      <c r="G405" s="173">
        <v>45703</v>
      </c>
      <c r="H405" s="3">
        <v>10</v>
      </c>
      <c r="I405" s="263">
        <v>11</v>
      </c>
      <c r="J405" s="249" t="s">
        <v>19</v>
      </c>
      <c r="K405" s="253"/>
    </row>
    <row r="406" spans="6:11" x14ac:dyDescent="0.3">
      <c r="F406" s="355">
        <f>ROW()-ROW(APORTACIONESOCIOS[[#Headers],[SECUENCIA]])</f>
        <v>402</v>
      </c>
      <c r="G406" s="173">
        <v>45703</v>
      </c>
      <c r="H406" s="3">
        <v>10</v>
      </c>
      <c r="I406" s="263">
        <v>12</v>
      </c>
      <c r="J406" s="249" t="s">
        <v>20</v>
      </c>
      <c r="K406" s="253"/>
    </row>
    <row r="407" spans="6:11" x14ac:dyDescent="0.3">
      <c r="F407" s="355">
        <f>ROW()-ROW(APORTACIONESOCIOS[[#Headers],[SECUENCIA]])</f>
        <v>403</v>
      </c>
      <c r="G407" s="173">
        <v>45703</v>
      </c>
      <c r="H407" s="3">
        <v>10</v>
      </c>
      <c r="I407" s="263">
        <v>14</v>
      </c>
      <c r="J407" s="249" t="s">
        <v>21</v>
      </c>
      <c r="K407" s="253"/>
    </row>
    <row r="408" spans="6:11" x14ac:dyDescent="0.3">
      <c r="F408" s="355">
        <f>ROW()-ROW(APORTACIONESOCIOS[[#Headers],[SECUENCIA]])</f>
        <v>404</v>
      </c>
      <c r="G408" s="173">
        <v>45703</v>
      </c>
      <c r="H408" s="3">
        <v>10</v>
      </c>
      <c r="I408" s="263">
        <v>15</v>
      </c>
      <c r="J408" s="249" t="s">
        <v>22</v>
      </c>
      <c r="K408" s="253"/>
    </row>
    <row r="409" spans="6:11" x14ac:dyDescent="0.3">
      <c r="F409" s="355">
        <f>ROW()-ROW(APORTACIONESOCIOS[[#Headers],[SECUENCIA]])</f>
        <v>405</v>
      </c>
      <c r="G409" s="173">
        <v>45703</v>
      </c>
      <c r="H409" s="3">
        <v>10</v>
      </c>
      <c r="I409" s="263">
        <v>16</v>
      </c>
      <c r="J409" s="249" t="s">
        <v>23</v>
      </c>
      <c r="K409" s="253"/>
    </row>
    <row r="410" spans="6:11" x14ac:dyDescent="0.3">
      <c r="F410" s="355">
        <f>ROW()-ROW(APORTACIONESOCIOS[[#Headers],[SECUENCIA]])</f>
        <v>406</v>
      </c>
      <c r="G410" s="186">
        <v>45731</v>
      </c>
      <c r="H410" s="3">
        <v>10</v>
      </c>
      <c r="I410" s="263">
        <v>3</v>
      </c>
      <c r="J410" s="249" t="s">
        <v>13</v>
      </c>
      <c r="K410" s="253"/>
    </row>
    <row r="411" spans="6:11" x14ac:dyDescent="0.3">
      <c r="F411" s="355">
        <f>ROW()-ROW(APORTACIONESOCIOS[[#Headers],[SECUENCIA]])</f>
        <v>407</v>
      </c>
      <c r="G411" s="173">
        <v>45731</v>
      </c>
      <c r="H411" s="3">
        <v>10</v>
      </c>
      <c r="I411" s="263">
        <v>4</v>
      </c>
      <c r="J411" s="249" t="s">
        <v>12</v>
      </c>
      <c r="K411" s="253"/>
    </row>
    <row r="412" spans="6:11" x14ac:dyDescent="0.3">
      <c r="F412" s="355">
        <f>ROW()-ROW(APORTACIONESOCIOS[[#Headers],[SECUENCIA]])</f>
        <v>408</v>
      </c>
      <c r="G412" s="173">
        <v>45731</v>
      </c>
      <c r="H412" s="3">
        <v>10</v>
      </c>
      <c r="I412" s="263">
        <v>5</v>
      </c>
      <c r="J412" s="249" t="s">
        <v>14</v>
      </c>
      <c r="K412" s="253"/>
    </row>
    <row r="413" spans="6:11" x14ac:dyDescent="0.3">
      <c r="F413" s="355">
        <f>ROW()-ROW(APORTACIONESOCIOS[[#Headers],[SECUENCIA]])</f>
        <v>409</v>
      </c>
      <c r="G413" s="173">
        <v>45731</v>
      </c>
      <c r="H413" s="3">
        <v>10</v>
      </c>
      <c r="I413" s="263">
        <v>6</v>
      </c>
      <c r="J413" s="249" t="s">
        <v>24</v>
      </c>
      <c r="K413" s="253"/>
    </row>
    <row r="414" spans="6:11" x14ac:dyDescent="0.3">
      <c r="F414" s="355">
        <f>ROW()-ROW(APORTACIONESOCIOS[[#Headers],[SECUENCIA]])</f>
        <v>410</v>
      </c>
      <c r="G414" s="173">
        <v>45731</v>
      </c>
      <c r="H414" s="3">
        <v>10</v>
      </c>
      <c r="I414" s="263">
        <v>7</v>
      </c>
      <c r="J414" s="249" t="s">
        <v>15</v>
      </c>
      <c r="K414" s="253"/>
    </row>
    <row r="415" spans="6:11" x14ac:dyDescent="0.3">
      <c r="F415" s="355">
        <f>ROW()-ROW(APORTACIONESOCIOS[[#Headers],[SECUENCIA]])</f>
        <v>411</v>
      </c>
      <c r="G415" s="173">
        <v>45731</v>
      </c>
      <c r="H415" s="3">
        <v>10</v>
      </c>
      <c r="I415" s="263">
        <v>8</v>
      </c>
      <c r="J415" s="249" t="s">
        <v>16</v>
      </c>
      <c r="K415" s="253"/>
    </row>
    <row r="416" spans="6:11" x14ac:dyDescent="0.3">
      <c r="F416" s="355">
        <f>ROW()-ROW(APORTACIONESOCIOS[[#Headers],[SECUENCIA]])</f>
        <v>412</v>
      </c>
      <c r="G416" s="173">
        <v>45731</v>
      </c>
      <c r="H416" s="3">
        <v>10</v>
      </c>
      <c r="I416" s="263">
        <v>9</v>
      </c>
      <c r="J416" s="249" t="s">
        <v>17</v>
      </c>
      <c r="K416" s="253"/>
    </row>
    <row r="417" spans="6:11" x14ac:dyDescent="0.3">
      <c r="F417" s="355">
        <f>ROW()-ROW(APORTACIONESOCIOS[[#Headers],[SECUENCIA]])</f>
        <v>413</v>
      </c>
      <c r="G417" s="173">
        <v>45731</v>
      </c>
      <c r="H417" s="3">
        <v>10</v>
      </c>
      <c r="I417" s="263">
        <v>10</v>
      </c>
      <c r="J417" s="249" t="s">
        <v>18</v>
      </c>
      <c r="K417" s="253"/>
    </row>
    <row r="418" spans="6:11" x14ac:dyDescent="0.3">
      <c r="F418" s="355">
        <f>ROW()-ROW(APORTACIONESOCIOS[[#Headers],[SECUENCIA]])</f>
        <v>414</v>
      </c>
      <c r="G418" s="173">
        <v>45731</v>
      </c>
      <c r="H418" s="3">
        <v>10</v>
      </c>
      <c r="I418" s="263">
        <v>11</v>
      </c>
      <c r="J418" s="249" t="s">
        <v>19</v>
      </c>
      <c r="K418" s="253"/>
    </row>
    <row r="419" spans="6:11" x14ac:dyDescent="0.3">
      <c r="F419" s="355">
        <f>ROW()-ROW(APORTACIONESOCIOS[[#Headers],[SECUENCIA]])</f>
        <v>415</v>
      </c>
      <c r="G419" s="173">
        <v>45731</v>
      </c>
      <c r="H419" s="3">
        <v>10</v>
      </c>
      <c r="I419" s="263">
        <v>12</v>
      </c>
      <c r="J419" s="249" t="s">
        <v>20</v>
      </c>
      <c r="K419" s="253"/>
    </row>
    <row r="420" spans="6:11" x14ac:dyDescent="0.3">
      <c r="F420" s="355">
        <f>ROW()-ROW(APORTACIONESOCIOS[[#Headers],[SECUENCIA]])</f>
        <v>416</v>
      </c>
      <c r="G420" s="173">
        <v>45731</v>
      </c>
      <c r="H420" s="3">
        <v>10</v>
      </c>
      <c r="I420" s="263">
        <v>14</v>
      </c>
      <c r="J420" s="249" t="s">
        <v>21</v>
      </c>
      <c r="K420" s="253"/>
    </row>
    <row r="421" spans="6:11" x14ac:dyDescent="0.3">
      <c r="F421" s="355">
        <f>ROW()-ROW(APORTACIONESOCIOS[[#Headers],[SECUENCIA]])</f>
        <v>417</v>
      </c>
      <c r="G421" s="173">
        <v>45731</v>
      </c>
      <c r="H421" s="3">
        <v>10</v>
      </c>
      <c r="I421" s="263">
        <v>15</v>
      </c>
      <c r="J421" s="249" t="s">
        <v>22</v>
      </c>
      <c r="K421" s="253"/>
    </row>
    <row r="422" spans="6:11" x14ac:dyDescent="0.3">
      <c r="F422" s="355">
        <f>ROW()-ROW(APORTACIONESOCIOS[[#Headers],[SECUENCIA]])</f>
        <v>418</v>
      </c>
      <c r="G422" s="173">
        <v>45731</v>
      </c>
      <c r="H422" s="3">
        <v>10</v>
      </c>
      <c r="I422" s="263">
        <v>16</v>
      </c>
      <c r="J422" s="249" t="s">
        <v>23</v>
      </c>
      <c r="K422" s="253"/>
    </row>
    <row r="423" spans="6:11" x14ac:dyDescent="0.3">
      <c r="F423" s="355">
        <f>ROW()-ROW(APORTACIONESOCIOS[[#Headers],[SECUENCIA]])</f>
        <v>419</v>
      </c>
      <c r="G423" s="173">
        <v>45762</v>
      </c>
      <c r="H423" s="3">
        <v>10</v>
      </c>
      <c r="I423" s="263">
        <v>3</v>
      </c>
      <c r="J423" s="249" t="s">
        <v>13</v>
      </c>
      <c r="K423" s="253"/>
    </row>
    <row r="424" spans="6:11" x14ac:dyDescent="0.3">
      <c r="F424" s="355">
        <f>ROW()-ROW(APORTACIONESOCIOS[[#Headers],[SECUENCIA]])</f>
        <v>420</v>
      </c>
      <c r="G424" s="173">
        <v>45762</v>
      </c>
      <c r="H424" s="3">
        <v>10</v>
      </c>
      <c r="I424" s="263">
        <v>4</v>
      </c>
      <c r="J424" s="249" t="s">
        <v>12</v>
      </c>
      <c r="K424" s="253"/>
    </row>
    <row r="425" spans="6:11" x14ac:dyDescent="0.3">
      <c r="F425" s="355">
        <f>ROW()-ROW(APORTACIONESOCIOS[[#Headers],[SECUENCIA]])</f>
        <v>421</v>
      </c>
      <c r="G425" s="173">
        <v>45762</v>
      </c>
      <c r="H425" s="3">
        <v>10</v>
      </c>
      <c r="I425" s="263">
        <v>5</v>
      </c>
      <c r="J425" s="249" t="s">
        <v>14</v>
      </c>
      <c r="K425" s="253"/>
    </row>
    <row r="426" spans="6:11" x14ac:dyDescent="0.3">
      <c r="F426" s="355">
        <f>ROW()-ROW(APORTACIONESOCIOS[[#Headers],[SECUENCIA]])</f>
        <v>422</v>
      </c>
      <c r="G426" s="173">
        <v>45762</v>
      </c>
      <c r="H426" s="3">
        <v>10</v>
      </c>
      <c r="I426" s="263">
        <v>6</v>
      </c>
      <c r="J426" s="249" t="s">
        <v>24</v>
      </c>
      <c r="K426" s="253"/>
    </row>
    <row r="427" spans="6:11" x14ac:dyDescent="0.3">
      <c r="F427" s="355">
        <f>ROW()-ROW(APORTACIONESOCIOS[[#Headers],[SECUENCIA]])</f>
        <v>423</v>
      </c>
      <c r="G427" s="173">
        <v>45762</v>
      </c>
      <c r="H427" s="3">
        <v>10</v>
      </c>
      <c r="I427" s="263">
        <v>7</v>
      </c>
      <c r="J427" s="249" t="s">
        <v>15</v>
      </c>
      <c r="K427" s="253"/>
    </row>
    <row r="428" spans="6:11" x14ac:dyDescent="0.3">
      <c r="F428" s="355">
        <f>ROW()-ROW(APORTACIONESOCIOS[[#Headers],[SECUENCIA]])</f>
        <v>424</v>
      </c>
      <c r="G428" s="173">
        <v>45762</v>
      </c>
      <c r="H428" s="3">
        <v>10</v>
      </c>
      <c r="I428" s="263">
        <v>8</v>
      </c>
      <c r="J428" s="249" t="s">
        <v>16</v>
      </c>
      <c r="K428" s="253"/>
    </row>
    <row r="429" spans="6:11" x14ac:dyDescent="0.3">
      <c r="F429" s="355">
        <f>ROW()-ROW(APORTACIONESOCIOS[[#Headers],[SECUENCIA]])</f>
        <v>425</v>
      </c>
      <c r="G429" s="173">
        <v>45762</v>
      </c>
      <c r="H429" s="3">
        <v>10</v>
      </c>
      <c r="I429" s="263">
        <v>9</v>
      </c>
      <c r="J429" s="249" t="s">
        <v>17</v>
      </c>
      <c r="K429" s="253"/>
    </row>
    <row r="430" spans="6:11" x14ac:dyDescent="0.3">
      <c r="F430" s="355">
        <f>ROW()-ROW(APORTACIONESOCIOS[[#Headers],[SECUENCIA]])</f>
        <v>426</v>
      </c>
      <c r="G430" s="173">
        <v>45762</v>
      </c>
      <c r="H430" s="3">
        <v>10</v>
      </c>
      <c r="I430" s="263">
        <v>10</v>
      </c>
      <c r="J430" s="249" t="s">
        <v>18</v>
      </c>
      <c r="K430" s="253"/>
    </row>
    <row r="431" spans="6:11" x14ac:dyDescent="0.3">
      <c r="F431" s="355">
        <f>ROW()-ROW(APORTACIONESOCIOS[[#Headers],[SECUENCIA]])</f>
        <v>427</v>
      </c>
      <c r="G431" s="173">
        <v>45762</v>
      </c>
      <c r="H431" s="3">
        <v>10</v>
      </c>
      <c r="I431" s="263">
        <v>11</v>
      </c>
      <c r="J431" s="249" t="s">
        <v>19</v>
      </c>
      <c r="K431" s="253"/>
    </row>
    <row r="432" spans="6:11" x14ac:dyDescent="0.3">
      <c r="F432" s="355">
        <f>ROW()-ROW(APORTACIONESOCIOS[[#Headers],[SECUENCIA]])</f>
        <v>428</v>
      </c>
      <c r="G432" s="173">
        <v>45762</v>
      </c>
      <c r="H432" s="3">
        <v>10</v>
      </c>
      <c r="I432" s="263">
        <v>12</v>
      </c>
      <c r="J432" s="249" t="s">
        <v>20</v>
      </c>
      <c r="K432" s="253"/>
    </row>
    <row r="433" spans="6:11" x14ac:dyDescent="0.3">
      <c r="F433" s="355">
        <f>ROW()-ROW(APORTACIONESOCIOS[[#Headers],[SECUENCIA]])</f>
        <v>429</v>
      </c>
      <c r="G433" s="173">
        <v>45762</v>
      </c>
      <c r="H433" s="3">
        <v>110</v>
      </c>
      <c r="I433" s="263">
        <v>13</v>
      </c>
      <c r="J433" s="249" t="s">
        <v>341</v>
      </c>
      <c r="K433" s="253"/>
    </row>
    <row r="434" spans="6:11" x14ac:dyDescent="0.3">
      <c r="F434" s="355">
        <f>ROW()-ROW(APORTACIONESOCIOS[[#Headers],[SECUENCIA]])</f>
        <v>430</v>
      </c>
      <c r="G434" s="173">
        <v>45762</v>
      </c>
      <c r="H434" s="3">
        <v>10</v>
      </c>
      <c r="I434" s="263">
        <v>14</v>
      </c>
      <c r="J434" s="249" t="s">
        <v>21</v>
      </c>
      <c r="K434" s="253"/>
    </row>
    <row r="435" spans="6:11" x14ac:dyDescent="0.3">
      <c r="F435" s="355">
        <f>ROW()-ROW(APORTACIONESOCIOS[[#Headers],[SECUENCIA]])</f>
        <v>431</v>
      </c>
      <c r="G435" s="173">
        <v>45762</v>
      </c>
      <c r="H435" s="3">
        <v>10</v>
      </c>
      <c r="I435" s="263">
        <v>15</v>
      </c>
      <c r="J435" s="249" t="s">
        <v>22</v>
      </c>
      <c r="K435" s="253"/>
    </row>
    <row r="436" spans="6:11" x14ac:dyDescent="0.3">
      <c r="F436" s="355">
        <f>ROW()-ROW(APORTACIONESOCIOS[[#Headers],[SECUENCIA]])</f>
        <v>432</v>
      </c>
      <c r="G436" s="173">
        <v>45762</v>
      </c>
      <c r="H436" s="3">
        <v>10</v>
      </c>
      <c r="I436" s="263">
        <v>16</v>
      </c>
      <c r="J436" s="249" t="s">
        <v>23</v>
      </c>
      <c r="K436" s="253"/>
    </row>
    <row r="437" spans="6:11" x14ac:dyDescent="0.3">
      <c r="F437" s="355">
        <f>ROW()-ROW(APORTACIONESOCIOS[[#Headers],[SECUENCIA]])</f>
        <v>433</v>
      </c>
      <c r="G437" s="173">
        <v>45762</v>
      </c>
      <c r="H437" s="3">
        <v>330</v>
      </c>
      <c r="I437" s="263">
        <v>17</v>
      </c>
      <c r="J437" s="249" t="s">
        <v>339</v>
      </c>
      <c r="K437" s="253"/>
    </row>
    <row r="438" spans="6:11" x14ac:dyDescent="0.3">
      <c r="F438" s="356">
        <f>ROW()-ROW(APORTACIONESOCIOS[[#Headers],[SECUENCIA]])</f>
        <v>434</v>
      </c>
      <c r="G438" s="173">
        <v>45762</v>
      </c>
      <c r="H438" s="3">
        <v>80</v>
      </c>
      <c r="I438" s="264">
        <v>18</v>
      </c>
      <c r="J438" s="254" t="s">
        <v>340</v>
      </c>
      <c r="K438" s="255"/>
    </row>
    <row r="439" spans="6:11" x14ac:dyDescent="0.3">
      <c r="F439" s="355">
        <f>ROW()-ROW(APORTACIONESOCIOS[[#Headers],[SECUENCIA]])</f>
        <v>435</v>
      </c>
      <c r="G439" s="173">
        <v>45792</v>
      </c>
      <c r="H439" s="3">
        <v>10</v>
      </c>
      <c r="I439" s="263">
        <v>3</v>
      </c>
      <c r="J439" s="249" t="s">
        <v>13</v>
      </c>
      <c r="K439" s="253"/>
    </row>
    <row r="440" spans="6:11" x14ac:dyDescent="0.3">
      <c r="F440" s="355">
        <f>ROW()-ROW(APORTACIONESOCIOS[[#Headers],[SECUENCIA]])</f>
        <v>436</v>
      </c>
      <c r="G440" s="173">
        <v>45792</v>
      </c>
      <c r="H440" s="3">
        <v>10</v>
      </c>
      <c r="I440" s="263">
        <v>4</v>
      </c>
      <c r="J440" s="249" t="s">
        <v>12</v>
      </c>
      <c r="K440" s="253"/>
    </row>
    <row r="441" spans="6:11" x14ac:dyDescent="0.3">
      <c r="F441" s="355">
        <f>ROW()-ROW(APORTACIONESOCIOS[[#Headers],[SECUENCIA]])</f>
        <v>437</v>
      </c>
      <c r="G441" s="173">
        <v>45792</v>
      </c>
      <c r="H441" s="3">
        <v>10</v>
      </c>
      <c r="I441" s="263">
        <v>5</v>
      </c>
      <c r="J441" s="249" t="s">
        <v>14</v>
      </c>
      <c r="K441" s="253"/>
    </row>
    <row r="442" spans="6:11" x14ac:dyDescent="0.3">
      <c r="F442" s="355">
        <f>ROW()-ROW(APORTACIONESOCIOS[[#Headers],[SECUENCIA]])</f>
        <v>438</v>
      </c>
      <c r="G442" s="173">
        <v>45792</v>
      </c>
      <c r="H442" s="3">
        <v>10</v>
      </c>
      <c r="I442" s="263">
        <v>6</v>
      </c>
      <c r="J442" s="249" t="s">
        <v>24</v>
      </c>
      <c r="K442" s="253"/>
    </row>
    <row r="443" spans="6:11" x14ac:dyDescent="0.3">
      <c r="F443" s="355">
        <f>ROW()-ROW(APORTACIONESOCIOS[[#Headers],[SECUENCIA]])</f>
        <v>439</v>
      </c>
      <c r="G443" s="173">
        <v>45792</v>
      </c>
      <c r="H443" s="3">
        <v>10</v>
      </c>
      <c r="I443" s="263">
        <v>7</v>
      </c>
      <c r="J443" s="249" t="s">
        <v>15</v>
      </c>
      <c r="K443" s="253"/>
    </row>
    <row r="444" spans="6:11" x14ac:dyDescent="0.3">
      <c r="F444" s="355">
        <f>ROW()-ROW(APORTACIONESOCIOS[[#Headers],[SECUENCIA]])</f>
        <v>440</v>
      </c>
      <c r="G444" s="173">
        <v>45792</v>
      </c>
      <c r="H444" s="3">
        <v>10</v>
      </c>
      <c r="I444" s="263">
        <v>8</v>
      </c>
      <c r="J444" s="249" t="s">
        <v>16</v>
      </c>
      <c r="K444" s="253"/>
    </row>
    <row r="445" spans="6:11" x14ac:dyDescent="0.3">
      <c r="F445" s="355">
        <f>ROW()-ROW(APORTACIONESOCIOS[[#Headers],[SECUENCIA]])</f>
        <v>441</v>
      </c>
      <c r="G445" s="173">
        <v>45792</v>
      </c>
      <c r="H445" s="3">
        <v>10</v>
      </c>
      <c r="I445" s="263">
        <v>9</v>
      </c>
      <c r="J445" s="249" t="s">
        <v>17</v>
      </c>
      <c r="K445" s="253"/>
    </row>
    <row r="446" spans="6:11" x14ac:dyDescent="0.3">
      <c r="F446" s="355">
        <f>ROW()-ROW(APORTACIONESOCIOS[[#Headers],[SECUENCIA]])</f>
        <v>442</v>
      </c>
      <c r="G446" s="173">
        <v>45792</v>
      </c>
      <c r="H446" s="3">
        <v>10</v>
      </c>
      <c r="I446" s="263">
        <v>10</v>
      </c>
      <c r="J446" s="249" t="s">
        <v>18</v>
      </c>
      <c r="K446" s="253"/>
    </row>
    <row r="447" spans="6:11" x14ac:dyDescent="0.3">
      <c r="F447" s="355">
        <f>ROW()-ROW(APORTACIONESOCIOS[[#Headers],[SECUENCIA]])</f>
        <v>443</v>
      </c>
      <c r="G447" s="173">
        <v>45792</v>
      </c>
      <c r="H447" s="3">
        <v>10</v>
      </c>
      <c r="I447" s="263">
        <v>11</v>
      </c>
      <c r="J447" s="249" t="s">
        <v>19</v>
      </c>
      <c r="K447" s="253"/>
    </row>
    <row r="448" spans="6:11" x14ac:dyDescent="0.3">
      <c r="F448" s="355">
        <f>ROW()-ROW(APORTACIONESOCIOS[[#Headers],[SECUENCIA]])</f>
        <v>444</v>
      </c>
      <c r="G448" s="173">
        <v>45792</v>
      </c>
      <c r="H448" s="3">
        <v>10</v>
      </c>
      <c r="I448" s="263">
        <v>12</v>
      </c>
      <c r="J448" s="249" t="s">
        <v>20</v>
      </c>
      <c r="K448" s="253"/>
    </row>
    <row r="449" spans="6:11" x14ac:dyDescent="0.3">
      <c r="F449" s="355">
        <f>ROW()-ROW(APORTACIONESOCIOS[[#Headers],[SECUENCIA]])</f>
        <v>445</v>
      </c>
      <c r="G449" s="173">
        <v>45792</v>
      </c>
      <c r="H449" s="3">
        <v>120</v>
      </c>
      <c r="I449" s="263">
        <v>13</v>
      </c>
      <c r="J449" s="249" t="s">
        <v>341</v>
      </c>
      <c r="K449" s="253"/>
    </row>
    <row r="450" spans="6:11" x14ac:dyDescent="0.3">
      <c r="F450" s="355">
        <f>ROW()-ROW(APORTACIONESOCIOS[[#Headers],[SECUENCIA]])</f>
        <v>446</v>
      </c>
      <c r="G450" s="173">
        <v>45792</v>
      </c>
      <c r="H450" s="3">
        <v>10</v>
      </c>
      <c r="I450" s="263">
        <v>14</v>
      </c>
      <c r="J450" s="249" t="s">
        <v>21</v>
      </c>
      <c r="K450" s="253"/>
    </row>
    <row r="451" spans="6:11" x14ac:dyDescent="0.3">
      <c r="F451" s="355">
        <f>ROW()-ROW(APORTACIONESOCIOS[[#Headers],[SECUENCIA]])</f>
        <v>447</v>
      </c>
      <c r="G451" s="173">
        <v>45792</v>
      </c>
      <c r="H451" s="3">
        <v>10</v>
      </c>
      <c r="I451" s="263">
        <v>15</v>
      </c>
      <c r="J451" s="249" t="s">
        <v>22</v>
      </c>
      <c r="K451" s="253"/>
    </row>
    <row r="452" spans="6:11" x14ac:dyDescent="0.3">
      <c r="F452" s="355">
        <f>ROW()-ROW(APORTACIONESOCIOS[[#Headers],[SECUENCIA]])</f>
        <v>448</v>
      </c>
      <c r="G452" s="173">
        <v>45792</v>
      </c>
      <c r="H452" s="3">
        <v>10</v>
      </c>
      <c r="I452" s="263">
        <v>16</v>
      </c>
      <c r="J452" s="249" t="s">
        <v>23</v>
      </c>
      <c r="K452" s="253"/>
    </row>
    <row r="453" spans="6:11" x14ac:dyDescent="0.3">
      <c r="F453" s="355">
        <f>ROW()-ROW(APORTACIONESOCIOS[[#Headers],[SECUENCIA]])</f>
        <v>449</v>
      </c>
      <c r="G453" s="173">
        <v>45792</v>
      </c>
      <c r="H453" s="3">
        <v>10</v>
      </c>
      <c r="I453" s="263">
        <v>17</v>
      </c>
      <c r="J453" s="249" t="s">
        <v>339</v>
      </c>
      <c r="K453" s="253"/>
    </row>
    <row r="454" spans="6:11" x14ac:dyDescent="0.3">
      <c r="F454" s="356">
        <f>ROW()-ROW(APORTACIONESOCIOS[[#Headers],[SECUENCIA]])</f>
        <v>450</v>
      </c>
      <c r="G454" s="173">
        <v>45792</v>
      </c>
      <c r="H454" s="3">
        <v>220</v>
      </c>
      <c r="I454" s="264">
        <v>18</v>
      </c>
      <c r="J454" s="254" t="s">
        <v>340</v>
      </c>
      <c r="K454" s="255"/>
    </row>
    <row r="455" spans="6:11" x14ac:dyDescent="0.3">
      <c r="F455" s="355">
        <f>ROW()-ROW(APORTACIONESOCIOS[[#Headers],[SECUENCIA]])</f>
        <v>451</v>
      </c>
      <c r="G455" s="173">
        <v>45823</v>
      </c>
      <c r="H455" s="3">
        <v>10</v>
      </c>
      <c r="I455" s="263">
        <v>3</v>
      </c>
      <c r="J455" s="249" t="s">
        <v>13</v>
      </c>
      <c r="K455" s="253"/>
    </row>
    <row r="456" spans="6:11" x14ac:dyDescent="0.3">
      <c r="F456" s="355">
        <f>ROW()-ROW(APORTACIONESOCIOS[[#Headers],[SECUENCIA]])</f>
        <v>452</v>
      </c>
      <c r="G456" s="173">
        <v>45823</v>
      </c>
      <c r="H456" s="3">
        <v>10</v>
      </c>
      <c r="I456" s="263">
        <v>4</v>
      </c>
      <c r="J456" s="249" t="s">
        <v>12</v>
      </c>
      <c r="K456" s="253"/>
    </row>
    <row r="457" spans="6:11" x14ac:dyDescent="0.3">
      <c r="F457" s="355">
        <f>ROW()-ROW(APORTACIONESOCIOS[[#Headers],[SECUENCIA]])</f>
        <v>453</v>
      </c>
      <c r="G457" s="173">
        <v>45823</v>
      </c>
      <c r="H457" s="3">
        <v>10</v>
      </c>
      <c r="I457" s="263">
        <v>5</v>
      </c>
      <c r="J457" s="249" t="s">
        <v>14</v>
      </c>
      <c r="K457" s="253"/>
    </row>
    <row r="458" spans="6:11" x14ac:dyDescent="0.3">
      <c r="F458" s="355">
        <f>ROW()-ROW(APORTACIONESOCIOS[[#Headers],[SECUENCIA]])</f>
        <v>454</v>
      </c>
      <c r="G458" s="173">
        <v>45823</v>
      </c>
      <c r="H458" s="3">
        <v>10</v>
      </c>
      <c r="I458" s="263">
        <v>6</v>
      </c>
      <c r="J458" s="249" t="s">
        <v>24</v>
      </c>
      <c r="K458" s="253"/>
    </row>
    <row r="459" spans="6:11" x14ac:dyDescent="0.3">
      <c r="F459" s="355">
        <f>ROW()-ROW(APORTACIONESOCIOS[[#Headers],[SECUENCIA]])</f>
        <v>455</v>
      </c>
      <c r="G459" s="173">
        <v>45823</v>
      </c>
      <c r="H459" s="3">
        <v>10</v>
      </c>
      <c r="I459" s="263">
        <v>7</v>
      </c>
      <c r="J459" s="249" t="s">
        <v>15</v>
      </c>
      <c r="K459" s="253"/>
    </row>
    <row r="460" spans="6:11" x14ac:dyDescent="0.3">
      <c r="F460" s="355">
        <f>ROW()-ROW(APORTACIONESOCIOS[[#Headers],[SECUENCIA]])</f>
        <v>456</v>
      </c>
      <c r="G460" s="173">
        <v>45823</v>
      </c>
      <c r="H460" s="3">
        <v>10</v>
      </c>
      <c r="I460" s="263">
        <v>8</v>
      </c>
      <c r="J460" s="249" t="s">
        <v>16</v>
      </c>
      <c r="K460" s="253"/>
    </row>
    <row r="461" spans="6:11" x14ac:dyDescent="0.3">
      <c r="F461" s="355">
        <f>ROW()-ROW(APORTACIONESOCIOS[[#Headers],[SECUENCIA]])</f>
        <v>457</v>
      </c>
      <c r="G461" s="173">
        <v>45823</v>
      </c>
      <c r="H461" s="3">
        <v>10</v>
      </c>
      <c r="I461" s="263">
        <v>9</v>
      </c>
      <c r="J461" s="249" t="s">
        <v>17</v>
      </c>
      <c r="K461" s="253"/>
    </row>
    <row r="462" spans="6:11" x14ac:dyDescent="0.3">
      <c r="F462" s="355">
        <f>ROW()-ROW(APORTACIONESOCIOS[[#Headers],[SECUENCIA]])</f>
        <v>458</v>
      </c>
      <c r="G462" s="173">
        <v>45823</v>
      </c>
      <c r="H462" s="3">
        <v>10</v>
      </c>
      <c r="I462" s="263">
        <v>10</v>
      </c>
      <c r="J462" s="249" t="s">
        <v>18</v>
      </c>
      <c r="K462" s="253"/>
    </row>
    <row r="463" spans="6:11" x14ac:dyDescent="0.3">
      <c r="F463" s="355">
        <f>ROW()-ROW(APORTACIONESOCIOS[[#Headers],[SECUENCIA]])</f>
        <v>459</v>
      </c>
      <c r="G463" s="173">
        <v>45823</v>
      </c>
      <c r="H463" s="3">
        <v>10</v>
      </c>
      <c r="I463" s="263">
        <v>11</v>
      </c>
      <c r="J463" s="249" t="s">
        <v>19</v>
      </c>
      <c r="K463" s="253"/>
    </row>
    <row r="464" spans="6:11" x14ac:dyDescent="0.3">
      <c r="F464" s="355">
        <f>ROW()-ROW(APORTACIONESOCIOS[[#Headers],[SECUENCIA]])</f>
        <v>460</v>
      </c>
      <c r="G464" s="173">
        <v>45823</v>
      </c>
      <c r="H464" s="3">
        <v>10</v>
      </c>
      <c r="I464" s="263">
        <v>12</v>
      </c>
      <c r="J464" s="249" t="s">
        <v>20</v>
      </c>
      <c r="K464" s="253"/>
    </row>
    <row r="465" spans="6:11" x14ac:dyDescent="0.3">
      <c r="F465" s="355">
        <f>ROW()-ROW(APORTACIONESOCIOS[[#Headers],[SECUENCIA]])</f>
        <v>461</v>
      </c>
      <c r="G465" s="173">
        <v>45823</v>
      </c>
      <c r="H465" s="3">
        <v>10</v>
      </c>
      <c r="I465" s="263">
        <v>13</v>
      </c>
      <c r="J465" s="249" t="s">
        <v>341</v>
      </c>
      <c r="K465" s="253"/>
    </row>
    <row r="466" spans="6:11" x14ac:dyDescent="0.3">
      <c r="F466" s="355">
        <f>ROW()-ROW(APORTACIONESOCIOS[[#Headers],[SECUENCIA]])</f>
        <v>462</v>
      </c>
      <c r="G466" s="173">
        <v>45823</v>
      </c>
      <c r="H466" s="3">
        <v>10</v>
      </c>
      <c r="I466" s="263">
        <v>14</v>
      </c>
      <c r="J466" s="249" t="s">
        <v>21</v>
      </c>
      <c r="K466" s="253"/>
    </row>
    <row r="467" spans="6:11" x14ac:dyDescent="0.3">
      <c r="F467" s="355">
        <f>ROW()-ROW(APORTACIONESOCIOS[[#Headers],[SECUENCIA]])</f>
        <v>463</v>
      </c>
      <c r="G467" s="173">
        <v>45823</v>
      </c>
      <c r="H467" s="3">
        <v>10</v>
      </c>
      <c r="I467" s="263">
        <v>15</v>
      </c>
      <c r="J467" s="249" t="s">
        <v>22</v>
      </c>
      <c r="K467" s="253"/>
    </row>
    <row r="468" spans="6:11" x14ac:dyDescent="0.3">
      <c r="F468" s="355">
        <f>ROW()-ROW(APORTACIONESOCIOS[[#Headers],[SECUENCIA]])</f>
        <v>464</v>
      </c>
      <c r="G468" s="173">
        <v>45823</v>
      </c>
      <c r="H468" s="3">
        <v>10</v>
      </c>
      <c r="I468" s="263">
        <v>16</v>
      </c>
      <c r="J468" s="249" t="s">
        <v>23</v>
      </c>
      <c r="K468" s="253"/>
    </row>
    <row r="469" spans="6:11" x14ac:dyDescent="0.3">
      <c r="F469" s="355">
        <f>ROW()-ROW(APORTACIONESOCIOS[[#Headers],[SECUENCIA]])</f>
        <v>465</v>
      </c>
      <c r="G469" s="173">
        <v>45823</v>
      </c>
      <c r="H469" s="3">
        <v>10</v>
      </c>
      <c r="I469" s="263">
        <v>17</v>
      </c>
      <c r="J469" s="249" t="s">
        <v>339</v>
      </c>
      <c r="K469" s="253"/>
    </row>
    <row r="470" spans="6:11" x14ac:dyDescent="0.3">
      <c r="F470" s="356">
        <f>ROW()-ROW(APORTACIONESOCIOS[[#Headers],[SECUENCIA]])</f>
        <v>466</v>
      </c>
      <c r="G470" s="173">
        <v>45823</v>
      </c>
      <c r="H470" s="3">
        <v>10</v>
      </c>
      <c r="I470" s="264">
        <v>18</v>
      </c>
      <c r="J470" s="254" t="s">
        <v>340</v>
      </c>
      <c r="K470" s="255"/>
    </row>
    <row r="471" spans="6:11" x14ac:dyDescent="0.3">
      <c r="F471" s="355">
        <f>ROW()-ROW(APORTACIONESOCIOS[[#Headers],[SECUENCIA]])</f>
        <v>467</v>
      </c>
      <c r="G471" s="173">
        <v>45853</v>
      </c>
      <c r="H471" s="3">
        <v>10</v>
      </c>
      <c r="I471" s="263">
        <v>3</v>
      </c>
      <c r="J471" s="249" t="s">
        <v>13</v>
      </c>
      <c r="K471" s="253"/>
    </row>
    <row r="472" spans="6:11" x14ac:dyDescent="0.3">
      <c r="F472" s="355">
        <f>ROW()-ROW(APORTACIONESOCIOS[[#Headers],[SECUENCIA]])</f>
        <v>468</v>
      </c>
      <c r="G472" s="173">
        <v>45853</v>
      </c>
      <c r="H472" s="3">
        <v>10</v>
      </c>
      <c r="I472" s="263">
        <v>4</v>
      </c>
      <c r="J472" s="249" t="s">
        <v>12</v>
      </c>
      <c r="K472" s="253"/>
    </row>
    <row r="473" spans="6:11" x14ac:dyDescent="0.3">
      <c r="F473" s="355">
        <f>ROW()-ROW(APORTACIONESOCIOS[[#Headers],[SECUENCIA]])</f>
        <v>469</v>
      </c>
      <c r="G473" s="173">
        <v>45853</v>
      </c>
      <c r="H473" s="3">
        <v>10</v>
      </c>
      <c r="I473" s="263">
        <v>5</v>
      </c>
      <c r="J473" s="249" t="s">
        <v>14</v>
      </c>
      <c r="K473" s="253"/>
    </row>
    <row r="474" spans="6:11" x14ac:dyDescent="0.3">
      <c r="F474" s="355">
        <f>ROW()-ROW(APORTACIONESOCIOS[[#Headers],[SECUENCIA]])</f>
        <v>470</v>
      </c>
      <c r="G474" s="173">
        <v>45853</v>
      </c>
      <c r="H474" s="3">
        <v>10</v>
      </c>
      <c r="I474" s="263">
        <v>6</v>
      </c>
      <c r="J474" s="249" t="s">
        <v>24</v>
      </c>
      <c r="K474" s="253"/>
    </row>
    <row r="475" spans="6:11" x14ac:dyDescent="0.3">
      <c r="F475" s="355">
        <f>ROW()-ROW(APORTACIONESOCIOS[[#Headers],[SECUENCIA]])</f>
        <v>471</v>
      </c>
      <c r="G475" s="173">
        <v>45853</v>
      </c>
      <c r="H475" s="3">
        <v>10</v>
      </c>
      <c r="I475" s="263">
        <v>7</v>
      </c>
      <c r="J475" s="249" t="s">
        <v>15</v>
      </c>
      <c r="K475" s="253"/>
    </row>
    <row r="476" spans="6:11" x14ac:dyDescent="0.3">
      <c r="F476" s="355">
        <f>ROW()-ROW(APORTACIONESOCIOS[[#Headers],[SECUENCIA]])</f>
        <v>472</v>
      </c>
      <c r="G476" s="173">
        <v>45853</v>
      </c>
      <c r="H476" s="3">
        <v>10</v>
      </c>
      <c r="I476" s="263">
        <v>8</v>
      </c>
      <c r="J476" s="249" t="s">
        <v>16</v>
      </c>
      <c r="K476" s="253"/>
    </row>
    <row r="477" spans="6:11" x14ac:dyDescent="0.3">
      <c r="F477" s="355">
        <f>ROW()-ROW(APORTACIONESOCIOS[[#Headers],[SECUENCIA]])</f>
        <v>473</v>
      </c>
      <c r="G477" s="173">
        <v>45853</v>
      </c>
      <c r="H477" s="3">
        <v>10</v>
      </c>
      <c r="I477" s="263">
        <v>9</v>
      </c>
      <c r="J477" s="249" t="s">
        <v>17</v>
      </c>
      <c r="K477" s="253"/>
    </row>
    <row r="478" spans="6:11" x14ac:dyDescent="0.3">
      <c r="F478" s="355">
        <f>ROW()-ROW(APORTACIONESOCIOS[[#Headers],[SECUENCIA]])</f>
        <v>474</v>
      </c>
      <c r="G478" s="173">
        <v>45853</v>
      </c>
      <c r="H478" s="3">
        <v>10</v>
      </c>
      <c r="I478" s="263">
        <v>10</v>
      </c>
      <c r="J478" s="249" t="s">
        <v>18</v>
      </c>
      <c r="K478" s="253"/>
    </row>
    <row r="479" spans="6:11" x14ac:dyDescent="0.3">
      <c r="F479" s="355">
        <f>ROW()-ROW(APORTACIONESOCIOS[[#Headers],[SECUENCIA]])</f>
        <v>475</v>
      </c>
      <c r="G479" s="173">
        <v>45853</v>
      </c>
      <c r="H479" s="3">
        <v>10</v>
      </c>
      <c r="I479" s="263">
        <v>11</v>
      </c>
      <c r="J479" s="249" t="s">
        <v>19</v>
      </c>
      <c r="K479" s="253"/>
    </row>
    <row r="480" spans="6:11" x14ac:dyDescent="0.3">
      <c r="F480" s="355">
        <f>ROW()-ROW(APORTACIONESOCIOS[[#Headers],[SECUENCIA]])</f>
        <v>476</v>
      </c>
      <c r="G480" s="173">
        <v>45853</v>
      </c>
      <c r="H480" s="3">
        <v>10</v>
      </c>
      <c r="I480" s="263">
        <v>12</v>
      </c>
      <c r="J480" s="249" t="s">
        <v>20</v>
      </c>
      <c r="K480" s="253"/>
    </row>
    <row r="481" spans="6:11" x14ac:dyDescent="0.3">
      <c r="F481" s="355">
        <f>ROW()-ROW(APORTACIONESOCIOS[[#Headers],[SECUENCIA]])</f>
        <v>477</v>
      </c>
      <c r="G481" s="173">
        <v>45853</v>
      </c>
      <c r="H481" s="3">
        <v>120</v>
      </c>
      <c r="I481" s="263">
        <v>13</v>
      </c>
      <c r="J481" s="249" t="s">
        <v>341</v>
      </c>
      <c r="K481" s="253"/>
    </row>
    <row r="482" spans="6:11" x14ac:dyDescent="0.3">
      <c r="F482" s="355">
        <f>ROW()-ROW(APORTACIONESOCIOS[[#Headers],[SECUENCIA]])</f>
        <v>478</v>
      </c>
      <c r="G482" s="173">
        <v>45853</v>
      </c>
      <c r="H482" s="3">
        <v>10</v>
      </c>
      <c r="I482" s="263">
        <v>14</v>
      </c>
      <c r="J482" s="249" t="s">
        <v>21</v>
      </c>
      <c r="K482" s="253"/>
    </row>
    <row r="483" spans="6:11" x14ac:dyDescent="0.3">
      <c r="F483" s="355">
        <f>ROW()-ROW(APORTACIONESOCIOS[[#Headers],[SECUENCIA]])</f>
        <v>479</v>
      </c>
      <c r="G483" s="173">
        <v>45853</v>
      </c>
      <c r="H483" s="3">
        <v>10</v>
      </c>
      <c r="I483" s="263">
        <v>15</v>
      </c>
      <c r="J483" s="249" t="s">
        <v>22</v>
      </c>
      <c r="K483" s="253"/>
    </row>
    <row r="484" spans="6:11" x14ac:dyDescent="0.3">
      <c r="F484" s="355">
        <f>ROW()-ROW(APORTACIONESOCIOS[[#Headers],[SECUENCIA]])</f>
        <v>480</v>
      </c>
      <c r="G484" s="173">
        <v>45853</v>
      </c>
      <c r="H484" s="3">
        <v>10</v>
      </c>
      <c r="I484" s="263">
        <v>16</v>
      </c>
      <c r="J484" s="249" t="s">
        <v>23</v>
      </c>
      <c r="K484" s="253"/>
    </row>
    <row r="485" spans="6:11" x14ac:dyDescent="0.3">
      <c r="F485" s="355">
        <f>ROW()-ROW(APORTACIONESOCIOS[[#Headers],[SECUENCIA]])</f>
        <v>481</v>
      </c>
      <c r="G485" s="173">
        <v>45853</v>
      </c>
      <c r="H485" s="3">
        <v>10</v>
      </c>
      <c r="I485" s="263">
        <v>17</v>
      </c>
      <c r="J485" s="249" t="s">
        <v>339</v>
      </c>
      <c r="K485" s="253"/>
    </row>
    <row r="486" spans="6:11" x14ac:dyDescent="0.3">
      <c r="F486" s="356">
        <f>ROW()-ROW(APORTACIONESOCIOS[[#Headers],[SECUENCIA]])</f>
        <v>482</v>
      </c>
      <c r="G486" s="173">
        <v>45854</v>
      </c>
      <c r="H486" s="3">
        <v>50</v>
      </c>
      <c r="I486" s="264">
        <v>18</v>
      </c>
      <c r="J486" s="254" t="s">
        <v>340</v>
      </c>
      <c r="K486" s="255"/>
    </row>
    <row r="487" spans="6:11" x14ac:dyDescent="0.3">
      <c r="F487" s="355">
        <f>ROW()-ROW(APORTACIONESOCIOS[[#Headers],[SECUENCIA]])</f>
        <v>483</v>
      </c>
      <c r="G487" s="173">
        <v>45884</v>
      </c>
      <c r="H487" s="3">
        <v>10</v>
      </c>
      <c r="I487" s="263">
        <v>3</v>
      </c>
      <c r="J487" s="249" t="s">
        <v>13</v>
      </c>
      <c r="K487" s="253"/>
    </row>
    <row r="488" spans="6:11" x14ac:dyDescent="0.3">
      <c r="F488" s="355">
        <f>ROW()-ROW(APORTACIONESOCIOS[[#Headers],[SECUENCIA]])</f>
        <v>484</v>
      </c>
      <c r="G488" s="173">
        <v>45884</v>
      </c>
      <c r="H488" s="3">
        <v>10</v>
      </c>
      <c r="I488" s="263">
        <v>4</v>
      </c>
      <c r="J488" s="249" t="s">
        <v>12</v>
      </c>
      <c r="K488" s="253"/>
    </row>
    <row r="489" spans="6:11" x14ac:dyDescent="0.3">
      <c r="F489" s="355">
        <f>ROW()-ROW(APORTACIONESOCIOS[[#Headers],[SECUENCIA]])</f>
        <v>485</v>
      </c>
      <c r="G489" s="173">
        <v>45884</v>
      </c>
      <c r="H489" s="3">
        <v>10</v>
      </c>
      <c r="I489" s="263">
        <v>5</v>
      </c>
      <c r="J489" s="249" t="s">
        <v>14</v>
      </c>
      <c r="K489" s="253"/>
    </row>
    <row r="490" spans="6:11" x14ac:dyDescent="0.3">
      <c r="F490" s="355">
        <f>ROW()-ROW(APORTACIONESOCIOS[[#Headers],[SECUENCIA]])</f>
        <v>486</v>
      </c>
      <c r="G490" s="173">
        <v>45884</v>
      </c>
      <c r="H490" s="3">
        <v>10</v>
      </c>
      <c r="I490" s="263">
        <v>6</v>
      </c>
      <c r="J490" s="249" t="s">
        <v>24</v>
      </c>
      <c r="K490" s="253" t="s">
        <v>447</v>
      </c>
    </row>
    <row r="491" spans="6:11" x14ac:dyDescent="0.3">
      <c r="F491" s="355">
        <f>ROW()-ROW(APORTACIONESOCIOS[[#Headers],[SECUENCIA]])</f>
        <v>487</v>
      </c>
      <c r="G491" s="173">
        <v>45884</v>
      </c>
      <c r="H491" s="3">
        <v>10</v>
      </c>
      <c r="I491" s="263">
        <v>7</v>
      </c>
      <c r="J491" s="249" t="s">
        <v>15</v>
      </c>
      <c r="K491" s="253"/>
    </row>
    <row r="492" spans="6:11" x14ac:dyDescent="0.3">
      <c r="F492" s="355">
        <f>ROW()-ROW(APORTACIONESOCIOS[[#Headers],[SECUENCIA]])</f>
        <v>488</v>
      </c>
      <c r="G492" s="173">
        <v>45884</v>
      </c>
      <c r="H492" s="3">
        <v>10</v>
      </c>
      <c r="I492" s="263">
        <v>8</v>
      </c>
      <c r="J492" s="249" t="s">
        <v>16</v>
      </c>
      <c r="K492" s="253"/>
    </row>
    <row r="493" spans="6:11" x14ac:dyDescent="0.3">
      <c r="F493" s="355">
        <f>ROW()-ROW(APORTACIONESOCIOS[[#Headers],[SECUENCIA]])</f>
        <v>489</v>
      </c>
      <c r="G493" s="173">
        <v>45884</v>
      </c>
      <c r="H493" s="3">
        <v>10</v>
      </c>
      <c r="I493" s="263">
        <v>9</v>
      </c>
      <c r="J493" s="249" t="s">
        <v>17</v>
      </c>
      <c r="K493" s="253"/>
    </row>
    <row r="494" spans="6:11" x14ac:dyDescent="0.3">
      <c r="F494" s="355">
        <f>ROW()-ROW(APORTACIONESOCIOS[[#Headers],[SECUENCIA]])</f>
        <v>490</v>
      </c>
      <c r="G494" s="173">
        <v>45884</v>
      </c>
      <c r="H494" s="3">
        <v>10</v>
      </c>
      <c r="I494" s="263">
        <v>10</v>
      </c>
      <c r="J494" s="249" t="s">
        <v>18</v>
      </c>
      <c r="K494" s="253"/>
    </row>
    <row r="495" spans="6:11" x14ac:dyDescent="0.3">
      <c r="F495" s="355">
        <f>ROW()-ROW(APORTACIONESOCIOS[[#Headers],[SECUENCIA]])</f>
        <v>491</v>
      </c>
      <c r="G495" s="173">
        <v>45884</v>
      </c>
      <c r="H495" s="3">
        <v>10</v>
      </c>
      <c r="I495" s="263">
        <v>11</v>
      </c>
      <c r="J495" s="249" t="s">
        <v>19</v>
      </c>
      <c r="K495" s="253"/>
    </row>
    <row r="496" spans="6:11" x14ac:dyDescent="0.3">
      <c r="F496" s="355">
        <f>ROW()-ROW(APORTACIONESOCIOS[[#Headers],[SECUENCIA]])</f>
        <v>492</v>
      </c>
      <c r="G496" s="173">
        <v>45884</v>
      </c>
      <c r="H496" s="3">
        <v>10</v>
      </c>
      <c r="I496" s="263">
        <v>12</v>
      </c>
      <c r="J496" s="249" t="s">
        <v>20</v>
      </c>
      <c r="K496" s="253"/>
    </row>
    <row r="497" spans="6:11" x14ac:dyDescent="0.3">
      <c r="F497" s="355">
        <f>ROW()-ROW(APORTACIONESOCIOS[[#Headers],[SECUENCIA]])</f>
        <v>493</v>
      </c>
      <c r="G497" s="173">
        <v>45884</v>
      </c>
      <c r="H497" s="3">
        <v>10</v>
      </c>
      <c r="I497" s="263">
        <v>13</v>
      </c>
      <c r="J497" s="249" t="s">
        <v>341</v>
      </c>
      <c r="K497" s="253"/>
    </row>
    <row r="498" spans="6:11" x14ac:dyDescent="0.3">
      <c r="F498" s="355">
        <f>ROW()-ROW(APORTACIONESOCIOS[[#Headers],[SECUENCIA]])</f>
        <v>494</v>
      </c>
      <c r="G498" s="173">
        <v>45884</v>
      </c>
      <c r="H498" s="3">
        <v>10</v>
      </c>
      <c r="I498" s="263">
        <v>14</v>
      </c>
      <c r="J498" s="249" t="s">
        <v>21</v>
      </c>
      <c r="K498" s="253" t="s">
        <v>432</v>
      </c>
    </row>
    <row r="499" spans="6:11" x14ac:dyDescent="0.3">
      <c r="F499" s="355">
        <f>ROW()-ROW(APORTACIONESOCIOS[[#Headers],[SECUENCIA]])</f>
        <v>495</v>
      </c>
      <c r="G499" s="173">
        <v>45884</v>
      </c>
      <c r="H499" s="3">
        <v>10</v>
      </c>
      <c r="I499" s="263">
        <v>15</v>
      </c>
      <c r="J499" s="249" t="s">
        <v>22</v>
      </c>
      <c r="K499" s="253" t="s">
        <v>432</v>
      </c>
    </row>
    <row r="500" spans="6:11" x14ac:dyDescent="0.3">
      <c r="F500" s="355">
        <f>ROW()-ROW(APORTACIONESOCIOS[[#Headers],[SECUENCIA]])</f>
        <v>496</v>
      </c>
      <c r="G500" s="173">
        <v>45884</v>
      </c>
      <c r="H500" s="3">
        <v>10</v>
      </c>
      <c r="I500" s="263">
        <v>16</v>
      </c>
      <c r="J500" s="249" t="s">
        <v>23</v>
      </c>
      <c r="K500" s="253"/>
    </row>
    <row r="501" spans="6:11" x14ac:dyDescent="0.3">
      <c r="F501" s="355">
        <f>ROW()-ROW(APORTACIONESOCIOS[[#Headers],[SECUENCIA]])</f>
        <v>497</v>
      </c>
      <c r="G501" s="173">
        <v>45884</v>
      </c>
      <c r="H501" s="3">
        <v>10</v>
      </c>
      <c r="I501" s="263">
        <v>17</v>
      </c>
      <c r="J501" s="249" t="s">
        <v>339</v>
      </c>
      <c r="K501" s="253"/>
    </row>
    <row r="502" spans="6:11" x14ac:dyDescent="0.3">
      <c r="F502" s="356">
        <f>ROW()-ROW(APORTACIONESOCIOS[[#Headers],[SECUENCIA]])</f>
        <v>498</v>
      </c>
      <c r="G502" s="173">
        <v>45884</v>
      </c>
      <c r="H502" s="329">
        <v>10</v>
      </c>
      <c r="I502" s="264">
        <v>18</v>
      </c>
      <c r="J502" s="254" t="s">
        <v>340</v>
      </c>
      <c r="K502" s="255"/>
    </row>
    <row r="503" spans="6:11" x14ac:dyDescent="0.3">
      <c r="F503" s="357">
        <v>499</v>
      </c>
      <c r="G503" s="173">
        <v>45915</v>
      </c>
      <c r="H503" s="3">
        <v>10</v>
      </c>
      <c r="I503" s="263">
        <v>3</v>
      </c>
      <c r="J503" s="249" t="s">
        <v>13</v>
      </c>
      <c r="K503" s="253" t="s">
        <v>498</v>
      </c>
    </row>
    <row r="504" spans="6:11" x14ac:dyDescent="0.3">
      <c r="F504" s="357">
        <v>500</v>
      </c>
      <c r="G504" s="173">
        <v>45915</v>
      </c>
      <c r="H504" s="3">
        <v>10</v>
      </c>
      <c r="I504" s="263">
        <v>4</v>
      </c>
      <c r="J504" s="249" t="s">
        <v>12</v>
      </c>
      <c r="K504" s="253" t="s">
        <v>498</v>
      </c>
    </row>
    <row r="505" spans="6:11" x14ac:dyDescent="0.3">
      <c r="F505" s="357">
        <v>501</v>
      </c>
      <c r="G505" s="173">
        <v>45915</v>
      </c>
      <c r="H505" s="3">
        <v>10</v>
      </c>
      <c r="I505" s="263">
        <v>11</v>
      </c>
      <c r="J505" s="249" t="s">
        <v>19</v>
      </c>
      <c r="K505" s="253" t="s">
        <v>498</v>
      </c>
    </row>
    <row r="506" spans="6:11" x14ac:dyDescent="0.3">
      <c r="F506" s="357">
        <v>502</v>
      </c>
      <c r="G506" s="173">
        <v>45915</v>
      </c>
      <c r="H506" s="3">
        <v>10</v>
      </c>
      <c r="I506" s="263">
        <v>5</v>
      </c>
      <c r="J506" s="249" t="s">
        <v>14</v>
      </c>
      <c r="K506" s="253" t="s">
        <v>498</v>
      </c>
    </row>
    <row r="507" spans="6:11" x14ac:dyDescent="0.3">
      <c r="F507" s="357">
        <v>503</v>
      </c>
      <c r="G507" s="173">
        <v>45915</v>
      </c>
      <c r="H507" s="3">
        <v>10</v>
      </c>
      <c r="I507" s="263">
        <v>6</v>
      </c>
      <c r="J507" s="249" t="s">
        <v>24</v>
      </c>
      <c r="K507" s="253" t="s">
        <v>498</v>
      </c>
    </row>
    <row r="508" spans="6:11" x14ac:dyDescent="0.3">
      <c r="F508" s="357">
        <v>504</v>
      </c>
      <c r="G508" s="173">
        <v>45915</v>
      </c>
      <c r="H508" s="3">
        <v>10</v>
      </c>
      <c r="I508" s="263">
        <v>7</v>
      </c>
      <c r="J508" s="249" t="s">
        <v>408</v>
      </c>
      <c r="K508" s="253" t="s">
        <v>498</v>
      </c>
    </row>
    <row r="509" spans="6:11" x14ac:dyDescent="0.3">
      <c r="F509" s="357">
        <v>505</v>
      </c>
      <c r="G509" s="173">
        <v>45915</v>
      </c>
      <c r="H509" s="3">
        <v>10</v>
      </c>
      <c r="I509" s="263">
        <v>8</v>
      </c>
      <c r="J509" s="249" t="s">
        <v>409</v>
      </c>
      <c r="K509" s="253" t="s">
        <v>498</v>
      </c>
    </row>
    <row r="510" spans="6:11" x14ac:dyDescent="0.3">
      <c r="F510" s="357">
        <v>506</v>
      </c>
      <c r="G510" s="173">
        <v>45915</v>
      </c>
      <c r="H510" s="3">
        <v>10</v>
      </c>
      <c r="I510" s="263">
        <v>16</v>
      </c>
      <c r="J510" s="249" t="s">
        <v>23</v>
      </c>
      <c r="K510" s="253" t="s">
        <v>498</v>
      </c>
    </row>
    <row r="511" spans="6:11" x14ac:dyDescent="0.3">
      <c r="F511" s="357">
        <v>507</v>
      </c>
      <c r="G511" s="173">
        <v>45915</v>
      </c>
      <c r="H511" s="3">
        <v>0</v>
      </c>
      <c r="I511" s="263">
        <v>9</v>
      </c>
      <c r="J511" s="249" t="s">
        <v>17</v>
      </c>
      <c r="K511" s="253" t="s">
        <v>419</v>
      </c>
    </row>
    <row r="512" spans="6:11" x14ac:dyDescent="0.3">
      <c r="F512" s="357">
        <v>508</v>
      </c>
      <c r="G512" s="173">
        <v>45915</v>
      </c>
      <c r="H512" s="3">
        <v>0</v>
      </c>
      <c r="I512" s="263">
        <v>10</v>
      </c>
      <c r="J512" s="249" t="s">
        <v>18</v>
      </c>
      <c r="K512" s="253" t="s">
        <v>419</v>
      </c>
    </row>
    <row r="513" spans="6:11" x14ac:dyDescent="0.3">
      <c r="F513" s="357">
        <v>509</v>
      </c>
      <c r="G513" s="173">
        <v>45915</v>
      </c>
      <c r="H513" s="3">
        <v>10</v>
      </c>
      <c r="I513" s="263">
        <v>12</v>
      </c>
      <c r="J513" s="249" t="s">
        <v>20</v>
      </c>
      <c r="K513" s="253" t="s">
        <v>498</v>
      </c>
    </row>
    <row r="514" spans="6:11" x14ac:dyDescent="0.3">
      <c r="F514" s="357">
        <v>510</v>
      </c>
      <c r="G514" s="173">
        <v>45915</v>
      </c>
      <c r="H514" s="3">
        <v>10</v>
      </c>
      <c r="I514" s="263">
        <v>13</v>
      </c>
      <c r="J514" s="249" t="s">
        <v>341</v>
      </c>
      <c r="K514" s="253" t="s">
        <v>498</v>
      </c>
    </row>
    <row r="515" spans="6:11" x14ac:dyDescent="0.3">
      <c r="F515" s="357">
        <v>511</v>
      </c>
      <c r="G515" s="173">
        <v>45915</v>
      </c>
      <c r="H515" s="3">
        <v>10</v>
      </c>
      <c r="I515" s="263">
        <v>14</v>
      </c>
      <c r="J515" s="249" t="s">
        <v>21</v>
      </c>
      <c r="K515" s="253" t="s">
        <v>498</v>
      </c>
    </row>
    <row r="516" spans="6:11" x14ac:dyDescent="0.3">
      <c r="F516" s="357">
        <v>512</v>
      </c>
      <c r="G516" s="173">
        <v>45915</v>
      </c>
      <c r="H516" s="3">
        <v>10</v>
      </c>
      <c r="I516" s="263">
        <v>15</v>
      </c>
      <c r="J516" s="249" t="s">
        <v>22</v>
      </c>
      <c r="K516" s="253" t="s">
        <v>498</v>
      </c>
    </row>
    <row r="517" spans="6:11" x14ac:dyDescent="0.3">
      <c r="F517" s="357">
        <v>513</v>
      </c>
      <c r="G517" s="173">
        <v>45915</v>
      </c>
      <c r="H517" s="3">
        <v>10</v>
      </c>
      <c r="I517" s="263">
        <v>17</v>
      </c>
      <c r="J517" s="249" t="s">
        <v>339</v>
      </c>
      <c r="K517" s="253" t="s">
        <v>498</v>
      </c>
    </row>
    <row r="518" spans="6:11" x14ac:dyDescent="0.3">
      <c r="F518" s="357">
        <v>514</v>
      </c>
      <c r="G518" s="173">
        <v>45915</v>
      </c>
      <c r="H518" s="3">
        <v>10</v>
      </c>
      <c r="I518" s="263">
        <v>18</v>
      </c>
      <c r="J518" s="249" t="s">
        <v>340</v>
      </c>
      <c r="K518" s="253" t="s">
        <v>498</v>
      </c>
    </row>
    <row r="519" spans="6:11" x14ac:dyDescent="0.3">
      <c r="F519" s="357">
        <v>515</v>
      </c>
      <c r="G519" s="173">
        <v>45930</v>
      </c>
      <c r="H519" s="3">
        <v>10</v>
      </c>
      <c r="I519" s="263">
        <v>10</v>
      </c>
      <c r="J519" s="249" t="s">
        <v>18</v>
      </c>
      <c r="K519" s="253" t="s">
        <v>174</v>
      </c>
    </row>
    <row r="520" spans="6:11" x14ac:dyDescent="0.3">
      <c r="F520" s="357">
        <v>516</v>
      </c>
      <c r="G520" s="173">
        <v>45930</v>
      </c>
      <c r="H520" s="3">
        <v>10</v>
      </c>
      <c r="I520" s="263">
        <v>9</v>
      </c>
      <c r="J520" s="249" t="s">
        <v>17</v>
      </c>
      <c r="K520" s="253" t="s">
        <v>174</v>
      </c>
    </row>
    <row r="521" spans="6:11" x14ac:dyDescent="0.3">
      <c r="F521" s="357">
        <v>517</v>
      </c>
      <c r="G521" s="173">
        <v>45945</v>
      </c>
      <c r="H521" s="3">
        <v>10</v>
      </c>
      <c r="I521" s="263">
        <v>3</v>
      </c>
      <c r="J521" s="249" t="s">
        <v>13</v>
      </c>
      <c r="K521" s="253" t="s">
        <v>174</v>
      </c>
    </row>
    <row r="522" spans="6:11" x14ac:dyDescent="0.3">
      <c r="F522" s="357">
        <v>518</v>
      </c>
      <c r="G522" s="173">
        <v>45945</v>
      </c>
      <c r="H522" s="3">
        <v>10</v>
      </c>
      <c r="I522" s="263">
        <v>4</v>
      </c>
      <c r="J522" s="249" t="s">
        <v>12</v>
      </c>
      <c r="K522" s="253" t="s">
        <v>174</v>
      </c>
    </row>
    <row r="523" spans="6:11" x14ac:dyDescent="0.3">
      <c r="F523" s="357">
        <v>519</v>
      </c>
      <c r="G523" s="173">
        <v>45945</v>
      </c>
      <c r="H523" s="3">
        <v>10</v>
      </c>
      <c r="I523" s="263">
        <v>11</v>
      </c>
      <c r="J523" s="249" t="s">
        <v>19</v>
      </c>
      <c r="K523" s="253" t="s">
        <v>174</v>
      </c>
    </row>
    <row r="524" spans="6:11" x14ac:dyDescent="0.3">
      <c r="F524" s="357">
        <v>520</v>
      </c>
      <c r="G524" s="173">
        <v>45945</v>
      </c>
      <c r="H524" s="3">
        <v>10</v>
      </c>
      <c r="I524" s="263">
        <v>5</v>
      </c>
      <c r="J524" s="249" t="s">
        <v>14</v>
      </c>
      <c r="K524" s="253" t="s">
        <v>174</v>
      </c>
    </row>
    <row r="525" spans="6:11" x14ac:dyDescent="0.3">
      <c r="F525" s="357">
        <v>521</v>
      </c>
      <c r="G525" s="173">
        <v>45945</v>
      </c>
      <c r="H525" s="3">
        <v>10</v>
      </c>
      <c r="I525" s="263">
        <v>6</v>
      </c>
      <c r="J525" s="249" t="s">
        <v>24</v>
      </c>
      <c r="K525" s="253" t="s">
        <v>174</v>
      </c>
    </row>
    <row r="526" spans="6:11" x14ac:dyDescent="0.3">
      <c r="F526" s="357">
        <v>522</v>
      </c>
      <c r="G526" s="173">
        <v>45945</v>
      </c>
      <c r="H526" s="3">
        <v>10</v>
      </c>
      <c r="I526" s="263">
        <v>7</v>
      </c>
      <c r="J526" s="249" t="s">
        <v>408</v>
      </c>
      <c r="K526" s="253" t="s">
        <v>174</v>
      </c>
    </row>
    <row r="527" spans="6:11" x14ac:dyDescent="0.3">
      <c r="F527" s="357">
        <v>523</v>
      </c>
      <c r="G527" s="173">
        <v>45945</v>
      </c>
      <c r="H527" s="3">
        <v>10</v>
      </c>
      <c r="I527" s="263">
        <v>8</v>
      </c>
      <c r="J527" s="249" t="s">
        <v>409</v>
      </c>
      <c r="K527" s="253" t="s">
        <v>174</v>
      </c>
    </row>
    <row r="528" spans="6:11" x14ac:dyDescent="0.3">
      <c r="F528" s="357">
        <v>524</v>
      </c>
      <c r="G528" s="173">
        <v>45945</v>
      </c>
      <c r="H528" s="3">
        <v>10</v>
      </c>
      <c r="I528" s="263">
        <v>16</v>
      </c>
      <c r="J528" s="249" t="s">
        <v>515</v>
      </c>
      <c r="K528" s="253" t="s">
        <v>174</v>
      </c>
    </row>
    <row r="529" spans="6:11" x14ac:dyDescent="0.3">
      <c r="F529" s="357">
        <v>525</v>
      </c>
      <c r="G529" s="173">
        <v>45945</v>
      </c>
      <c r="H529" s="3">
        <v>10</v>
      </c>
      <c r="I529" s="263">
        <v>12</v>
      </c>
      <c r="J529" s="249" t="s">
        <v>20</v>
      </c>
      <c r="K529" s="253" t="s">
        <v>174</v>
      </c>
    </row>
    <row r="530" spans="6:11" x14ac:dyDescent="0.3">
      <c r="F530" s="357">
        <v>526</v>
      </c>
      <c r="G530" s="173">
        <v>45945</v>
      </c>
      <c r="H530" s="3">
        <v>10</v>
      </c>
      <c r="I530" s="263">
        <v>13</v>
      </c>
      <c r="J530" s="249" t="s">
        <v>341</v>
      </c>
      <c r="K530" s="253" t="s">
        <v>174</v>
      </c>
    </row>
    <row r="531" spans="6:11" x14ac:dyDescent="0.3">
      <c r="F531" s="357">
        <v>527</v>
      </c>
      <c r="G531" s="173">
        <v>45945</v>
      </c>
      <c r="H531" s="3">
        <v>10</v>
      </c>
      <c r="I531" s="263">
        <v>14</v>
      </c>
      <c r="J531" s="249" t="s">
        <v>21</v>
      </c>
      <c r="K531" s="253" t="s">
        <v>174</v>
      </c>
    </row>
    <row r="532" spans="6:11" x14ac:dyDescent="0.3">
      <c r="F532" s="357">
        <v>528</v>
      </c>
      <c r="G532" s="173">
        <v>45945</v>
      </c>
      <c r="H532" s="3">
        <v>10</v>
      </c>
      <c r="I532" s="263">
        <v>15</v>
      </c>
      <c r="J532" s="249" t="s">
        <v>22</v>
      </c>
      <c r="K532" s="253" t="s">
        <v>174</v>
      </c>
    </row>
    <row r="533" spans="6:11" x14ac:dyDescent="0.3">
      <c r="F533" s="357">
        <v>529</v>
      </c>
      <c r="G533" s="173">
        <v>45945</v>
      </c>
      <c r="H533" s="3">
        <v>10</v>
      </c>
      <c r="I533" s="263">
        <v>17</v>
      </c>
      <c r="J533" s="249" t="s">
        <v>339</v>
      </c>
      <c r="K533" s="253"/>
    </row>
    <row r="534" spans="6:11" x14ac:dyDescent="0.3">
      <c r="F534" s="357">
        <v>530</v>
      </c>
      <c r="G534" s="173">
        <v>45945</v>
      </c>
      <c r="H534" s="3">
        <v>10</v>
      </c>
      <c r="I534" s="263">
        <v>18</v>
      </c>
      <c r="J534" s="249" t="s">
        <v>340</v>
      </c>
      <c r="K534" s="253" t="s">
        <v>174</v>
      </c>
    </row>
    <row r="535" spans="6:11" x14ac:dyDescent="0.3">
      <c r="F535" s="357">
        <v>531</v>
      </c>
      <c r="G535" s="173">
        <v>45945</v>
      </c>
      <c r="H535" s="3">
        <v>10</v>
      </c>
      <c r="I535" s="263">
        <v>9</v>
      </c>
      <c r="J535" s="249" t="s">
        <v>17</v>
      </c>
      <c r="K535" s="253" t="s">
        <v>432</v>
      </c>
    </row>
    <row r="536" spans="6:11" x14ac:dyDescent="0.3">
      <c r="F536" s="357">
        <v>532</v>
      </c>
      <c r="G536" s="173">
        <v>45945</v>
      </c>
      <c r="H536" s="3">
        <v>10</v>
      </c>
      <c r="I536" s="263">
        <v>10</v>
      </c>
      <c r="J536" s="249" t="s">
        <v>18</v>
      </c>
      <c r="K536" s="253" t="s">
        <v>432</v>
      </c>
    </row>
  </sheetData>
  <sheetProtection algorithmName="SHA-512" hashValue="jFUF1FGkx+P7qunjyE0OVGkQt8RPVjUVmQc7QwzwUbWkFSdEXJVQV0ikHV0pM6vlW2p2xmhLY4B6ThcQl0Q3+w==" saltValue="+O3H+8V4ZfU5FKCvbd1bOQ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S26"/>
  <sheetViews>
    <sheetView tabSelected="1" workbookViewId="0"/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" ht="15" thickBot="1" x14ac:dyDescent="0.35"/>
    <row r="2" spans="2:19" ht="15" thickBot="1" x14ac:dyDescent="0.35">
      <c r="B2" s="370" t="s">
        <v>38</v>
      </c>
      <c r="C2" s="371"/>
      <c r="D2" s="371"/>
      <c r="E2" s="371"/>
      <c r="F2" s="371"/>
      <c r="G2" s="371"/>
      <c r="H2" s="372"/>
      <c r="I2" s="296"/>
      <c r="J2" s="373" t="s">
        <v>39</v>
      </c>
      <c r="K2" s="374"/>
      <c r="L2" s="374"/>
      <c r="M2" s="374"/>
      <c r="N2" s="374"/>
      <c r="O2" s="374"/>
      <c r="P2" s="374"/>
      <c r="Q2" s="375"/>
    </row>
    <row r="3" spans="2:19" ht="15" thickBot="1" x14ac:dyDescent="0.35">
      <c r="B3" s="164"/>
      <c r="C3" s="165"/>
      <c r="D3" s="165"/>
      <c r="E3" s="293"/>
      <c r="F3" s="165"/>
      <c r="G3" s="165"/>
      <c r="H3" s="166"/>
      <c r="J3" s="164"/>
      <c r="K3" s="165"/>
      <c r="L3" s="165"/>
      <c r="M3" s="165"/>
      <c r="N3" s="165"/>
      <c r="O3" s="165"/>
      <c r="P3" s="165"/>
      <c r="Q3" s="166"/>
    </row>
    <row r="4" spans="2:19" ht="15" thickBot="1" x14ac:dyDescent="0.35">
      <c r="B4" s="164"/>
      <c r="C4" s="165" t="s">
        <v>66</v>
      </c>
      <c r="D4" s="165"/>
      <c r="E4" s="26"/>
      <c r="F4" s="165"/>
      <c r="G4" s="165"/>
      <c r="H4" s="166"/>
      <c r="J4" s="164"/>
      <c r="K4" s="165" t="s">
        <v>67</v>
      </c>
      <c r="L4" s="165"/>
      <c r="M4" s="27"/>
      <c r="N4" s="205"/>
      <c r="O4" s="165"/>
      <c r="P4" s="165"/>
      <c r="Q4" s="166"/>
    </row>
    <row r="5" spans="2:19" x14ac:dyDescent="0.3">
      <c r="B5" s="297"/>
      <c r="C5" s="298"/>
      <c r="D5" s="298"/>
      <c r="E5" s="298"/>
      <c r="F5" s="298"/>
      <c r="G5" s="298"/>
      <c r="H5" s="299"/>
      <c r="J5" s="297"/>
      <c r="K5" s="298"/>
      <c r="L5" s="298"/>
      <c r="M5" s="298"/>
      <c r="N5" s="298"/>
      <c r="O5" s="298"/>
      <c r="P5" s="298"/>
      <c r="Q5" s="299"/>
    </row>
    <row r="6" spans="2:19" x14ac:dyDescent="0.3">
      <c r="B6" s="297"/>
      <c r="C6" s="300" t="s">
        <v>33</v>
      </c>
      <c r="D6" s="300"/>
      <c r="E6" s="300" t="s">
        <v>50</v>
      </c>
      <c r="F6" s="298"/>
      <c r="G6" s="298"/>
      <c r="H6" s="299"/>
      <c r="J6" s="297"/>
      <c r="K6" s="300" t="s">
        <v>33</v>
      </c>
      <c r="L6" s="300"/>
      <c r="M6" s="301" t="s">
        <v>50</v>
      </c>
      <c r="N6" s="298"/>
      <c r="O6" s="300" t="s">
        <v>250</v>
      </c>
      <c r="P6" s="298"/>
      <c r="Q6" s="299"/>
    </row>
    <row r="7" spans="2:19" ht="15" thickBot="1" x14ac:dyDescent="0.35">
      <c r="B7" s="297"/>
      <c r="C7" s="300"/>
      <c r="D7" s="298"/>
      <c r="E7" s="300"/>
      <c r="F7" s="298"/>
      <c r="H7" s="299"/>
      <c r="J7" s="297"/>
      <c r="K7" s="298"/>
      <c r="L7" s="298"/>
      <c r="M7" s="298"/>
      <c r="N7" s="298"/>
      <c r="O7" s="298"/>
      <c r="P7" s="298"/>
      <c r="Q7" s="299"/>
    </row>
    <row r="8" spans="2:19" ht="15" thickBot="1" x14ac:dyDescent="0.35">
      <c r="B8" s="297"/>
      <c r="C8" s="267" t="str">
        <f>_xlfn.IFNA(IF(ISNUMBER(SEARCH("AYUDA",E4)),2,_xlfn.XLOOKUP(E8,LINEAMIENTOS!$B$3:$B$20,LINEAMIENTOS!$A$3:$A$20)),"")</f>
        <v/>
      </c>
      <c r="D8" s="298"/>
      <c r="E8" s="14"/>
      <c r="F8" s="298"/>
      <c r="G8" s="298"/>
      <c r="H8" s="299"/>
      <c r="J8" s="297"/>
      <c r="K8" s="267" t="str">
        <f>_xlfn.IFNA(IF(ISNUMBER(SEARCH("INGRESO",M4)),1,_xlfn.XLOOKUP(M8,LINEAMIENTOS!$B$3:$B$20,LINEAMIENTOS!$A$3:$A$20)),"")</f>
        <v/>
      </c>
      <c r="L8" s="298"/>
      <c r="M8" s="14"/>
      <c r="N8" s="298"/>
      <c r="O8" s="188"/>
      <c r="P8" s="298"/>
      <c r="Q8" s="299"/>
    </row>
    <row r="9" spans="2:19" x14ac:dyDescent="0.3">
      <c r="B9" s="297"/>
      <c r="C9" s="302"/>
      <c r="D9" s="298"/>
      <c r="E9" s="298"/>
      <c r="F9" s="298"/>
      <c r="G9" s="298"/>
      <c r="H9" s="299"/>
      <c r="J9" s="297"/>
      <c r="K9" s="302"/>
      <c r="L9" s="298"/>
      <c r="M9" s="298"/>
      <c r="N9" s="298"/>
      <c r="O9" s="298"/>
      <c r="P9" s="298"/>
      <c r="Q9" s="299"/>
    </row>
    <row r="10" spans="2:19" x14ac:dyDescent="0.3">
      <c r="B10" s="297"/>
      <c r="C10" s="303" t="s">
        <v>69</v>
      </c>
      <c r="D10" s="298"/>
      <c r="E10" s="303" t="s">
        <v>30</v>
      </c>
      <c r="F10" s="298"/>
      <c r="G10" s="298"/>
      <c r="H10" s="299"/>
      <c r="J10" s="297"/>
      <c r="K10" s="300" t="s">
        <v>28</v>
      </c>
      <c r="L10" s="298"/>
      <c r="M10" s="300" t="s">
        <v>35</v>
      </c>
      <c r="N10" s="298"/>
      <c r="O10" s="300" t="s">
        <v>41</v>
      </c>
      <c r="P10" s="300"/>
      <c r="Q10" s="299"/>
    </row>
    <row r="11" spans="2:19" ht="15" thickBot="1" x14ac:dyDescent="0.35">
      <c r="B11" s="297"/>
      <c r="C11" s="304" t="str">
        <f>IFERROR(C15*C16,"")</f>
        <v/>
      </c>
      <c r="D11" s="298"/>
      <c r="E11" s="303"/>
      <c r="F11" s="298"/>
      <c r="G11" s="298"/>
      <c r="H11" s="299"/>
      <c r="J11" s="297"/>
      <c r="K11" s="298"/>
      <c r="L11" s="298"/>
      <c r="M11" s="298"/>
      <c r="N11" s="298"/>
      <c r="O11" s="298"/>
      <c r="P11" s="298"/>
      <c r="Q11" s="299"/>
    </row>
    <row r="12" spans="2:19" ht="15" thickBot="1" x14ac:dyDescent="0.35">
      <c r="B12" s="297"/>
      <c r="C12" s="31"/>
      <c r="D12" s="298"/>
      <c r="E12" s="15">
        <f ca="1">+TODAY()</f>
        <v>45966</v>
      </c>
      <c r="F12" s="298"/>
      <c r="G12" s="298"/>
      <c r="H12" s="299"/>
      <c r="J12" s="297"/>
      <c r="K12" s="30"/>
      <c r="L12" s="298"/>
      <c r="M12" s="15">
        <f ca="1">+TODAY()</f>
        <v>45966</v>
      </c>
      <c r="N12" s="298"/>
      <c r="O12" s="28"/>
      <c r="P12" s="298"/>
      <c r="Q12" s="299"/>
    </row>
    <row r="13" spans="2:19" x14ac:dyDescent="0.3">
      <c r="B13" s="297"/>
      <c r="C13" s="305" t="str">
        <f>IFERROR(C12/C16,"")</f>
        <v/>
      </c>
      <c r="D13" s="298"/>
      <c r="E13" s="306"/>
      <c r="F13" s="298"/>
      <c r="G13" s="298"/>
      <c r="H13" s="299"/>
      <c r="J13" s="297"/>
      <c r="K13" s="298"/>
      <c r="L13" s="298"/>
      <c r="M13" s="306"/>
      <c r="N13" s="298"/>
      <c r="O13" s="298"/>
      <c r="P13" s="298"/>
      <c r="Q13" s="299"/>
      <c r="S13" s="307"/>
    </row>
    <row r="14" spans="2:19" x14ac:dyDescent="0.3">
      <c r="B14" s="297"/>
      <c r="C14" s="300" t="s">
        <v>55</v>
      </c>
      <c r="D14" s="298"/>
      <c r="E14" s="300" t="s">
        <v>32</v>
      </c>
      <c r="F14" s="298"/>
      <c r="G14" s="298"/>
      <c r="H14" s="299"/>
      <c r="J14" s="297"/>
      <c r="K14" s="300" t="s">
        <v>29</v>
      </c>
      <c r="L14" s="298"/>
      <c r="M14" s="300" t="s">
        <v>36</v>
      </c>
      <c r="N14" s="298"/>
      <c r="O14" s="300" t="s">
        <v>40</v>
      </c>
      <c r="P14" s="300"/>
      <c r="Q14" s="299"/>
    </row>
    <row r="15" spans="2:19" ht="15" thickBot="1" x14ac:dyDescent="0.35">
      <c r="B15" s="297"/>
      <c r="C15" s="305" t="str">
        <f>IFERROR(C13+E17,"")</f>
        <v/>
      </c>
      <c r="D15" s="298"/>
      <c r="E15" s="300"/>
      <c r="F15" s="298"/>
      <c r="G15" s="298"/>
      <c r="H15" s="299"/>
      <c r="J15" s="297"/>
      <c r="K15" s="300"/>
      <c r="L15" s="298"/>
      <c r="M15" s="300"/>
      <c r="N15" s="298"/>
      <c r="O15" s="298"/>
      <c r="P15" s="298"/>
      <c r="Q15" s="299"/>
    </row>
    <row r="16" spans="2:19" ht="15" thickBot="1" x14ac:dyDescent="0.35">
      <c r="B16" s="297"/>
      <c r="C16" s="32"/>
      <c r="D16" s="298"/>
      <c r="E16" s="168"/>
      <c r="F16" s="298"/>
      <c r="G16" s="298"/>
      <c r="H16" s="299"/>
      <c r="J16" s="297"/>
      <c r="K16" s="30"/>
      <c r="L16" s="298"/>
      <c r="M16" s="15">
        <f ca="1">+TODAY()</f>
        <v>45966</v>
      </c>
      <c r="N16" s="298"/>
      <c r="O16" s="29"/>
      <c r="P16" s="298"/>
      <c r="Q16" s="299"/>
    </row>
    <row r="17" spans="2:17" x14ac:dyDescent="0.3">
      <c r="B17" s="297"/>
      <c r="C17" s="308"/>
      <c r="D17" s="298"/>
      <c r="E17" s="305" t="str">
        <f>IF(C12="","",C12*E16)</f>
        <v/>
      </c>
      <c r="F17" s="298"/>
      <c r="G17" s="298"/>
      <c r="H17" s="299"/>
      <c r="J17" s="297"/>
      <c r="K17" s="298"/>
      <c r="L17" s="298"/>
      <c r="M17" s="306"/>
      <c r="N17" s="298"/>
      <c r="O17" s="298"/>
      <c r="P17" s="298"/>
      <c r="Q17" s="299"/>
    </row>
    <row r="18" spans="2:17" x14ac:dyDescent="0.3">
      <c r="B18" s="297"/>
      <c r="C18" s="300" t="s">
        <v>37</v>
      </c>
      <c r="D18" s="298"/>
      <c r="E18" s="298" t="str">
        <f>IF($E$13&lt;&gt;"","LETRA NUMERO: "&amp;MAX(0,MIN(DATEDIF($E$13,E12,"m")-(DAY(E12)&lt;DAY($E$13)), $C$16)),"")</f>
        <v/>
      </c>
      <c r="F18" s="298"/>
      <c r="G18" s="298"/>
      <c r="H18" s="299"/>
      <c r="I18" s="309"/>
      <c r="J18" s="297"/>
      <c r="K18" s="300" t="s">
        <v>37</v>
      </c>
      <c r="L18" s="298"/>
      <c r="M18" s="298"/>
      <c r="N18" s="298"/>
      <c r="O18" s="298"/>
      <c r="P18" s="298"/>
      <c r="Q18" s="299"/>
    </row>
    <row r="19" spans="2:17" ht="15" thickBot="1" x14ac:dyDescent="0.35">
      <c r="B19" s="297"/>
      <c r="C19" s="298"/>
      <c r="D19" s="298"/>
      <c r="E19" s="298" t="str">
        <f>IF($E$13&lt;&gt;"","LETRAS FALTANTES: "&amp;$C$16-MAX(0,MIN(DATEDIF($E$13,E12,"m")-(DAY(E12)&lt;DAY($E$13)), $C$16)),"")</f>
        <v/>
      </c>
      <c r="F19" s="298"/>
      <c r="G19" s="298"/>
      <c r="H19" s="299"/>
      <c r="I19" s="309"/>
      <c r="J19" s="297"/>
      <c r="K19" s="298"/>
      <c r="L19" s="298"/>
      <c r="M19" s="298"/>
      <c r="N19" s="298"/>
      <c r="O19" s="298"/>
      <c r="P19" s="298"/>
      <c r="Q19" s="299"/>
    </row>
    <row r="20" spans="2:17" x14ac:dyDescent="0.3">
      <c r="B20" s="297"/>
      <c r="C20" s="376"/>
      <c r="D20" s="377"/>
      <c r="E20" s="378"/>
      <c r="F20" s="297"/>
      <c r="G20" s="298"/>
      <c r="H20" s="299"/>
      <c r="J20" s="297"/>
      <c r="K20" s="382"/>
      <c r="L20" s="383"/>
      <c r="M20" s="383"/>
      <c r="N20" s="383"/>
      <c r="O20" s="384"/>
      <c r="P20" s="297"/>
      <c r="Q20" s="299"/>
    </row>
    <row r="21" spans="2:17" ht="15" thickBot="1" x14ac:dyDescent="0.35">
      <c r="B21" s="297"/>
      <c r="C21" s="379"/>
      <c r="D21" s="380"/>
      <c r="E21" s="381"/>
      <c r="F21" s="297"/>
      <c r="G21" s="298"/>
      <c r="H21" s="299"/>
      <c r="J21" s="297"/>
      <c r="K21" s="385"/>
      <c r="L21" s="386"/>
      <c r="M21" s="386"/>
      <c r="N21" s="386"/>
      <c r="O21" s="387"/>
      <c r="P21" s="297"/>
      <c r="Q21" s="299"/>
    </row>
    <row r="22" spans="2:17" ht="15" thickBot="1" x14ac:dyDescent="0.35">
      <c r="B22" s="310"/>
      <c r="C22" s="311"/>
      <c r="D22" s="311"/>
      <c r="E22" s="311"/>
      <c r="F22" s="311"/>
      <c r="G22" s="311"/>
      <c r="H22" s="312"/>
      <c r="J22" s="310"/>
      <c r="K22" s="311"/>
      <c r="L22" s="311"/>
      <c r="M22" s="311"/>
      <c r="N22" s="311"/>
      <c r="O22" s="311"/>
      <c r="P22" s="311"/>
      <c r="Q22" s="312"/>
    </row>
    <row r="23" spans="2:17" ht="15" thickBot="1" x14ac:dyDescent="0.35"/>
    <row r="24" spans="2:17" x14ac:dyDescent="0.3">
      <c r="B24" s="358"/>
      <c r="C24" s="359"/>
      <c r="D24" s="359"/>
      <c r="E24" s="359"/>
      <c r="F24" s="359"/>
      <c r="G24" s="359"/>
      <c r="H24" s="359"/>
      <c r="I24" s="359"/>
      <c r="J24" s="359"/>
      <c r="K24" s="359"/>
      <c r="L24" s="359"/>
      <c r="M24" s="359"/>
      <c r="N24" s="359"/>
      <c r="O24" s="359"/>
      <c r="P24" s="359"/>
      <c r="Q24" s="360"/>
    </row>
    <row r="25" spans="2:17" x14ac:dyDescent="0.3">
      <c r="B25" s="361"/>
      <c r="C25" s="362"/>
      <c r="D25" s="362"/>
      <c r="E25" s="362"/>
      <c r="F25" s="362"/>
      <c r="G25" s="362"/>
      <c r="H25" s="362"/>
      <c r="I25" s="362"/>
      <c r="J25" s="362"/>
      <c r="K25" s="362"/>
      <c r="L25" s="362"/>
      <c r="M25" s="362"/>
      <c r="N25" s="362"/>
      <c r="O25" s="362"/>
      <c r="P25" s="362"/>
      <c r="Q25" s="363"/>
    </row>
    <row r="26" spans="2:17" ht="15" thickBot="1" x14ac:dyDescent="0.35">
      <c r="B26" s="364"/>
      <c r="C26" s="365"/>
      <c r="D26" s="365"/>
      <c r="E26" s="365"/>
      <c r="F26" s="365"/>
      <c r="G26" s="365"/>
      <c r="H26" s="365"/>
      <c r="I26" s="365"/>
      <c r="J26" s="365"/>
      <c r="K26" s="365"/>
      <c r="L26" s="365"/>
      <c r="M26" s="365"/>
      <c r="N26" s="365"/>
      <c r="O26" s="365"/>
      <c r="P26" s="365"/>
      <c r="Q26" s="366"/>
    </row>
  </sheetData>
  <sheetProtection algorithmName="SHA-512" hashValue="pdlji6xtvcYQhOvt7pEp4ykNtmPwVM+zBuc3plzeA3ipyuBL31HeUiIYjNdUYos3TVOC4wgeN3B/Bb4lEnuy+Q==" saltValue="/gBOV70EPzpab1J1uMezxw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04"/>
  <sheetViews>
    <sheetView zoomScale="115" zoomScaleNormal="115" workbookViewId="0">
      <pane ySplit="2" topLeftCell="A90" activePane="bottomLeft" state="frozen"/>
      <selection pane="bottomLeft" sqref="A1:J1"/>
    </sheetView>
  </sheetViews>
  <sheetFormatPr baseColWidth="10" defaultColWidth="10.88671875" defaultRowHeight="14.4" x14ac:dyDescent="0.3"/>
  <cols>
    <col min="1" max="1" width="9.6640625" style="349" bestFit="1" customWidth="1"/>
    <col min="2" max="2" width="8.33203125" style="262" customWidth="1"/>
    <col min="3" max="3" width="24.6640625" customWidth="1"/>
    <col min="4" max="4" width="15.44140625" style="52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218" customWidth="1"/>
    <col min="11" max="11" width="12.6640625" style="2" customWidth="1"/>
    <col min="12" max="12" width="21" bestFit="1" customWidth="1"/>
    <col min="13" max="13" width="10.88671875" style="195"/>
    <col min="14" max="14" width="23.109375" style="214" bestFit="1" customWidth="1"/>
    <col min="15" max="16384" width="10.88671875" style="17"/>
  </cols>
  <sheetData>
    <row r="1" spans="1:14" s="18" customFormat="1" x14ac:dyDescent="0.3">
      <c r="A1" s="388" t="s">
        <v>44</v>
      </c>
      <c r="B1" s="388"/>
      <c r="C1" s="388"/>
      <c r="D1" s="388"/>
      <c r="E1" s="388"/>
      <c r="F1" s="388"/>
      <c r="G1" s="388"/>
      <c r="H1" s="388"/>
      <c r="I1" s="388"/>
      <c r="J1" s="388"/>
      <c r="K1" s="190"/>
      <c r="L1" s="16"/>
      <c r="M1" s="194"/>
      <c r="N1" s="213"/>
    </row>
    <row r="2" spans="1:14" s="18" customFormat="1" ht="28.8" x14ac:dyDescent="0.3">
      <c r="A2" s="206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91" t="s">
        <v>37</v>
      </c>
      <c r="K2" s="192" t="s">
        <v>259</v>
      </c>
      <c r="L2" s="23" t="s">
        <v>328</v>
      </c>
      <c r="M2" s="194"/>
      <c r="N2" s="213"/>
    </row>
    <row r="3" spans="1:14" x14ac:dyDescent="0.3">
      <c r="A3" s="345">
        <v>1</v>
      </c>
      <c r="B3" s="38">
        <v>9</v>
      </c>
      <c r="C3" s="39" t="s">
        <v>17</v>
      </c>
      <c r="D3" s="40">
        <v>60</v>
      </c>
      <c r="E3" s="41">
        <v>44819</v>
      </c>
      <c r="F3" s="42">
        <v>2</v>
      </c>
      <c r="G3" s="53">
        <v>0.02</v>
      </c>
      <c r="H3" s="43">
        <f>PRESTAMOS[[#This Row],[MONTO AMORTIZACION]]*PRESTAMOS[[#This Row],[INTERES]]*PRESTAMOS[[#This Row],[CUOTAS]]</f>
        <v>2.4</v>
      </c>
      <c r="I3" s="43">
        <f>PRESTAMOS[[#This Row],[MONTO AMORTIZACION]]+PRESTAMOS[[#This Row],[T. INT]]</f>
        <v>62.4</v>
      </c>
      <c r="J3" s="207" t="s">
        <v>384</v>
      </c>
      <c r="K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21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14" t="s">
        <v>329</v>
      </c>
    </row>
    <row r="4" spans="1:14" x14ac:dyDescent="0.3">
      <c r="A4" s="346">
        <v>2</v>
      </c>
      <c r="B4" s="38">
        <v>5</v>
      </c>
      <c r="C4" s="39" t="s">
        <v>14</v>
      </c>
      <c r="D4" s="40">
        <v>100</v>
      </c>
      <c r="E4" s="44">
        <v>44819</v>
      </c>
      <c r="F4" s="83">
        <v>2</v>
      </c>
      <c r="G4" s="84">
        <v>0.02</v>
      </c>
      <c r="H4" s="43">
        <f>PRESTAMOS[[#This Row],[MONTO AMORTIZACION]]*PRESTAMOS[[#This Row],[INTERES]]*PRESTAMOS[[#This Row],[CUOTAS]]</f>
        <v>4</v>
      </c>
      <c r="I4" s="43">
        <f>PRESTAMOS[[#This Row],[MONTO AMORTIZACION]]+PRESTAMOS[[#This Row],[T. INT]]</f>
        <v>104</v>
      </c>
      <c r="J4" s="207" t="s">
        <v>384</v>
      </c>
      <c r="K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15" t="str" cm="1">
        <f t="array" ref="N4:N15">_xlfn._xlws.FILTER(PRESTAMOS[REG],PRESTAMOS[ESTATUS]="PENDIENTE")&amp;"-"&amp;_xlfn._xlws.FILTER(PRESTAMOS[NOMBRE CLIENTE],PRESTAMOS[ESTATUS]="PENDIENTE")</f>
        <v>71-ANA TOAQUIZA</v>
      </c>
    </row>
    <row r="5" spans="1:14" x14ac:dyDescent="0.3">
      <c r="A5" s="347">
        <v>3</v>
      </c>
      <c r="B5" s="46">
        <v>7</v>
      </c>
      <c r="C5" s="37" t="s">
        <v>15</v>
      </c>
      <c r="D5" s="47">
        <v>200</v>
      </c>
      <c r="E5" s="48">
        <v>44849</v>
      </c>
      <c r="F5" s="49">
        <v>1</v>
      </c>
      <c r="G5" s="50">
        <v>0.02</v>
      </c>
      <c r="H5" s="51">
        <f>PRESTAMOS[[#This Row],[MONTO AMORTIZACION]]*PRESTAMOS[[#This Row],[INTERES]]*PRESTAMOS[[#This Row],[CUOTAS]]</f>
        <v>4</v>
      </c>
      <c r="I5" s="51">
        <f>PRESTAMOS[[#This Row],[MONTO AMORTIZACION]]+PRESTAMOS[[#This Row],[T. INT]]</f>
        <v>204</v>
      </c>
      <c r="J5" s="208" t="s">
        <v>384</v>
      </c>
      <c r="K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15" t="str">
        <v>72-DIANA TOAQUIZA</v>
      </c>
    </row>
    <row r="6" spans="1:14" x14ac:dyDescent="0.3">
      <c r="A6" s="347">
        <v>4</v>
      </c>
      <c r="B6" s="46">
        <v>16</v>
      </c>
      <c r="C6" s="37" t="s">
        <v>23</v>
      </c>
      <c r="D6" s="47">
        <v>200</v>
      </c>
      <c r="E6" s="48">
        <v>44880</v>
      </c>
      <c r="F6" s="49">
        <v>2</v>
      </c>
      <c r="G6" s="50">
        <v>0.02</v>
      </c>
      <c r="H6" s="51">
        <f>PRESTAMOS[[#This Row],[MONTO AMORTIZACION]]*PRESTAMOS[[#This Row],[INTERES]]*PRESTAMOS[[#This Row],[CUOTAS]]</f>
        <v>8</v>
      </c>
      <c r="I6" s="51">
        <f>PRESTAMOS[[#This Row],[MONTO AMORTIZACION]]+PRESTAMOS[[#This Row],[T. INT]]</f>
        <v>208</v>
      </c>
      <c r="J6" s="208" t="s">
        <v>384</v>
      </c>
      <c r="K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15" t="str">
        <v>77-DANNY ALMACHI</v>
      </c>
    </row>
    <row r="7" spans="1:14" x14ac:dyDescent="0.3">
      <c r="A7" s="347">
        <v>5</v>
      </c>
      <c r="B7" s="46">
        <v>11</v>
      </c>
      <c r="C7" s="37" t="s">
        <v>19</v>
      </c>
      <c r="D7" s="47">
        <v>200</v>
      </c>
      <c r="E7" s="48">
        <v>44880</v>
      </c>
      <c r="F7" s="49">
        <v>1</v>
      </c>
      <c r="G7" s="50">
        <v>0.02</v>
      </c>
      <c r="H7" s="51">
        <f>PRESTAMOS[[#This Row],[MONTO AMORTIZACION]]*PRESTAMOS[[#This Row],[INTERES]]*PRESTAMOS[[#This Row],[CUOTAS]]</f>
        <v>4</v>
      </c>
      <c r="I7" s="51">
        <f>PRESTAMOS[[#This Row],[MONTO AMORTIZACION]]+PRESTAMOS[[#This Row],[T. INT]]</f>
        <v>204</v>
      </c>
      <c r="J7" s="208" t="s">
        <v>384</v>
      </c>
      <c r="K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16" t="str">
        <v>78-GUADALUPE TOAQUIZA</v>
      </c>
    </row>
    <row r="8" spans="1:14" x14ac:dyDescent="0.3">
      <c r="A8" s="347" t="s">
        <v>479</v>
      </c>
      <c r="B8" s="46">
        <v>2</v>
      </c>
      <c r="C8" s="37" t="s">
        <v>20</v>
      </c>
      <c r="D8" s="47">
        <v>100</v>
      </c>
      <c r="E8" s="258">
        <v>44910</v>
      </c>
      <c r="F8" s="49">
        <v>0</v>
      </c>
      <c r="G8" s="50">
        <v>0</v>
      </c>
      <c r="H8" s="51">
        <f>PRESTAMOS[[#This Row],[MONTO AMORTIZACION]]*PRESTAMOS[[#This Row],[INTERES]]*PRESTAMOS[[#This Row],[CUOTAS]]</f>
        <v>0</v>
      </c>
      <c r="I8" s="51">
        <f>PRESTAMOS[[#This Row],[MONTO AMORTIZACION]]+PRESTAMOS[[#This Row],[T. INT]]</f>
        <v>100</v>
      </c>
      <c r="J8" s="208" t="s">
        <v>244</v>
      </c>
      <c r="K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16" t="str">
        <v>80-MARLENE TOAQUIZA</v>
      </c>
    </row>
    <row r="9" spans="1:14" x14ac:dyDescent="0.3">
      <c r="A9" s="347">
        <v>6</v>
      </c>
      <c r="B9" s="46">
        <v>4</v>
      </c>
      <c r="C9" s="37" t="s">
        <v>12</v>
      </c>
      <c r="D9" s="47">
        <v>100</v>
      </c>
      <c r="E9" s="48">
        <v>44910</v>
      </c>
      <c r="F9" s="49">
        <v>4</v>
      </c>
      <c r="G9" s="50">
        <v>0.02</v>
      </c>
      <c r="H9" s="51">
        <f>PRESTAMOS[[#This Row],[MONTO AMORTIZACION]]*PRESTAMOS[[#This Row],[INTERES]]*PRESTAMOS[[#This Row],[CUOTAS]]</f>
        <v>8</v>
      </c>
      <c r="I9" s="51">
        <f>PRESTAMOS[[#This Row],[MONTO AMORTIZACION]]+PRESTAMOS[[#This Row],[T. INT]]</f>
        <v>108</v>
      </c>
      <c r="J9" s="208" t="s">
        <v>384</v>
      </c>
      <c r="K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16" t="str">
        <v>81-DIEGO TOAQUIZA</v>
      </c>
    </row>
    <row r="10" spans="1:14" x14ac:dyDescent="0.3">
      <c r="A10" s="347">
        <v>7</v>
      </c>
      <c r="B10" s="46">
        <v>12</v>
      </c>
      <c r="C10" s="37" t="s">
        <v>20</v>
      </c>
      <c r="D10" s="47">
        <v>100</v>
      </c>
      <c r="E10" s="48">
        <v>44910</v>
      </c>
      <c r="F10" s="49">
        <v>4</v>
      </c>
      <c r="G10" s="50">
        <v>0.02</v>
      </c>
      <c r="H10" s="51">
        <f>PRESTAMOS[[#This Row],[MONTO AMORTIZACION]]*PRESTAMOS[[#This Row],[INTERES]]*PRESTAMOS[[#This Row],[CUOTAS]]</f>
        <v>8</v>
      </c>
      <c r="I10" s="51">
        <f>PRESTAMOS[[#This Row],[MONTO AMORTIZACION]]+PRESTAMOS[[#This Row],[T. INT]]</f>
        <v>108</v>
      </c>
      <c r="J10" s="208" t="s">
        <v>384</v>
      </c>
      <c r="K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16" t="str">
        <v>90-JEFFERSON TOAQUIZA</v>
      </c>
    </row>
    <row r="11" spans="1:14" x14ac:dyDescent="0.3">
      <c r="A11" s="347">
        <v>8</v>
      </c>
      <c r="B11" s="46">
        <v>14</v>
      </c>
      <c r="C11" s="37" t="s">
        <v>21</v>
      </c>
      <c r="D11" s="47">
        <v>170</v>
      </c>
      <c r="E11" s="48">
        <v>44910</v>
      </c>
      <c r="F11" s="49">
        <v>5</v>
      </c>
      <c r="G11" s="50">
        <v>0.02</v>
      </c>
      <c r="H11" s="51">
        <f>PRESTAMOS[[#This Row],[MONTO AMORTIZACION]]*PRESTAMOS[[#This Row],[INTERES]]*PRESTAMOS[[#This Row],[CUOTAS]]</f>
        <v>17</v>
      </c>
      <c r="I11" s="51">
        <f>PRESTAMOS[[#This Row],[MONTO AMORTIZACION]]+PRESTAMOS[[#This Row],[T. INT]]</f>
        <v>187</v>
      </c>
      <c r="J11" s="208" t="s">
        <v>384</v>
      </c>
      <c r="K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16" t="str">
        <v>91-SEGUNDO GUAYTA</v>
      </c>
    </row>
    <row r="12" spans="1:14" x14ac:dyDescent="0.3">
      <c r="A12" s="347">
        <v>9</v>
      </c>
      <c r="B12" s="46">
        <v>15</v>
      </c>
      <c r="C12" s="37" t="s">
        <v>22</v>
      </c>
      <c r="D12" s="47">
        <v>200</v>
      </c>
      <c r="E12" s="48">
        <v>44941</v>
      </c>
      <c r="F12" s="49">
        <v>3</v>
      </c>
      <c r="G12" s="50">
        <v>0.02</v>
      </c>
      <c r="H12" s="51">
        <f>PRESTAMOS[[#This Row],[MONTO AMORTIZACION]]*PRESTAMOS[[#This Row],[INTERES]]*PRESTAMOS[[#This Row],[CUOTAS]]</f>
        <v>12</v>
      </c>
      <c r="I12" s="51">
        <f>PRESTAMOS[[#This Row],[MONTO AMORTIZACION]]+PRESTAMOS[[#This Row],[T. INT]]</f>
        <v>212</v>
      </c>
      <c r="J12" s="208" t="s">
        <v>384</v>
      </c>
      <c r="K1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16" t="str">
        <v>93-JEFFERSON TOAQUIZA</v>
      </c>
    </row>
    <row r="13" spans="1:14" x14ac:dyDescent="0.3">
      <c r="A13" s="347">
        <v>10</v>
      </c>
      <c r="B13" s="38">
        <v>9</v>
      </c>
      <c r="C13" s="37" t="s">
        <v>17</v>
      </c>
      <c r="D13" s="47">
        <v>100</v>
      </c>
      <c r="E13" s="48">
        <v>44941</v>
      </c>
      <c r="F13" s="49">
        <v>4</v>
      </c>
      <c r="G13" s="50">
        <v>0.02</v>
      </c>
      <c r="H13" s="51">
        <f>PRESTAMOS[[#This Row],[MONTO AMORTIZACION]]*PRESTAMOS[[#This Row],[INTERES]]*PRESTAMOS[[#This Row],[CUOTAS]]</f>
        <v>8</v>
      </c>
      <c r="I13" s="51">
        <f>PRESTAMOS[[#This Row],[MONTO AMORTIZACION]]+PRESTAMOS[[#This Row],[T. INT]]</f>
        <v>108</v>
      </c>
      <c r="J13" s="208" t="s">
        <v>384</v>
      </c>
      <c r="K1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16" t="str">
        <v>94-MARCIAL CHILIQUINGA</v>
      </c>
    </row>
    <row r="14" spans="1:14" x14ac:dyDescent="0.3">
      <c r="A14" s="347">
        <v>11</v>
      </c>
      <c r="B14" s="38">
        <v>5</v>
      </c>
      <c r="C14" s="37" t="s">
        <v>14</v>
      </c>
      <c r="D14" s="47">
        <v>300</v>
      </c>
      <c r="E14" s="48">
        <v>44972</v>
      </c>
      <c r="F14" s="49">
        <v>3</v>
      </c>
      <c r="G14" s="50">
        <v>0.02</v>
      </c>
      <c r="H14" s="51">
        <f>PRESTAMOS[[#This Row],[MONTO AMORTIZACION]]*PRESTAMOS[[#This Row],[INTERES]]*PRESTAMOS[[#This Row],[CUOTAS]]</f>
        <v>18</v>
      </c>
      <c r="I14" s="51">
        <f>PRESTAMOS[[#This Row],[MONTO AMORTIZACION]]+PRESTAMOS[[#This Row],[T. INT]]</f>
        <v>318</v>
      </c>
      <c r="J14" s="208" t="s">
        <v>384</v>
      </c>
      <c r="K1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16" t="str">
        <v>95-CRISTIAN CHACHALO</v>
      </c>
    </row>
    <row r="15" spans="1:14" x14ac:dyDescent="0.3">
      <c r="A15" s="347">
        <v>12</v>
      </c>
      <c r="B15" s="46">
        <v>10</v>
      </c>
      <c r="C15" s="37" t="s">
        <v>18</v>
      </c>
      <c r="D15" s="47">
        <v>100</v>
      </c>
      <c r="E15" s="48">
        <v>44972</v>
      </c>
      <c r="F15" s="49">
        <v>4</v>
      </c>
      <c r="G15" s="50">
        <v>0.02</v>
      </c>
      <c r="H15" s="51">
        <f>PRESTAMOS[[#This Row],[MONTO AMORTIZACION]]*PRESTAMOS[[#This Row],[INTERES]]*PRESTAMOS[[#This Row],[CUOTAS]]</f>
        <v>8</v>
      </c>
      <c r="I15" s="51">
        <f>PRESTAMOS[[#This Row],[MONTO AMORTIZACION]]+PRESTAMOS[[#This Row],[T. INT]]</f>
        <v>108</v>
      </c>
      <c r="J15" s="208" t="s">
        <v>384</v>
      </c>
      <c r="K1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16" t="str">
        <v>96-JEFFERSON TOAQUIZA</v>
      </c>
    </row>
    <row r="16" spans="1:14" x14ac:dyDescent="0.3">
      <c r="A16" s="347">
        <v>13</v>
      </c>
      <c r="B16" s="46">
        <v>7</v>
      </c>
      <c r="C16" s="37" t="s">
        <v>15</v>
      </c>
      <c r="D16" s="47">
        <v>400</v>
      </c>
      <c r="E16" s="48">
        <v>45000</v>
      </c>
      <c r="F16" s="49">
        <v>4</v>
      </c>
      <c r="G16" s="50">
        <v>0.02</v>
      </c>
      <c r="H16" s="51">
        <f>PRESTAMOS[[#This Row],[MONTO AMORTIZACION]]*PRESTAMOS[[#This Row],[INTERES]]*PRESTAMOS[[#This Row],[CUOTAS]]</f>
        <v>32</v>
      </c>
      <c r="I16" s="51">
        <f>PRESTAMOS[[#This Row],[MONTO AMORTIZACION]]+PRESTAMOS[[#This Row],[T. INT]]</f>
        <v>432</v>
      </c>
      <c r="J16" s="208" t="s">
        <v>384</v>
      </c>
      <c r="K1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16"/>
    </row>
    <row r="17" spans="1:15" x14ac:dyDescent="0.3">
      <c r="A17" s="347">
        <v>14</v>
      </c>
      <c r="B17" s="46">
        <v>6</v>
      </c>
      <c r="C17" s="37" t="s">
        <v>24</v>
      </c>
      <c r="D17" s="47">
        <v>80</v>
      </c>
      <c r="E17" s="48">
        <v>45000</v>
      </c>
      <c r="F17" s="49">
        <v>1</v>
      </c>
      <c r="G17" s="50">
        <v>0.02</v>
      </c>
      <c r="H17" s="51">
        <f>PRESTAMOS[[#This Row],[MONTO AMORTIZACION]]*PRESTAMOS[[#This Row],[INTERES]]*PRESTAMOS[[#This Row],[CUOTAS]]</f>
        <v>1.6</v>
      </c>
      <c r="I17" s="51">
        <f>PRESTAMOS[[#This Row],[MONTO AMORTIZACION]]+PRESTAMOS[[#This Row],[T. INT]]</f>
        <v>81.599999999999994</v>
      </c>
      <c r="J17" s="208" t="s">
        <v>384</v>
      </c>
      <c r="K1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16"/>
    </row>
    <row r="18" spans="1:15" x14ac:dyDescent="0.3">
      <c r="A18" s="347">
        <v>15</v>
      </c>
      <c r="B18" s="46">
        <v>12</v>
      </c>
      <c r="C18" s="37" t="s">
        <v>20</v>
      </c>
      <c r="D18" s="47">
        <v>200</v>
      </c>
      <c r="E18" s="48">
        <v>45031</v>
      </c>
      <c r="F18" s="49">
        <v>4</v>
      </c>
      <c r="G18" s="50">
        <v>0.02</v>
      </c>
      <c r="H18" s="51">
        <f>PRESTAMOS[[#This Row],[MONTO AMORTIZACION]]*PRESTAMOS[[#This Row],[INTERES]]*PRESTAMOS[[#This Row],[CUOTAS]]</f>
        <v>16</v>
      </c>
      <c r="I18" s="51">
        <f>PRESTAMOS[[#This Row],[MONTO AMORTIZACION]]+PRESTAMOS[[#This Row],[T. INT]]</f>
        <v>216</v>
      </c>
      <c r="J18" s="208" t="s">
        <v>384</v>
      </c>
      <c r="K1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95"/>
    </row>
    <row r="19" spans="1:15" x14ac:dyDescent="0.3">
      <c r="A19" s="347">
        <v>16</v>
      </c>
      <c r="B19" s="46">
        <v>4</v>
      </c>
      <c r="C19" s="37" t="s">
        <v>12</v>
      </c>
      <c r="D19" s="47">
        <v>100</v>
      </c>
      <c r="E19" s="48">
        <v>45031</v>
      </c>
      <c r="F19" s="49">
        <v>4</v>
      </c>
      <c r="G19" s="50">
        <v>0.02</v>
      </c>
      <c r="H19" s="51">
        <f>PRESTAMOS[[#This Row],[MONTO AMORTIZACION]]*PRESTAMOS[[#This Row],[INTERES]]*PRESTAMOS[[#This Row],[CUOTAS]]</f>
        <v>8</v>
      </c>
      <c r="I19" s="51">
        <f>PRESTAMOS[[#This Row],[MONTO AMORTIZACION]]+PRESTAMOS[[#This Row],[T. INT]]</f>
        <v>108</v>
      </c>
      <c r="J19" s="208" t="s">
        <v>384</v>
      </c>
      <c r="K1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95"/>
    </row>
    <row r="20" spans="1:15" x14ac:dyDescent="0.3">
      <c r="A20" s="347">
        <v>17</v>
      </c>
      <c r="B20" s="46">
        <v>8</v>
      </c>
      <c r="C20" s="37" t="s">
        <v>16</v>
      </c>
      <c r="D20" s="47">
        <v>200</v>
      </c>
      <c r="E20" s="48">
        <v>45061</v>
      </c>
      <c r="F20" s="49">
        <v>2</v>
      </c>
      <c r="G20" s="50">
        <v>0.02</v>
      </c>
      <c r="H20" s="51">
        <f>PRESTAMOS[[#This Row],[MONTO AMORTIZACION]]*PRESTAMOS[[#This Row],[INTERES]]*PRESTAMOS[[#This Row],[CUOTAS]]</f>
        <v>8</v>
      </c>
      <c r="I20" s="51">
        <f>PRESTAMOS[[#This Row],[MONTO AMORTIZACION]]+PRESTAMOS[[#This Row],[T. INT]]</f>
        <v>208</v>
      </c>
      <c r="J20" s="208" t="s">
        <v>384</v>
      </c>
      <c r="K2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347">
        <v>18</v>
      </c>
      <c r="B21" s="38">
        <v>9</v>
      </c>
      <c r="C21" s="37" t="s">
        <v>17</v>
      </c>
      <c r="D21" s="47">
        <v>100</v>
      </c>
      <c r="E21" s="48">
        <v>45061</v>
      </c>
      <c r="F21" s="49">
        <v>4</v>
      </c>
      <c r="G21" s="50">
        <v>0.02</v>
      </c>
      <c r="H21" s="51">
        <f>PRESTAMOS[[#This Row],[MONTO AMORTIZACION]]*PRESTAMOS[[#This Row],[INTERES]]*PRESTAMOS[[#This Row],[CUOTAS]]</f>
        <v>8</v>
      </c>
      <c r="I21" s="51">
        <f>PRESTAMOS[[#This Row],[MONTO AMORTIZACION]]+PRESTAMOS[[#This Row],[T. INT]]</f>
        <v>108</v>
      </c>
      <c r="J21" s="208" t="s">
        <v>384</v>
      </c>
      <c r="K2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347">
        <v>19</v>
      </c>
      <c r="B22" s="46">
        <v>14</v>
      </c>
      <c r="C22" s="37" t="s">
        <v>21</v>
      </c>
      <c r="D22" s="47">
        <v>400</v>
      </c>
      <c r="E22" s="48">
        <v>45092</v>
      </c>
      <c r="F22" s="49">
        <v>4</v>
      </c>
      <c r="G22" s="50">
        <v>0.02</v>
      </c>
      <c r="H22" s="51">
        <f>PRESTAMOS[[#This Row],[MONTO AMORTIZACION]]*PRESTAMOS[[#This Row],[INTERES]]*PRESTAMOS[[#This Row],[CUOTAS]]</f>
        <v>32</v>
      </c>
      <c r="I22" s="51">
        <f>PRESTAMOS[[#This Row],[MONTO AMORTIZACION]]+PRESTAMOS[[#This Row],[T. INT]]</f>
        <v>432</v>
      </c>
      <c r="J22" s="208" t="s">
        <v>388</v>
      </c>
      <c r="K2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347">
        <v>20</v>
      </c>
      <c r="B23" s="46">
        <v>15</v>
      </c>
      <c r="C23" s="37" t="s">
        <v>22</v>
      </c>
      <c r="D23" s="47">
        <v>200</v>
      </c>
      <c r="E23" s="48">
        <v>45092</v>
      </c>
      <c r="F23" s="49">
        <v>4</v>
      </c>
      <c r="G23" s="50">
        <v>0.02</v>
      </c>
      <c r="H23" s="51">
        <f>PRESTAMOS[[#This Row],[MONTO AMORTIZACION]]*PRESTAMOS[[#This Row],[INTERES]]*PRESTAMOS[[#This Row],[CUOTAS]]</f>
        <v>16</v>
      </c>
      <c r="I23" s="51">
        <f>PRESTAMOS[[#This Row],[MONTO AMORTIZACION]]+PRESTAMOS[[#This Row],[T. INT]]</f>
        <v>216</v>
      </c>
      <c r="J23" s="208" t="s">
        <v>388</v>
      </c>
      <c r="K2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347">
        <v>21</v>
      </c>
      <c r="B24" s="38">
        <v>5</v>
      </c>
      <c r="C24" s="37" t="s">
        <v>14</v>
      </c>
      <c r="D24" s="47">
        <v>400</v>
      </c>
      <c r="E24" s="48">
        <v>45092</v>
      </c>
      <c r="F24" s="49">
        <v>4</v>
      </c>
      <c r="G24" s="50">
        <v>0.02</v>
      </c>
      <c r="H24" s="51">
        <f>PRESTAMOS[[#This Row],[MONTO AMORTIZACION]]*PRESTAMOS[[#This Row],[INTERES]]*PRESTAMOS[[#This Row],[CUOTAS]]</f>
        <v>32</v>
      </c>
      <c r="I24" s="51">
        <f>PRESTAMOS[[#This Row],[MONTO AMORTIZACION]]+PRESTAMOS[[#This Row],[T. INT]]</f>
        <v>432</v>
      </c>
      <c r="J24" s="208" t="s">
        <v>388</v>
      </c>
      <c r="K2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347">
        <v>22</v>
      </c>
      <c r="B25" s="46">
        <v>4</v>
      </c>
      <c r="C25" s="37" t="s">
        <v>12</v>
      </c>
      <c r="D25" s="47">
        <v>100</v>
      </c>
      <c r="E25" s="48">
        <v>45128</v>
      </c>
      <c r="F25" s="49">
        <v>1</v>
      </c>
      <c r="G25" s="50">
        <v>0.02</v>
      </c>
      <c r="H25" s="51">
        <f>PRESTAMOS[[#This Row],[MONTO AMORTIZACION]]*PRESTAMOS[[#This Row],[INTERES]]*PRESTAMOS[[#This Row],[CUOTAS]]</f>
        <v>2</v>
      </c>
      <c r="I25" s="51">
        <f>PRESTAMOS[[#This Row],[MONTO AMORTIZACION]]+PRESTAMOS[[#This Row],[T. INT]]</f>
        <v>102</v>
      </c>
      <c r="J25" s="208" t="s">
        <v>384</v>
      </c>
      <c r="K2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347">
        <v>23</v>
      </c>
      <c r="B26" s="46">
        <v>7</v>
      </c>
      <c r="C26" s="37" t="s">
        <v>15</v>
      </c>
      <c r="D26" s="47">
        <v>200</v>
      </c>
      <c r="E26" s="48">
        <v>45128</v>
      </c>
      <c r="F26" s="49">
        <v>1</v>
      </c>
      <c r="G26" s="50">
        <v>0.02</v>
      </c>
      <c r="H26" s="51">
        <f>PRESTAMOS[[#This Row],[MONTO AMORTIZACION]]*PRESTAMOS[[#This Row],[INTERES]]*PRESTAMOS[[#This Row],[CUOTAS]]</f>
        <v>4</v>
      </c>
      <c r="I26" s="51">
        <f>PRESTAMOS[[#This Row],[MONTO AMORTIZACION]]+PRESTAMOS[[#This Row],[T. INT]]</f>
        <v>204</v>
      </c>
      <c r="J26" s="208" t="s">
        <v>384</v>
      </c>
      <c r="K2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347">
        <v>24</v>
      </c>
      <c r="B27" s="46">
        <v>8</v>
      </c>
      <c r="C27" s="37" t="s">
        <v>16</v>
      </c>
      <c r="D27" s="47">
        <v>200</v>
      </c>
      <c r="E27" s="48">
        <v>45153</v>
      </c>
      <c r="F27" s="49">
        <v>1</v>
      </c>
      <c r="G27" s="50">
        <v>0.02</v>
      </c>
      <c r="H27" s="51">
        <f>PRESTAMOS[[#This Row],[MONTO AMORTIZACION]]*PRESTAMOS[[#This Row],[INTERES]]*PRESTAMOS[[#This Row],[CUOTAS]]</f>
        <v>4</v>
      </c>
      <c r="I27" s="51">
        <f>PRESTAMOS[[#This Row],[MONTO AMORTIZACION]]+PRESTAMOS[[#This Row],[T. INT]]</f>
        <v>204</v>
      </c>
      <c r="J27" s="208" t="s">
        <v>384</v>
      </c>
      <c r="K2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348">
        <v>25</v>
      </c>
      <c r="B28" s="46">
        <v>6</v>
      </c>
      <c r="C28" s="37" t="s">
        <v>24</v>
      </c>
      <c r="D28" s="47">
        <v>500</v>
      </c>
      <c r="E28" s="48">
        <v>45184</v>
      </c>
      <c r="F28" s="49">
        <v>6</v>
      </c>
      <c r="G28" s="50">
        <v>0.02</v>
      </c>
      <c r="H28" s="51">
        <f>PRESTAMOS[[#This Row],[MONTO AMORTIZACION]]*PRESTAMOS[[#This Row],[INTERES]]*PRESTAMOS[[#This Row],[CUOTAS]]</f>
        <v>60</v>
      </c>
      <c r="I28" s="51">
        <f>PRESTAMOS[[#This Row],[MONTO AMORTIZACION]]+PRESTAMOS[[#This Row],[T. INT]]</f>
        <v>560</v>
      </c>
      <c r="J28" s="208" t="s">
        <v>388</v>
      </c>
      <c r="K2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347">
        <v>26</v>
      </c>
      <c r="B29" s="46">
        <v>7</v>
      </c>
      <c r="C29" s="37" t="s">
        <v>15</v>
      </c>
      <c r="D29" s="47">
        <v>100</v>
      </c>
      <c r="E29" s="48">
        <v>45184</v>
      </c>
      <c r="F29" s="49">
        <v>1</v>
      </c>
      <c r="G29" s="50">
        <v>0.02</v>
      </c>
      <c r="H29" s="51">
        <f>PRESTAMOS[[#This Row],[MONTO AMORTIZACION]]*PRESTAMOS[[#This Row],[INTERES]]*PRESTAMOS[[#This Row],[CUOTAS]]</f>
        <v>2</v>
      </c>
      <c r="I29" s="51">
        <f>PRESTAMOS[[#This Row],[MONTO AMORTIZACION]]+PRESTAMOS[[#This Row],[T. INT]]</f>
        <v>102</v>
      </c>
      <c r="J29" s="208" t="s">
        <v>73</v>
      </c>
      <c r="K2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347">
        <v>27</v>
      </c>
      <c r="B30" s="46">
        <v>3</v>
      </c>
      <c r="C30" s="37" t="s">
        <v>13</v>
      </c>
      <c r="D30" s="47">
        <v>100</v>
      </c>
      <c r="E30" s="48">
        <v>45184</v>
      </c>
      <c r="F30" s="49">
        <v>4</v>
      </c>
      <c r="G30" s="50">
        <v>0.02</v>
      </c>
      <c r="H30" s="51">
        <f>PRESTAMOS[[#This Row],[MONTO AMORTIZACION]]*PRESTAMOS[[#This Row],[INTERES]]*PRESTAMOS[[#This Row],[CUOTAS]]</f>
        <v>8</v>
      </c>
      <c r="I30" s="51">
        <f>PRESTAMOS[[#This Row],[MONTO AMORTIZACION]]+PRESTAMOS[[#This Row],[T. INT]]</f>
        <v>108</v>
      </c>
      <c r="J30" s="208" t="s">
        <v>74</v>
      </c>
      <c r="K3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347">
        <v>28</v>
      </c>
      <c r="B31" s="38">
        <v>9</v>
      </c>
      <c r="C31" s="37" t="s">
        <v>17</v>
      </c>
      <c r="D31" s="47">
        <v>600</v>
      </c>
      <c r="E31" s="48">
        <v>45214</v>
      </c>
      <c r="F31" s="49">
        <v>4</v>
      </c>
      <c r="G31" s="50">
        <v>0.02</v>
      </c>
      <c r="H31" s="51">
        <f>PRESTAMOS[[#This Row],[MONTO AMORTIZACION]]*PRESTAMOS[[#This Row],[INTERES]]*PRESTAMOS[[#This Row],[CUOTAS]]</f>
        <v>48</v>
      </c>
      <c r="I31" s="51">
        <f>PRESTAMOS[[#This Row],[MONTO AMORTIZACION]]+PRESTAMOS[[#This Row],[T. INT]]</f>
        <v>648</v>
      </c>
      <c r="J31" s="208" t="s">
        <v>388</v>
      </c>
      <c r="K3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347">
        <v>29</v>
      </c>
      <c r="B32" s="46">
        <v>16</v>
      </c>
      <c r="C32" s="37" t="s">
        <v>23</v>
      </c>
      <c r="D32" s="47">
        <v>200</v>
      </c>
      <c r="E32" s="48">
        <v>45214</v>
      </c>
      <c r="F32" s="49">
        <v>4</v>
      </c>
      <c r="G32" s="50">
        <v>0.02</v>
      </c>
      <c r="H32" s="51">
        <f>PRESTAMOS[[#This Row],[MONTO AMORTIZACION]]*PRESTAMOS[[#This Row],[INTERES]]*PRESTAMOS[[#This Row],[CUOTAS]]</f>
        <v>16</v>
      </c>
      <c r="I32" s="51">
        <f>PRESTAMOS[[#This Row],[MONTO AMORTIZACION]]+PRESTAMOS[[#This Row],[T. INT]]</f>
        <v>216</v>
      </c>
      <c r="J32" s="208" t="s">
        <v>112</v>
      </c>
      <c r="K3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347">
        <v>30</v>
      </c>
      <c r="B33" s="46">
        <v>12</v>
      </c>
      <c r="C33" s="37" t="s">
        <v>20</v>
      </c>
      <c r="D33" s="47">
        <v>400</v>
      </c>
      <c r="E33" s="48">
        <v>45214</v>
      </c>
      <c r="F33" s="49">
        <v>7</v>
      </c>
      <c r="G33" s="50">
        <v>0.02</v>
      </c>
      <c r="H33" s="51">
        <f>PRESTAMOS[[#This Row],[MONTO AMORTIZACION]]*PRESTAMOS[[#This Row],[INTERES]]*PRESTAMOS[[#This Row],[CUOTAS]]</f>
        <v>56</v>
      </c>
      <c r="I33" s="51">
        <f>PRESTAMOS[[#This Row],[MONTO AMORTIZACION]]+PRESTAMOS[[#This Row],[T. INT]]</f>
        <v>456</v>
      </c>
      <c r="J33" s="208" t="s">
        <v>113</v>
      </c>
      <c r="K3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347">
        <v>31</v>
      </c>
      <c r="B34" s="38">
        <v>5</v>
      </c>
      <c r="C34" s="37" t="s">
        <v>14</v>
      </c>
      <c r="D34" s="47">
        <v>200</v>
      </c>
      <c r="E34" s="48">
        <v>45245</v>
      </c>
      <c r="F34" s="49">
        <v>4</v>
      </c>
      <c r="G34" s="50">
        <v>0.02</v>
      </c>
      <c r="H34" s="51">
        <f>PRESTAMOS[[#This Row],[MONTO AMORTIZACION]]*PRESTAMOS[[#This Row],[INTERES]]*PRESTAMOS[[#This Row],[CUOTAS]]</f>
        <v>16</v>
      </c>
      <c r="I34" s="51">
        <f>PRESTAMOS[[#This Row],[MONTO AMORTIZACION]]+PRESTAMOS[[#This Row],[T. INT]]</f>
        <v>216</v>
      </c>
      <c r="J34" s="208" t="s">
        <v>122</v>
      </c>
      <c r="K3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347">
        <v>32</v>
      </c>
      <c r="B35" s="46">
        <v>14</v>
      </c>
      <c r="C35" s="37" t="s">
        <v>21</v>
      </c>
      <c r="D35" s="47">
        <v>250</v>
      </c>
      <c r="E35" s="48">
        <v>45245</v>
      </c>
      <c r="F35" s="49">
        <v>4</v>
      </c>
      <c r="G35" s="50">
        <v>0.02</v>
      </c>
      <c r="H35" s="51">
        <f>PRESTAMOS[[#This Row],[MONTO AMORTIZACION]]*PRESTAMOS[[#This Row],[INTERES]]*PRESTAMOS[[#This Row],[CUOTAS]]</f>
        <v>20</v>
      </c>
      <c r="I35" s="51">
        <f>PRESTAMOS[[#This Row],[MONTO AMORTIZACION]]+PRESTAMOS[[#This Row],[T. INT]]</f>
        <v>270</v>
      </c>
      <c r="J35" s="208" t="s">
        <v>122</v>
      </c>
      <c r="K3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347">
        <v>33</v>
      </c>
      <c r="B36" s="46">
        <v>14</v>
      </c>
      <c r="C36" s="37" t="s">
        <v>21</v>
      </c>
      <c r="D36" s="47">
        <v>500</v>
      </c>
      <c r="E36" s="48">
        <v>45306</v>
      </c>
      <c r="F36" s="49">
        <v>2</v>
      </c>
      <c r="G36" s="50">
        <v>0.02</v>
      </c>
      <c r="H36" s="51">
        <f>PRESTAMOS[[#This Row],[MONTO AMORTIZACION]]*PRESTAMOS[[#This Row],[INTERES]]*PRESTAMOS[[#This Row],[CUOTAS]]</f>
        <v>20</v>
      </c>
      <c r="I36" s="51">
        <f>PRESTAMOS[[#This Row],[MONTO AMORTIZACION]]+PRESTAMOS[[#This Row],[T. INT]]</f>
        <v>520</v>
      </c>
      <c r="J36" s="208" t="s">
        <v>127</v>
      </c>
      <c r="K3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347">
        <v>34</v>
      </c>
      <c r="B37" s="46">
        <v>15</v>
      </c>
      <c r="C37" s="37" t="s">
        <v>22</v>
      </c>
      <c r="D37" s="47">
        <v>100</v>
      </c>
      <c r="E37" s="48">
        <v>45311</v>
      </c>
      <c r="F37" s="49">
        <v>5</v>
      </c>
      <c r="G37" s="50">
        <v>0.02</v>
      </c>
      <c r="H37" s="51">
        <f>PRESTAMOS[[#This Row],[MONTO AMORTIZACION]]*PRESTAMOS[[#This Row],[INTERES]]*PRESTAMOS[[#This Row],[CUOTAS]]</f>
        <v>10</v>
      </c>
      <c r="I37" s="51">
        <f>PRESTAMOS[[#This Row],[MONTO AMORTIZACION]]+PRESTAMOS[[#This Row],[T. INT]]</f>
        <v>110</v>
      </c>
      <c r="J37" s="208" t="s">
        <v>130</v>
      </c>
      <c r="K3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347">
        <v>35</v>
      </c>
      <c r="B38" s="38">
        <v>9</v>
      </c>
      <c r="C38" s="37" t="s">
        <v>17</v>
      </c>
      <c r="D38" s="47">
        <v>600</v>
      </c>
      <c r="E38" s="48">
        <v>45337</v>
      </c>
      <c r="F38" s="49">
        <v>5</v>
      </c>
      <c r="G38" s="50">
        <v>0.02</v>
      </c>
      <c r="H38" s="51">
        <f>PRESTAMOS[[#This Row],[MONTO AMORTIZACION]]*PRESTAMOS[[#This Row],[INTERES]]*PRESTAMOS[[#This Row],[CUOTAS]]</f>
        <v>60</v>
      </c>
      <c r="I38" s="51">
        <f>PRESTAMOS[[#This Row],[MONTO AMORTIZACION]]+PRESTAMOS[[#This Row],[T. INT]]</f>
        <v>660</v>
      </c>
      <c r="J38" s="208" t="s">
        <v>168</v>
      </c>
      <c r="K3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347">
        <v>36</v>
      </c>
      <c r="B39" s="46">
        <v>4</v>
      </c>
      <c r="C39" s="37" t="s">
        <v>12</v>
      </c>
      <c r="D39" s="47">
        <v>100</v>
      </c>
      <c r="E39" s="48">
        <v>45341</v>
      </c>
      <c r="F39" s="49">
        <v>4</v>
      </c>
      <c r="G39" s="50">
        <v>0.02</v>
      </c>
      <c r="H39" s="51">
        <f>PRESTAMOS[[#This Row],[MONTO AMORTIZACION]]*PRESTAMOS[[#This Row],[INTERES]]*PRESTAMOS[[#This Row],[CUOTAS]]</f>
        <v>8</v>
      </c>
      <c r="I39" s="51">
        <f>PRESTAMOS[[#This Row],[MONTO AMORTIZACION]]+PRESTAMOS[[#This Row],[T. INT]]</f>
        <v>108</v>
      </c>
      <c r="J39" s="208" t="s">
        <v>191</v>
      </c>
      <c r="K3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347">
        <v>37</v>
      </c>
      <c r="B40" s="38">
        <v>5</v>
      </c>
      <c r="C40" s="37" t="s">
        <v>14</v>
      </c>
      <c r="D40" s="47">
        <v>1000</v>
      </c>
      <c r="E40" s="48">
        <v>45366</v>
      </c>
      <c r="F40" s="49">
        <v>10</v>
      </c>
      <c r="G40" s="50">
        <v>0.02</v>
      </c>
      <c r="H40" s="51">
        <f>PRESTAMOS[[#This Row],[MONTO AMORTIZACION]]*PRESTAMOS[[#This Row],[INTERES]]*PRESTAMOS[[#This Row],[CUOTAS]]</f>
        <v>200</v>
      </c>
      <c r="I40" s="51">
        <f>PRESTAMOS[[#This Row],[MONTO AMORTIZACION]]+PRESTAMOS[[#This Row],[T. INT]]</f>
        <v>1200</v>
      </c>
      <c r="J40" s="208" t="s">
        <v>196</v>
      </c>
      <c r="K4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347">
        <v>38</v>
      </c>
      <c r="B41" s="46">
        <v>15</v>
      </c>
      <c r="C41" s="37" t="s">
        <v>22</v>
      </c>
      <c r="D41" s="47">
        <v>600</v>
      </c>
      <c r="E41" s="48">
        <v>45366</v>
      </c>
      <c r="F41" s="49">
        <v>12</v>
      </c>
      <c r="G41" s="50">
        <v>0.02</v>
      </c>
      <c r="H41" s="51">
        <f>PRESTAMOS[[#This Row],[MONTO AMORTIZACION]]*PRESTAMOS[[#This Row],[INTERES]]*PRESTAMOS[[#This Row],[CUOTAS]]</f>
        <v>144</v>
      </c>
      <c r="I41" s="51">
        <f>PRESTAMOS[[#This Row],[MONTO AMORTIZACION]]+PRESTAMOS[[#This Row],[T. INT]]</f>
        <v>744</v>
      </c>
      <c r="J41" s="208" t="s">
        <v>196</v>
      </c>
      <c r="K4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347">
        <v>39</v>
      </c>
      <c r="B42" s="46">
        <v>14</v>
      </c>
      <c r="C42" s="37" t="s">
        <v>21</v>
      </c>
      <c r="D42" s="47">
        <v>400</v>
      </c>
      <c r="E42" s="48">
        <v>45366</v>
      </c>
      <c r="F42" s="49">
        <v>4</v>
      </c>
      <c r="G42" s="50">
        <v>0.02</v>
      </c>
      <c r="H42" s="51">
        <f>PRESTAMOS[[#This Row],[MONTO AMORTIZACION]]*PRESTAMOS[[#This Row],[INTERES]]*PRESTAMOS[[#This Row],[CUOTAS]]</f>
        <v>32</v>
      </c>
      <c r="I42" s="51">
        <f>PRESTAMOS[[#This Row],[MONTO AMORTIZACION]]+PRESTAMOS[[#This Row],[T. INT]]</f>
        <v>432</v>
      </c>
      <c r="J42" s="208" t="s">
        <v>199</v>
      </c>
      <c r="K4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347">
        <v>40</v>
      </c>
      <c r="B43" s="46">
        <v>10</v>
      </c>
      <c r="C43" s="37" t="s">
        <v>18</v>
      </c>
      <c r="D43" s="47">
        <v>100</v>
      </c>
      <c r="E43" s="48">
        <v>45366</v>
      </c>
      <c r="F43" s="49">
        <v>5</v>
      </c>
      <c r="G43" s="50">
        <v>0.02</v>
      </c>
      <c r="H43" s="51">
        <f>PRESTAMOS[[#This Row],[MONTO AMORTIZACION]]*PRESTAMOS[[#This Row],[INTERES]]*PRESTAMOS[[#This Row],[CUOTAS]]</f>
        <v>10</v>
      </c>
      <c r="I43" s="51">
        <f>PRESTAMOS[[#This Row],[MONTO AMORTIZACION]]+PRESTAMOS[[#This Row],[T. INT]]</f>
        <v>110</v>
      </c>
      <c r="J43" s="208" t="s">
        <v>196</v>
      </c>
      <c r="K4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347">
        <v>41</v>
      </c>
      <c r="B44" s="46">
        <v>16</v>
      </c>
      <c r="C44" s="37" t="s">
        <v>23</v>
      </c>
      <c r="D44" s="47">
        <v>150</v>
      </c>
      <c r="E44" s="48">
        <v>45397</v>
      </c>
      <c r="F44" s="49">
        <v>3</v>
      </c>
      <c r="G44" s="50">
        <v>0.02</v>
      </c>
      <c r="H44" s="51">
        <f>PRESTAMOS[[#This Row],[MONTO AMORTIZACION]]*PRESTAMOS[[#This Row],[INTERES]]*PRESTAMOS[[#This Row],[CUOTAS]]</f>
        <v>9</v>
      </c>
      <c r="I44" s="51">
        <f>PRESTAMOS[[#This Row],[MONTO AMORTIZACION]]+PRESTAMOS[[#This Row],[T. INT]]</f>
        <v>159</v>
      </c>
      <c r="J44" s="208" t="s">
        <v>205</v>
      </c>
      <c r="K4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347" t="s">
        <v>480</v>
      </c>
      <c r="B45" s="46">
        <v>2</v>
      </c>
      <c r="C45" s="37" t="s">
        <v>21</v>
      </c>
      <c r="D45" s="47">
        <v>100</v>
      </c>
      <c r="E45" s="48">
        <v>45397</v>
      </c>
      <c r="F45" s="49">
        <v>0</v>
      </c>
      <c r="G45" s="50">
        <v>0</v>
      </c>
      <c r="H45" s="51">
        <f>PRESTAMOS[[#This Row],[MONTO AMORTIZACION]]*PRESTAMOS[[#This Row],[INTERES]]*PRESTAMOS[[#This Row],[CUOTAS]]</f>
        <v>0</v>
      </c>
      <c r="I45" s="51">
        <f>PRESTAMOS[[#This Row],[MONTO AMORTIZACION]]+PRESTAMOS[[#This Row],[T. INT]]</f>
        <v>100</v>
      </c>
      <c r="J45" s="209" t="s">
        <v>207</v>
      </c>
      <c r="K4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347">
        <v>42</v>
      </c>
      <c r="B46" s="46">
        <v>12</v>
      </c>
      <c r="C46" s="37" t="s">
        <v>20</v>
      </c>
      <c r="D46" s="47">
        <v>600</v>
      </c>
      <c r="E46" s="48">
        <v>45427</v>
      </c>
      <c r="F46" s="49">
        <v>7</v>
      </c>
      <c r="G46" s="50">
        <v>0.02</v>
      </c>
      <c r="H46" s="51">
        <f>PRESTAMOS[[#This Row],[MONTO AMORTIZACION]]*PRESTAMOS[[#This Row],[INTERES]]*PRESTAMOS[[#This Row],[CUOTAS]]</f>
        <v>84</v>
      </c>
      <c r="I46" s="51">
        <f>PRESTAMOS[[#This Row],[MONTO AMORTIZACION]]+PRESTAMOS[[#This Row],[T. INT]]</f>
        <v>684</v>
      </c>
      <c r="J46" s="208" t="s">
        <v>196</v>
      </c>
      <c r="K4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347">
        <v>43</v>
      </c>
      <c r="B47" s="46">
        <v>7</v>
      </c>
      <c r="C47" s="37" t="s">
        <v>15</v>
      </c>
      <c r="D47" s="47">
        <v>400</v>
      </c>
      <c r="E47" s="48">
        <v>45427</v>
      </c>
      <c r="F47" s="49">
        <v>4</v>
      </c>
      <c r="G47" s="50">
        <v>0.02</v>
      </c>
      <c r="H47" s="51">
        <f>PRESTAMOS[[#This Row],[MONTO AMORTIZACION]]*PRESTAMOS[[#This Row],[INTERES]]*PRESTAMOS[[#This Row],[CUOTAS]]</f>
        <v>32</v>
      </c>
      <c r="I47" s="51">
        <f>PRESTAMOS[[#This Row],[MONTO AMORTIZACION]]+PRESTAMOS[[#This Row],[T. INT]]</f>
        <v>432</v>
      </c>
      <c r="J47" s="208" t="s">
        <v>209</v>
      </c>
      <c r="K4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347">
        <v>44</v>
      </c>
      <c r="B48" s="46">
        <v>14</v>
      </c>
      <c r="C48" s="37" t="s">
        <v>21</v>
      </c>
      <c r="D48" s="47">
        <v>700</v>
      </c>
      <c r="E48" s="48">
        <v>45458</v>
      </c>
      <c r="F48" s="49">
        <v>5</v>
      </c>
      <c r="G48" s="50">
        <v>0.02</v>
      </c>
      <c r="H48" s="51">
        <f>PRESTAMOS[[#This Row],[MONTO AMORTIZACION]]*PRESTAMOS[[#This Row],[INTERES]]*PRESTAMOS[[#This Row],[CUOTAS]]</f>
        <v>70</v>
      </c>
      <c r="I48" s="51">
        <f>PRESTAMOS[[#This Row],[MONTO AMORTIZACION]]+PRESTAMOS[[#This Row],[T. INT]]</f>
        <v>770</v>
      </c>
      <c r="J48" s="208" t="s">
        <v>209</v>
      </c>
      <c r="K4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347">
        <v>45</v>
      </c>
      <c r="B49" s="46">
        <v>8</v>
      </c>
      <c r="C49" s="37" t="s">
        <v>16</v>
      </c>
      <c r="D49" s="47">
        <v>300</v>
      </c>
      <c r="E49" s="48">
        <v>45458</v>
      </c>
      <c r="F49" s="49">
        <v>3</v>
      </c>
      <c r="G49" s="50">
        <v>0.02</v>
      </c>
      <c r="H49" s="51">
        <f>PRESTAMOS[[#This Row],[MONTO AMORTIZACION]]*PRESTAMOS[[#This Row],[INTERES]]*PRESTAMOS[[#This Row],[CUOTAS]]</f>
        <v>18</v>
      </c>
      <c r="I49" s="51">
        <f>PRESTAMOS[[#This Row],[MONTO AMORTIZACION]]+PRESTAMOS[[#This Row],[T. INT]]</f>
        <v>318</v>
      </c>
      <c r="J49" s="208" t="s">
        <v>209</v>
      </c>
      <c r="K4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347">
        <v>46</v>
      </c>
      <c r="B50" s="46">
        <v>6</v>
      </c>
      <c r="C50" s="37" t="s">
        <v>24</v>
      </c>
      <c r="D50" s="47">
        <v>500</v>
      </c>
      <c r="E50" s="48">
        <v>45488</v>
      </c>
      <c r="F50" s="49">
        <v>5</v>
      </c>
      <c r="G50" s="50">
        <v>0.02</v>
      </c>
      <c r="H50" s="51">
        <f>PRESTAMOS[[#This Row],[MONTO AMORTIZACION]]*PRESTAMOS[[#This Row],[INTERES]]*PRESTAMOS[[#This Row],[CUOTAS]]</f>
        <v>50</v>
      </c>
      <c r="I50" s="51">
        <f>PRESTAMOS[[#This Row],[MONTO AMORTIZACION]]+PRESTAMOS[[#This Row],[T. INT]]</f>
        <v>550</v>
      </c>
      <c r="J50" s="208" t="s">
        <v>218</v>
      </c>
      <c r="K5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347">
        <v>47</v>
      </c>
      <c r="B51" s="46">
        <v>16</v>
      </c>
      <c r="C51" s="37" t="s">
        <v>23</v>
      </c>
      <c r="D51" s="47">
        <v>500</v>
      </c>
      <c r="E51" s="48">
        <v>45488</v>
      </c>
      <c r="F51" s="49">
        <v>12</v>
      </c>
      <c r="G51" s="50">
        <v>0.02</v>
      </c>
      <c r="H51" s="51">
        <f>PRESTAMOS[[#This Row],[MONTO AMORTIZACION]]*PRESTAMOS[[#This Row],[INTERES]]*PRESTAMOS[[#This Row],[CUOTAS]]</f>
        <v>120</v>
      </c>
      <c r="I51" s="51">
        <f>PRESTAMOS[[#This Row],[MONTO AMORTIZACION]]+PRESTAMOS[[#This Row],[T. INT]]</f>
        <v>620</v>
      </c>
      <c r="J51" s="208" t="s">
        <v>113</v>
      </c>
      <c r="K5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347">
        <v>48</v>
      </c>
      <c r="B52" s="38">
        <v>9</v>
      </c>
      <c r="C52" s="37" t="s">
        <v>17</v>
      </c>
      <c r="D52" s="47">
        <v>600</v>
      </c>
      <c r="E52" s="48">
        <v>45519</v>
      </c>
      <c r="F52" s="49">
        <v>6</v>
      </c>
      <c r="G52" s="50">
        <v>0.02</v>
      </c>
      <c r="H52" s="51">
        <f>PRESTAMOS[[#This Row],[MONTO AMORTIZACION]]*PRESTAMOS[[#This Row],[INTERES]]*PRESTAMOS[[#This Row],[CUOTAS]]</f>
        <v>72</v>
      </c>
      <c r="I52" s="51">
        <f>PRESTAMOS[[#This Row],[MONTO AMORTIZACION]]+PRESTAMOS[[#This Row],[T. INT]]</f>
        <v>672</v>
      </c>
      <c r="J52" s="208" t="s">
        <v>221</v>
      </c>
      <c r="K5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347">
        <v>49</v>
      </c>
      <c r="B53" s="46">
        <v>4</v>
      </c>
      <c r="C53" s="37" t="s">
        <v>12</v>
      </c>
      <c r="D53" s="47">
        <v>300</v>
      </c>
      <c r="E53" s="48">
        <v>45519</v>
      </c>
      <c r="F53" s="49">
        <v>6</v>
      </c>
      <c r="G53" s="50">
        <v>0.02</v>
      </c>
      <c r="H53" s="51">
        <f>PRESTAMOS[[#This Row],[MONTO AMORTIZACION]]*PRESTAMOS[[#This Row],[INTERES]]*PRESTAMOS[[#This Row],[CUOTAS]]</f>
        <v>36</v>
      </c>
      <c r="I53" s="51">
        <f>PRESTAMOS[[#This Row],[MONTO AMORTIZACION]]+PRESTAMOS[[#This Row],[T. INT]]</f>
        <v>336</v>
      </c>
      <c r="J53" s="208" t="s">
        <v>223</v>
      </c>
      <c r="K5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347">
        <v>50</v>
      </c>
      <c r="B54" s="46">
        <v>11</v>
      </c>
      <c r="C54" s="37" t="s">
        <v>19</v>
      </c>
      <c r="D54" s="47">
        <v>400</v>
      </c>
      <c r="E54" s="48">
        <v>45550</v>
      </c>
      <c r="F54" s="49">
        <v>4</v>
      </c>
      <c r="G54" s="50">
        <v>0.02</v>
      </c>
      <c r="H54" s="51">
        <f>PRESTAMOS[[#This Row],[MONTO AMORTIZACION]]*PRESTAMOS[[#This Row],[INTERES]]*PRESTAMOS[[#This Row],[CUOTAS]]</f>
        <v>32</v>
      </c>
      <c r="I54" s="51">
        <f>PRESTAMOS[[#This Row],[MONTO AMORTIZACION]]+PRESTAMOS[[#This Row],[T. INT]]</f>
        <v>432</v>
      </c>
      <c r="J54" s="208" t="s">
        <v>113</v>
      </c>
      <c r="K5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347" t="s">
        <v>481</v>
      </c>
      <c r="B55" s="46">
        <v>2</v>
      </c>
      <c r="C55" s="37" t="s">
        <v>12</v>
      </c>
      <c r="D55" s="47">
        <v>260</v>
      </c>
      <c r="E55" s="48">
        <v>45550</v>
      </c>
      <c r="F55" s="49">
        <v>0</v>
      </c>
      <c r="G55" s="50">
        <v>0</v>
      </c>
      <c r="H55" s="51">
        <f>PRESTAMOS[[#This Row],[MONTO AMORTIZACION]]*PRESTAMOS[[#This Row],[INTERES]]*PRESTAMOS[[#This Row],[CUOTAS]]</f>
        <v>0</v>
      </c>
      <c r="I55" s="51">
        <f>PRESTAMOS[[#This Row],[MONTO AMORTIZACION]]+PRESTAMOS[[#This Row],[T. INT]]</f>
        <v>260</v>
      </c>
      <c r="J55" s="208" t="s">
        <v>245</v>
      </c>
      <c r="K5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347">
        <v>51</v>
      </c>
      <c r="B56" s="46">
        <v>7</v>
      </c>
      <c r="C56" s="37" t="s">
        <v>15</v>
      </c>
      <c r="D56" s="47">
        <v>250</v>
      </c>
      <c r="E56" s="48">
        <v>45580</v>
      </c>
      <c r="F56" s="49">
        <v>4</v>
      </c>
      <c r="G56" s="50">
        <v>0.02</v>
      </c>
      <c r="H56" s="51">
        <f>PRESTAMOS[[#This Row],[MONTO AMORTIZACION]]*PRESTAMOS[[#This Row],[INTERES]]*PRESTAMOS[[#This Row],[CUOTAS]]</f>
        <v>20</v>
      </c>
      <c r="I56" s="51">
        <f>PRESTAMOS[[#This Row],[MONTO AMORTIZACION]]+PRESTAMOS[[#This Row],[T. INT]]</f>
        <v>270</v>
      </c>
      <c r="J56" s="208" t="s">
        <v>113</v>
      </c>
      <c r="K5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347">
        <v>52</v>
      </c>
      <c r="B57" s="46">
        <v>8</v>
      </c>
      <c r="C57" s="37" t="s">
        <v>16</v>
      </c>
      <c r="D57" s="47">
        <v>250</v>
      </c>
      <c r="E57" s="48">
        <v>45580</v>
      </c>
      <c r="F57" s="49">
        <v>4</v>
      </c>
      <c r="G57" s="50">
        <v>0.02</v>
      </c>
      <c r="H57" s="51">
        <f>PRESTAMOS[[#This Row],[MONTO AMORTIZACION]]*PRESTAMOS[[#This Row],[INTERES]]*PRESTAMOS[[#This Row],[CUOTAS]]</f>
        <v>20</v>
      </c>
      <c r="I57" s="51">
        <f>PRESTAMOS[[#This Row],[MONTO AMORTIZACION]]+PRESTAMOS[[#This Row],[T. INT]]</f>
        <v>270</v>
      </c>
      <c r="J57" s="208" t="s">
        <v>199</v>
      </c>
      <c r="K5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347">
        <v>53</v>
      </c>
      <c r="B58" s="46">
        <v>14</v>
      </c>
      <c r="C58" s="37" t="s">
        <v>21</v>
      </c>
      <c r="D58" s="47">
        <v>500</v>
      </c>
      <c r="E58" s="48">
        <v>45580</v>
      </c>
      <c r="F58" s="49">
        <v>4</v>
      </c>
      <c r="G58" s="50">
        <v>0.02</v>
      </c>
      <c r="H58" s="51">
        <f>PRESTAMOS[[#This Row],[MONTO AMORTIZACION]]*PRESTAMOS[[#This Row],[INTERES]]*PRESTAMOS[[#This Row],[CUOTAS]]</f>
        <v>40</v>
      </c>
      <c r="I58" s="51">
        <f>PRESTAMOS[[#This Row],[MONTO AMORTIZACION]]+PRESTAMOS[[#This Row],[T. INT]]</f>
        <v>540</v>
      </c>
      <c r="J58" s="208" t="s">
        <v>199</v>
      </c>
      <c r="K5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347">
        <v>54</v>
      </c>
      <c r="B59" s="46">
        <v>3</v>
      </c>
      <c r="C59" s="37" t="s">
        <v>13</v>
      </c>
      <c r="D59" s="47">
        <v>500</v>
      </c>
      <c r="E59" s="48">
        <v>45611</v>
      </c>
      <c r="F59" s="49">
        <v>3</v>
      </c>
      <c r="G59" s="50">
        <v>0.02</v>
      </c>
      <c r="H59" s="51">
        <f>PRESTAMOS[[#This Row],[MONTO AMORTIZACION]]*PRESTAMOS[[#This Row],[INTERES]]*PRESTAMOS[[#This Row],[CUOTAS]]</f>
        <v>30</v>
      </c>
      <c r="I59" s="51">
        <f>PRESTAMOS[[#This Row],[MONTO AMORTIZACION]]+PRESTAMOS[[#This Row],[T. INT]]</f>
        <v>530</v>
      </c>
      <c r="J59" s="210" t="s">
        <v>264</v>
      </c>
      <c r="K5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347">
        <v>55</v>
      </c>
      <c r="B60" s="46">
        <v>12</v>
      </c>
      <c r="C60" s="37" t="s">
        <v>20</v>
      </c>
      <c r="D60" s="47">
        <v>1000</v>
      </c>
      <c r="E60" s="48">
        <v>45611</v>
      </c>
      <c r="F60" s="49">
        <v>10</v>
      </c>
      <c r="G60" s="50">
        <v>0.02</v>
      </c>
      <c r="H60" s="51">
        <f>PRESTAMOS[[#This Row],[MONTO AMORTIZACION]]*PRESTAMOS[[#This Row],[INTERES]]*PRESTAMOS[[#This Row],[CUOTAS]]</f>
        <v>200</v>
      </c>
      <c r="I60" s="51">
        <f>PRESTAMOS[[#This Row],[MONTO AMORTIZACION]]+PRESTAMOS[[#This Row],[T. INT]]</f>
        <v>1200</v>
      </c>
      <c r="J60" s="210" t="s">
        <v>266</v>
      </c>
      <c r="K6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347">
        <v>56</v>
      </c>
      <c r="B61" s="46">
        <v>10</v>
      </c>
      <c r="C61" s="37" t="s">
        <v>18</v>
      </c>
      <c r="D61" s="47">
        <v>200</v>
      </c>
      <c r="E61" s="48">
        <v>45611</v>
      </c>
      <c r="F61" s="49">
        <v>5</v>
      </c>
      <c r="G61" s="50">
        <v>0.02</v>
      </c>
      <c r="H61" s="51">
        <f>PRESTAMOS[[#This Row],[MONTO AMORTIZACION]]*PRESTAMOS[[#This Row],[INTERES]]*PRESTAMOS[[#This Row],[CUOTAS]]</f>
        <v>20</v>
      </c>
      <c r="I61" s="51">
        <f>PRESTAMOS[[#This Row],[MONTO AMORTIZACION]]+PRESTAMOS[[#This Row],[T. INT]]</f>
        <v>220</v>
      </c>
      <c r="J61" s="210" t="s">
        <v>266</v>
      </c>
      <c r="K6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347">
        <v>57</v>
      </c>
      <c r="B62" s="46">
        <v>6</v>
      </c>
      <c r="C62" s="37" t="s">
        <v>24</v>
      </c>
      <c r="D62" s="47">
        <v>1000</v>
      </c>
      <c r="E62" s="48">
        <v>45641</v>
      </c>
      <c r="F62" s="49">
        <v>10</v>
      </c>
      <c r="G62" s="50">
        <v>0.02</v>
      </c>
      <c r="H62" s="51">
        <f>PRESTAMOS[[#This Row],[MONTO AMORTIZACION]]*PRESTAMOS[[#This Row],[INTERES]]*PRESTAMOS[[#This Row],[CUOTAS]]</f>
        <v>200</v>
      </c>
      <c r="I62" s="51">
        <f>PRESTAMOS[[#This Row],[MONTO AMORTIZACION]]+PRESTAMOS[[#This Row],[T. INT]]</f>
        <v>1200</v>
      </c>
      <c r="J62" s="210" t="s">
        <v>285</v>
      </c>
      <c r="K6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347">
        <v>58</v>
      </c>
      <c r="B63" s="46">
        <v>11</v>
      </c>
      <c r="C63" s="37" t="s">
        <v>19</v>
      </c>
      <c r="D63" s="47">
        <v>500</v>
      </c>
      <c r="E63" s="48">
        <v>45641</v>
      </c>
      <c r="F63" s="49">
        <v>5</v>
      </c>
      <c r="G63" s="50">
        <v>0.02</v>
      </c>
      <c r="H63" s="51">
        <f>PRESTAMOS[[#This Row],[MONTO AMORTIZACION]]*PRESTAMOS[[#This Row],[INTERES]]*PRESTAMOS[[#This Row],[CUOTAS]]</f>
        <v>50</v>
      </c>
      <c r="I63" s="51">
        <f>PRESTAMOS[[#This Row],[MONTO AMORTIZACION]]+PRESTAMOS[[#This Row],[T. INT]]</f>
        <v>550</v>
      </c>
      <c r="J63" s="210" t="s">
        <v>289</v>
      </c>
      <c r="K6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347">
        <v>59</v>
      </c>
      <c r="B64" s="46">
        <v>16</v>
      </c>
      <c r="C64" s="37" t="s">
        <v>23</v>
      </c>
      <c r="D64" s="47">
        <v>80</v>
      </c>
      <c r="E64" s="48">
        <v>45643</v>
      </c>
      <c r="F64" s="49">
        <v>1</v>
      </c>
      <c r="G64" s="50">
        <v>0.02</v>
      </c>
      <c r="H64" s="51">
        <f>PRESTAMOS[[#This Row],[MONTO AMORTIZACION]]*PRESTAMOS[[#This Row],[INTERES]]*PRESTAMOS[[#This Row],[CUOTAS]]</f>
        <v>1.6</v>
      </c>
      <c r="I64" s="51">
        <f>PRESTAMOS[[#This Row],[MONTO AMORTIZACION]]+PRESTAMOS[[#This Row],[T. INT]]</f>
        <v>81.599999999999994</v>
      </c>
      <c r="J64" s="210" t="s">
        <v>294</v>
      </c>
      <c r="K64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347">
        <v>60</v>
      </c>
      <c r="B65" s="38">
        <v>9</v>
      </c>
      <c r="C65" s="37" t="s">
        <v>17</v>
      </c>
      <c r="D65" s="47">
        <v>700</v>
      </c>
      <c r="E65" s="48">
        <v>45672</v>
      </c>
      <c r="F65" s="49">
        <v>7</v>
      </c>
      <c r="G65" s="50">
        <v>0.02</v>
      </c>
      <c r="H65" s="51">
        <f>PRESTAMOS[[#This Row],[MONTO AMORTIZACION]]*PRESTAMOS[[#This Row],[INTERES]]*PRESTAMOS[[#This Row],[CUOTAS]]</f>
        <v>98</v>
      </c>
      <c r="I65" s="51">
        <f>PRESTAMOS[[#This Row],[MONTO AMORTIZACION]]+PRESTAMOS[[#This Row],[T. INT]]</f>
        <v>798</v>
      </c>
      <c r="J65" s="210" t="s">
        <v>306</v>
      </c>
      <c r="K65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347">
        <v>61</v>
      </c>
      <c r="B66" s="46">
        <v>14</v>
      </c>
      <c r="C66" s="37" t="s">
        <v>21</v>
      </c>
      <c r="D66" s="47">
        <v>700</v>
      </c>
      <c r="E66" s="48">
        <v>45672</v>
      </c>
      <c r="F66" s="49">
        <v>7</v>
      </c>
      <c r="G66" s="50">
        <v>0.02</v>
      </c>
      <c r="H66" s="51">
        <f>PRESTAMOS[[#This Row],[MONTO AMORTIZACION]]*PRESTAMOS[[#This Row],[INTERES]]*PRESTAMOS[[#This Row],[CUOTAS]]</f>
        <v>98</v>
      </c>
      <c r="I66" s="51">
        <f>PRESTAMOS[[#This Row],[MONTO AMORTIZACION]]+PRESTAMOS[[#This Row],[T. INT]]</f>
        <v>798</v>
      </c>
      <c r="J66" s="210" t="s">
        <v>308</v>
      </c>
      <c r="K66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347">
        <v>62</v>
      </c>
      <c r="B67" s="46">
        <v>16</v>
      </c>
      <c r="C67" s="37" t="s">
        <v>23</v>
      </c>
      <c r="D67" s="47">
        <v>150</v>
      </c>
      <c r="E67" s="48">
        <v>45676</v>
      </c>
      <c r="F67" s="49">
        <v>2</v>
      </c>
      <c r="G67" s="50">
        <v>0.02</v>
      </c>
      <c r="H67" s="51">
        <f>PRESTAMOS[[#This Row],[MONTO AMORTIZACION]]*PRESTAMOS[[#This Row],[INTERES]]*PRESTAMOS[[#This Row],[CUOTAS]]</f>
        <v>6</v>
      </c>
      <c r="I67" s="51">
        <f>PRESTAMOS[[#This Row],[MONTO AMORTIZACION]]+PRESTAMOS[[#This Row],[T. INT]]</f>
        <v>156</v>
      </c>
      <c r="J67" s="210" t="s">
        <v>321</v>
      </c>
      <c r="K67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347">
        <v>63</v>
      </c>
      <c r="B68" s="38">
        <v>5</v>
      </c>
      <c r="C68" s="37" t="s">
        <v>14</v>
      </c>
      <c r="D68" s="47">
        <v>500</v>
      </c>
      <c r="E68" s="48">
        <v>45704</v>
      </c>
      <c r="F68" s="49">
        <v>5</v>
      </c>
      <c r="G68" s="50">
        <v>0.02</v>
      </c>
      <c r="H68" s="51">
        <f>PRESTAMOS[[#This Row],[MONTO AMORTIZACION]]*PRESTAMOS[[#This Row],[INTERES]]*PRESTAMOS[[#This Row],[CUOTAS]]</f>
        <v>50</v>
      </c>
      <c r="I68" s="51">
        <f>PRESTAMOS[[#This Row],[MONTO AMORTIZACION]]+PRESTAMOS[[#This Row],[T. INT]]</f>
        <v>550</v>
      </c>
      <c r="J68" s="210" t="s">
        <v>209</v>
      </c>
      <c r="K68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347">
        <v>64</v>
      </c>
      <c r="B69" s="46">
        <v>8</v>
      </c>
      <c r="C69" s="37" t="s">
        <v>16</v>
      </c>
      <c r="D69" s="47">
        <v>300</v>
      </c>
      <c r="E69" s="48">
        <v>45704</v>
      </c>
      <c r="F69" s="49">
        <v>3</v>
      </c>
      <c r="G69" s="50">
        <v>0.02</v>
      </c>
      <c r="H69" s="51">
        <f>PRESTAMOS[[#This Row],[MONTO AMORTIZACION]]*PRESTAMOS[[#This Row],[INTERES]]*PRESTAMOS[[#This Row],[CUOTAS]]</f>
        <v>18</v>
      </c>
      <c r="I69" s="51">
        <f>PRESTAMOS[[#This Row],[MONTO AMORTIZACION]]+PRESTAMOS[[#This Row],[T. INT]]</f>
        <v>318</v>
      </c>
      <c r="J69" s="210" t="s">
        <v>209</v>
      </c>
      <c r="K6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347">
        <v>65</v>
      </c>
      <c r="B70" s="46">
        <v>16</v>
      </c>
      <c r="C70" s="37" t="s">
        <v>23</v>
      </c>
      <c r="D70" s="47">
        <v>400</v>
      </c>
      <c r="E70" s="48">
        <v>45707</v>
      </c>
      <c r="F70" s="49">
        <v>1</v>
      </c>
      <c r="G70" s="50">
        <v>0.02</v>
      </c>
      <c r="H70" s="51">
        <f>PRESTAMOS[[#This Row],[MONTO AMORTIZACION]]*PRESTAMOS[[#This Row],[INTERES]]*PRESTAMOS[[#This Row],[CUOTAS]]</f>
        <v>8</v>
      </c>
      <c r="I70" s="51">
        <f>PRESTAMOS[[#This Row],[MONTO AMORTIZACION]]+PRESTAMOS[[#This Row],[T. INT]]</f>
        <v>408</v>
      </c>
      <c r="J70" s="210" t="s">
        <v>324</v>
      </c>
      <c r="K7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347">
        <v>66</v>
      </c>
      <c r="B71" s="46">
        <v>4</v>
      </c>
      <c r="C71" s="37" t="s">
        <v>12</v>
      </c>
      <c r="D71" s="47">
        <v>700</v>
      </c>
      <c r="E71" s="48">
        <v>45731.834143518521</v>
      </c>
      <c r="F71" s="49">
        <v>3</v>
      </c>
      <c r="G71" s="50">
        <v>0.02</v>
      </c>
      <c r="H71" s="51">
        <f>PRESTAMOS[[#This Row],[MONTO AMORTIZACION]]*PRESTAMOS[[#This Row],[INTERES]]*PRESTAMOS[[#This Row],[CUOTAS]]</f>
        <v>42</v>
      </c>
      <c r="I71" s="51">
        <f>PRESTAMOS[[#This Row],[MONTO AMORTIZACION]]+PRESTAMOS[[#This Row],[T. INT]]</f>
        <v>742</v>
      </c>
      <c r="J71" s="210" t="s">
        <v>326</v>
      </c>
      <c r="K7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347">
        <v>67</v>
      </c>
      <c r="B72" s="46">
        <v>7</v>
      </c>
      <c r="C72" s="37" t="s">
        <v>15</v>
      </c>
      <c r="D72" s="47">
        <v>1200</v>
      </c>
      <c r="E72" s="48">
        <v>45758</v>
      </c>
      <c r="F72" s="49">
        <v>1</v>
      </c>
      <c r="G72" s="50">
        <v>0.02</v>
      </c>
      <c r="H72" s="51">
        <f>PRESTAMOS[[#This Row],[MONTO AMORTIZACION]]*PRESTAMOS[[#This Row],[INTERES]]*PRESTAMOS[[#This Row],[CUOTAS]]</f>
        <v>24</v>
      </c>
      <c r="I72" s="51">
        <f>PRESTAMOS[[#This Row],[MONTO AMORTIZACION]]+PRESTAMOS[[#This Row],[T. INT]]</f>
        <v>1224</v>
      </c>
      <c r="J72" s="210" t="s">
        <v>333</v>
      </c>
      <c r="K7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347">
        <v>68</v>
      </c>
      <c r="B73" s="46">
        <v>10</v>
      </c>
      <c r="C73" s="37" t="s">
        <v>18</v>
      </c>
      <c r="D73" s="47">
        <v>200</v>
      </c>
      <c r="E73" s="48">
        <v>45762</v>
      </c>
      <c r="F73" s="49">
        <v>5</v>
      </c>
      <c r="G73" s="50">
        <v>0.02</v>
      </c>
      <c r="H73" s="51">
        <f>PRESTAMOS[[#This Row],[MONTO AMORTIZACION]]*PRESTAMOS[[#This Row],[INTERES]]*PRESTAMOS[[#This Row],[CUOTAS]]</f>
        <v>20</v>
      </c>
      <c r="I73" s="51">
        <f>PRESTAMOS[[#This Row],[MONTO AMORTIZACION]]+PRESTAMOS[[#This Row],[T. INT]]</f>
        <v>220</v>
      </c>
      <c r="J73" s="210" t="s">
        <v>334</v>
      </c>
      <c r="K7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347">
        <v>69</v>
      </c>
      <c r="B74" s="46">
        <v>3</v>
      </c>
      <c r="C74" s="37" t="s">
        <v>13</v>
      </c>
      <c r="D74" s="47">
        <v>600</v>
      </c>
      <c r="E74" s="48">
        <v>45762</v>
      </c>
      <c r="F74" s="49">
        <v>3</v>
      </c>
      <c r="G74" s="50">
        <v>0.02</v>
      </c>
      <c r="H74" s="51">
        <f>PRESTAMOS[[#This Row],[MONTO AMORTIZACION]]*PRESTAMOS[[#This Row],[INTERES]]*PRESTAMOS[[#This Row],[CUOTAS]]</f>
        <v>36</v>
      </c>
      <c r="I74" s="51">
        <f>PRESTAMOS[[#This Row],[MONTO AMORTIZACION]]+PRESTAMOS[[#This Row],[T. INT]]</f>
        <v>636</v>
      </c>
      <c r="J74" s="210" t="s">
        <v>342</v>
      </c>
      <c r="K74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347" t="s">
        <v>344</v>
      </c>
      <c r="B75" s="46">
        <v>17</v>
      </c>
      <c r="C75" s="37" t="s">
        <v>339</v>
      </c>
      <c r="D75" s="47">
        <v>0</v>
      </c>
      <c r="E75" s="48">
        <v>45762</v>
      </c>
      <c r="F75" s="49">
        <v>0</v>
      </c>
      <c r="G75" s="50">
        <v>0</v>
      </c>
      <c r="H75" s="51">
        <f>PRESTAMOS[[#This Row],[MONTO AMORTIZACION]]*PRESTAMOS[[#This Row],[INTERES]]*PRESTAMOS[[#This Row],[CUOTAS]]</f>
        <v>0</v>
      </c>
      <c r="I75" s="51">
        <f>PRESTAMOS[[#This Row],[MONTO AMORTIZACION]]+PRESTAMOS[[#This Row],[T. INT]]</f>
        <v>0</v>
      </c>
      <c r="J75" s="210" t="s">
        <v>345</v>
      </c>
      <c r="K75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347" t="s">
        <v>346</v>
      </c>
      <c r="B76" s="46">
        <v>18</v>
      </c>
      <c r="C76" s="37" t="s">
        <v>340</v>
      </c>
      <c r="D76" s="47">
        <v>0</v>
      </c>
      <c r="E76" s="48">
        <v>45762</v>
      </c>
      <c r="F76" s="49">
        <v>0</v>
      </c>
      <c r="G76" s="50">
        <v>0</v>
      </c>
      <c r="H76" s="51">
        <f>PRESTAMOS[[#This Row],[MONTO AMORTIZACION]]*PRESTAMOS[[#This Row],[INTERES]]*PRESTAMOS[[#This Row],[CUOTAS]]</f>
        <v>0</v>
      </c>
      <c r="I76" s="51">
        <f>PRESTAMOS[[#This Row],[MONTO AMORTIZACION]]+PRESTAMOS[[#This Row],[T. INT]]</f>
        <v>0</v>
      </c>
      <c r="J76" s="210" t="s">
        <v>347</v>
      </c>
      <c r="K76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347" t="s">
        <v>348</v>
      </c>
      <c r="B77" s="46">
        <v>13</v>
      </c>
      <c r="C77" s="37" t="s">
        <v>341</v>
      </c>
      <c r="D77" s="47">
        <v>0</v>
      </c>
      <c r="E77" s="48">
        <v>45762</v>
      </c>
      <c r="F77" s="49">
        <v>0</v>
      </c>
      <c r="G77" s="50">
        <v>0</v>
      </c>
      <c r="H77" s="51">
        <f>PRESTAMOS[[#This Row],[MONTO AMORTIZACION]]*PRESTAMOS[[#This Row],[INTERES]]*PRESTAMOS[[#This Row],[CUOTAS]]</f>
        <v>0</v>
      </c>
      <c r="I77" s="51">
        <f>PRESTAMOS[[#This Row],[MONTO AMORTIZACION]]+PRESTAMOS[[#This Row],[T. INT]]</f>
        <v>0</v>
      </c>
      <c r="J77" s="210" t="s">
        <v>349</v>
      </c>
      <c r="K77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347">
        <v>70</v>
      </c>
      <c r="B78" s="46">
        <v>8</v>
      </c>
      <c r="C78" s="37" t="s">
        <v>16</v>
      </c>
      <c r="D78" s="47">
        <v>500</v>
      </c>
      <c r="E78" s="48">
        <v>45764</v>
      </c>
      <c r="F78" s="49">
        <v>5</v>
      </c>
      <c r="G78" s="50">
        <v>0.02</v>
      </c>
      <c r="H78" s="51">
        <f>PRESTAMOS[[#This Row],[MONTO AMORTIZACION]]*PRESTAMOS[[#This Row],[INTERES]]*PRESTAMOS[[#This Row],[CUOTAS]]</f>
        <v>50</v>
      </c>
      <c r="I78" s="51">
        <f>PRESTAMOS[[#This Row],[MONTO AMORTIZACION]]+PRESTAMOS[[#This Row],[T. INT]]</f>
        <v>550</v>
      </c>
      <c r="J78" s="210" t="s">
        <v>65</v>
      </c>
      <c r="K78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347">
        <v>71</v>
      </c>
      <c r="B79" s="38">
        <v>5</v>
      </c>
      <c r="C79" s="37" t="s">
        <v>14</v>
      </c>
      <c r="D79" s="47">
        <v>1200</v>
      </c>
      <c r="E79" s="48">
        <v>45792</v>
      </c>
      <c r="F79" s="49">
        <v>12</v>
      </c>
      <c r="G79" s="246">
        <v>0.02</v>
      </c>
      <c r="H79" s="51">
        <f>PRESTAMOS[[#This Row],[MONTO AMORTIZACION]]*PRESTAMOS[[#This Row],[INTERES]]*PRESTAMOS[[#This Row],[CUOTAS]]</f>
        <v>288</v>
      </c>
      <c r="I79" s="51">
        <f>PRESTAMOS[[#This Row],[MONTO AMORTIZACION]]+PRESTAMOS[[#This Row],[T. INT]]</f>
        <v>1488</v>
      </c>
      <c r="J79" s="210" t="s">
        <v>365</v>
      </c>
      <c r="K7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80" spans="1:12" x14ac:dyDescent="0.3">
      <c r="A80" s="347">
        <v>72</v>
      </c>
      <c r="B80" s="46">
        <v>17</v>
      </c>
      <c r="C80" s="37" t="s">
        <v>339</v>
      </c>
      <c r="D80" s="47">
        <v>2000</v>
      </c>
      <c r="E80" s="48">
        <v>45792</v>
      </c>
      <c r="F80" s="49">
        <v>12</v>
      </c>
      <c r="G80" s="246">
        <v>0.02</v>
      </c>
      <c r="H80" s="51">
        <f>PRESTAMOS[[#This Row],[MONTO AMORTIZACION]]*PRESTAMOS[[#This Row],[INTERES]]*PRESTAMOS[[#This Row],[CUOTAS]]</f>
        <v>480</v>
      </c>
      <c r="I80" s="51">
        <f>PRESTAMOS[[#This Row],[MONTO AMORTIZACION]]+PRESTAMOS[[#This Row],[T. INT]]</f>
        <v>2480</v>
      </c>
      <c r="J80" s="210" t="s">
        <v>367</v>
      </c>
      <c r="K8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81" spans="1:12" x14ac:dyDescent="0.3">
      <c r="A81" s="347">
        <v>73</v>
      </c>
      <c r="B81" s="46">
        <v>11</v>
      </c>
      <c r="C81" s="37" t="s">
        <v>19</v>
      </c>
      <c r="D81" s="47">
        <v>300</v>
      </c>
      <c r="E81" s="48">
        <v>45792</v>
      </c>
      <c r="F81" s="49">
        <v>3</v>
      </c>
      <c r="G81" s="246">
        <v>0.02</v>
      </c>
      <c r="H81" s="51">
        <f>PRESTAMOS[[#This Row],[MONTO AMORTIZACION]]*PRESTAMOS[[#This Row],[INTERES]]*PRESTAMOS[[#This Row],[CUOTAS]]</f>
        <v>18</v>
      </c>
      <c r="I81" s="51">
        <f>PRESTAMOS[[#This Row],[MONTO AMORTIZACION]]+PRESTAMOS[[#This Row],[T. INT]]</f>
        <v>318</v>
      </c>
      <c r="J81" s="210" t="s">
        <v>373</v>
      </c>
      <c r="K8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347">
        <v>74</v>
      </c>
      <c r="B82" s="46">
        <v>16</v>
      </c>
      <c r="C82" s="37" t="s">
        <v>23</v>
      </c>
      <c r="D82" s="47">
        <v>40</v>
      </c>
      <c r="E82" s="48">
        <v>45792</v>
      </c>
      <c r="F82" s="49">
        <v>1</v>
      </c>
      <c r="G82" s="246">
        <v>0.02</v>
      </c>
      <c r="H82" s="51">
        <f>PRESTAMOS[[#This Row],[MONTO AMORTIZACION]]*PRESTAMOS[[#This Row],[INTERES]]*PRESTAMOS[[#This Row],[CUOTAS]]</f>
        <v>0.8</v>
      </c>
      <c r="I82" s="51">
        <f>PRESTAMOS[[#This Row],[MONTO AMORTIZACION]]+PRESTAMOS[[#This Row],[T. INT]]</f>
        <v>40.799999999999997</v>
      </c>
      <c r="J82" s="210" t="s">
        <v>407</v>
      </c>
      <c r="K8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347">
        <v>75</v>
      </c>
      <c r="B83" s="46">
        <v>16</v>
      </c>
      <c r="C83" s="37" t="s">
        <v>23</v>
      </c>
      <c r="D83" s="47">
        <v>100</v>
      </c>
      <c r="E83" s="48">
        <v>45855</v>
      </c>
      <c r="F83" s="49">
        <v>1</v>
      </c>
      <c r="G83" s="246">
        <v>0.02</v>
      </c>
      <c r="H83" s="51">
        <f>PRESTAMOS[[#This Row],[MONTO AMORTIZACION]]*PRESTAMOS[[#This Row],[INTERES]]*PRESTAMOS[[#This Row],[CUOTAS]]</f>
        <v>2</v>
      </c>
      <c r="I83" s="51">
        <f>PRESTAMOS[[#This Row],[MONTO AMORTIZACION]]+PRESTAMOS[[#This Row],[T. INT]]</f>
        <v>102</v>
      </c>
      <c r="J83" s="210" t="s">
        <v>406</v>
      </c>
      <c r="K8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346">
        <v>76</v>
      </c>
      <c r="B84" s="38">
        <v>16</v>
      </c>
      <c r="C84" s="37" t="s">
        <v>23</v>
      </c>
      <c r="D84" s="40">
        <v>200</v>
      </c>
      <c r="E84" s="44">
        <v>45877</v>
      </c>
      <c r="F84" s="83">
        <v>1</v>
      </c>
      <c r="G84" s="84">
        <v>0.02</v>
      </c>
      <c r="H84" s="43">
        <f>PRESTAMOS[[#This Row],[MONTO AMORTIZACION]]*PRESTAMOS[[#This Row],[INTERES]]*PRESTAMOS[[#This Row],[CUOTAS]]</f>
        <v>4</v>
      </c>
      <c r="I84" s="43">
        <f>PRESTAMOS[[#This Row],[MONTO AMORTIZACION]]+PRESTAMOS[[#This Row],[T. INT]]</f>
        <v>204</v>
      </c>
      <c r="J84" s="314" t="s">
        <v>467</v>
      </c>
      <c r="K8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346">
        <v>77</v>
      </c>
      <c r="B85" s="38">
        <v>6</v>
      </c>
      <c r="C85" s="39" t="s">
        <v>24</v>
      </c>
      <c r="D85" s="40">
        <v>1200</v>
      </c>
      <c r="E85" s="44">
        <v>45884</v>
      </c>
      <c r="F85" s="83">
        <v>12</v>
      </c>
      <c r="G85" s="84">
        <v>0.02</v>
      </c>
      <c r="H85" s="43">
        <f>PRESTAMOS[[#This Row],[MONTO AMORTIZACION]]*PRESTAMOS[[#This Row],[INTERES]]*PRESTAMOS[[#This Row],[CUOTAS]]</f>
        <v>288</v>
      </c>
      <c r="I85" s="43">
        <f>PRESTAMOS[[#This Row],[MONTO AMORTIZACION]]+PRESTAMOS[[#This Row],[T. INT]]</f>
        <v>1488</v>
      </c>
      <c r="J85" s="314" t="s">
        <v>438</v>
      </c>
      <c r="K8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86" spans="1:12" x14ac:dyDescent="0.3">
      <c r="A86" s="346">
        <v>78</v>
      </c>
      <c r="B86" s="38">
        <v>15</v>
      </c>
      <c r="C86" s="39" t="s">
        <v>22</v>
      </c>
      <c r="D86" s="40">
        <v>700</v>
      </c>
      <c r="E86" s="44">
        <v>45884</v>
      </c>
      <c r="F86" s="83">
        <v>7</v>
      </c>
      <c r="G86" s="84">
        <v>0.02</v>
      </c>
      <c r="H86" s="43">
        <f>PRESTAMOS[[#This Row],[MONTO AMORTIZACION]]*PRESTAMOS[[#This Row],[INTERES]]*PRESTAMOS[[#This Row],[CUOTAS]]</f>
        <v>98</v>
      </c>
      <c r="I86" s="43">
        <f>PRESTAMOS[[#This Row],[MONTO AMORTIZACION]]+PRESTAMOS[[#This Row],[T. INT]]</f>
        <v>798</v>
      </c>
      <c r="J86" s="314" t="s">
        <v>440</v>
      </c>
      <c r="K8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7" spans="1:12" x14ac:dyDescent="0.3">
      <c r="A87" s="346">
        <v>79</v>
      </c>
      <c r="B87" s="38">
        <v>18</v>
      </c>
      <c r="C87" s="39" t="s">
        <v>340</v>
      </c>
      <c r="D87" s="40">
        <v>200</v>
      </c>
      <c r="E87" s="44">
        <v>45884</v>
      </c>
      <c r="F87" s="83">
        <v>4</v>
      </c>
      <c r="G87" s="84">
        <v>0.02</v>
      </c>
      <c r="H87" s="43">
        <f>PRESTAMOS[[#This Row],[MONTO AMORTIZACION]]*PRESTAMOS[[#This Row],[INTERES]]*PRESTAMOS[[#This Row],[CUOTAS]]</f>
        <v>16</v>
      </c>
      <c r="I87" s="43">
        <f>PRESTAMOS[[#This Row],[MONTO AMORTIZACION]]+PRESTAMOS[[#This Row],[T. INT]]</f>
        <v>216</v>
      </c>
      <c r="J87" s="314" t="s">
        <v>442</v>
      </c>
      <c r="K8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8" spans="1:12" x14ac:dyDescent="0.3">
      <c r="A88" s="346">
        <v>80</v>
      </c>
      <c r="B88" s="38">
        <v>7</v>
      </c>
      <c r="C88" s="39" t="s">
        <v>408</v>
      </c>
      <c r="D88" s="40">
        <v>400</v>
      </c>
      <c r="E88" s="44">
        <v>45884</v>
      </c>
      <c r="F88" s="83">
        <v>4</v>
      </c>
      <c r="G88" s="84">
        <v>0.02</v>
      </c>
      <c r="H88" s="43">
        <f>PRESTAMOS[[#This Row],[MONTO AMORTIZACION]]*PRESTAMOS[[#This Row],[INTERES]]*PRESTAMOS[[#This Row],[CUOTAS]]</f>
        <v>32</v>
      </c>
      <c r="I88" s="43">
        <f>PRESTAMOS[[#This Row],[MONTO AMORTIZACION]]+PRESTAMOS[[#This Row],[T. INT]]</f>
        <v>432</v>
      </c>
      <c r="J88" s="314" t="s">
        <v>444</v>
      </c>
      <c r="K8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9" spans="1:12" x14ac:dyDescent="0.3">
      <c r="A89" s="346">
        <v>81</v>
      </c>
      <c r="B89" s="38">
        <v>12</v>
      </c>
      <c r="C89" s="39" t="s">
        <v>20</v>
      </c>
      <c r="D89" s="40">
        <v>1100</v>
      </c>
      <c r="E89" s="44">
        <v>45884</v>
      </c>
      <c r="F89" s="83">
        <v>10</v>
      </c>
      <c r="G89" s="84">
        <v>0.02</v>
      </c>
      <c r="H89" s="43">
        <f>PRESTAMOS[[#This Row],[MONTO AMORTIZACION]]*PRESTAMOS[[#This Row],[INTERES]]*PRESTAMOS[[#This Row],[CUOTAS]]</f>
        <v>220</v>
      </c>
      <c r="I89" s="43">
        <f>PRESTAMOS[[#This Row],[MONTO AMORTIZACION]]+PRESTAMOS[[#This Row],[T. INT]]</f>
        <v>1320</v>
      </c>
      <c r="J89" s="314" t="s">
        <v>444</v>
      </c>
      <c r="K8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08</v>
      </c>
    </row>
    <row r="90" spans="1:12" x14ac:dyDescent="0.3">
      <c r="A90" s="346">
        <v>82</v>
      </c>
      <c r="B90" s="38">
        <v>4</v>
      </c>
      <c r="C90" s="39" t="s">
        <v>12</v>
      </c>
      <c r="D90" s="40">
        <v>100</v>
      </c>
      <c r="E90" s="44">
        <v>45892</v>
      </c>
      <c r="F90" s="83">
        <v>2</v>
      </c>
      <c r="G90" s="84">
        <v>0.02</v>
      </c>
      <c r="H90" s="43">
        <f>PRESTAMOS[[#This Row],[MONTO AMORTIZACION]]*PRESTAMOS[[#This Row],[INTERES]]*PRESTAMOS[[#This Row],[CUOTAS]]</f>
        <v>4</v>
      </c>
      <c r="I90" s="43">
        <f>PRESTAMOS[[#This Row],[MONTO AMORTIZACION]]+PRESTAMOS[[#This Row],[T. INT]]</f>
        <v>104</v>
      </c>
      <c r="J90" s="314" t="s">
        <v>444</v>
      </c>
      <c r="K9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346">
        <v>83</v>
      </c>
      <c r="B91" s="38">
        <v>7</v>
      </c>
      <c r="C91" s="39" t="s">
        <v>408</v>
      </c>
      <c r="D91" s="40">
        <v>200</v>
      </c>
      <c r="E91" s="44">
        <v>45897</v>
      </c>
      <c r="F91" s="83">
        <v>1</v>
      </c>
      <c r="G91" s="84">
        <v>0.02</v>
      </c>
      <c r="H91" s="43">
        <f>PRESTAMOS[[#This Row],[MONTO AMORTIZACION]]*PRESTAMOS[[#This Row],[INTERES]]*PRESTAMOS[[#This Row],[CUOTAS]]</f>
        <v>4</v>
      </c>
      <c r="I91" s="43">
        <f>PRESTAMOS[[#This Row],[MONTO AMORTIZACION]]+PRESTAMOS[[#This Row],[T. INT]]</f>
        <v>204</v>
      </c>
      <c r="J91" s="314" t="s">
        <v>486</v>
      </c>
      <c r="K9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346">
        <v>84</v>
      </c>
      <c r="B92" s="38">
        <v>7</v>
      </c>
      <c r="C92" s="39" t="s">
        <v>408</v>
      </c>
      <c r="D92" s="40">
        <v>100</v>
      </c>
      <c r="E92" s="44">
        <v>45900</v>
      </c>
      <c r="F92" s="83">
        <v>1</v>
      </c>
      <c r="G92" s="84">
        <v>0.02</v>
      </c>
      <c r="H92" s="43">
        <f>PRESTAMOS[[#This Row],[MONTO AMORTIZACION]]*PRESTAMOS[[#This Row],[INTERES]]*PRESTAMOS[[#This Row],[CUOTAS]]</f>
        <v>2</v>
      </c>
      <c r="I92" s="43">
        <f>PRESTAMOS[[#This Row],[MONTO AMORTIZACION]]+PRESTAMOS[[#This Row],[T. INT]]</f>
        <v>102</v>
      </c>
      <c r="J92" s="314" t="s">
        <v>488</v>
      </c>
      <c r="K9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346">
        <v>85</v>
      </c>
      <c r="B93" s="38">
        <v>16</v>
      </c>
      <c r="C93" s="39" t="s">
        <v>23</v>
      </c>
      <c r="D93" s="40">
        <v>40</v>
      </c>
      <c r="E93" s="44">
        <v>45900</v>
      </c>
      <c r="F93" s="83">
        <v>1</v>
      </c>
      <c r="G93" s="84">
        <v>0.02</v>
      </c>
      <c r="H93" s="43">
        <f>PRESTAMOS[[#This Row],[MONTO AMORTIZACION]]*PRESTAMOS[[#This Row],[INTERES]]*PRESTAMOS[[#This Row],[CUOTAS]]</f>
        <v>0.8</v>
      </c>
      <c r="I93" s="43">
        <f>PRESTAMOS[[#This Row],[MONTO AMORTIZACION]]+PRESTAMOS[[#This Row],[T. INT]]</f>
        <v>40.799999999999997</v>
      </c>
      <c r="J93" s="314" t="s">
        <v>488</v>
      </c>
      <c r="K9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346">
        <v>86</v>
      </c>
      <c r="B94" s="38">
        <v>12</v>
      </c>
      <c r="C94" s="39" t="s">
        <v>20</v>
      </c>
      <c r="D94" s="40">
        <v>100</v>
      </c>
      <c r="E94" s="44">
        <v>45900</v>
      </c>
      <c r="F94" s="83">
        <v>2</v>
      </c>
      <c r="G94" s="84">
        <v>0.02</v>
      </c>
      <c r="H94" s="43">
        <f>PRESTAMOS[[#This Row],[MONTO AMORTIZACION]]*PRESTAMOS[[#This Row],[INTERES]]*PRESTAMOS[[#This Row],[CUOTAS]]</f>
        <v>4</v>
      </c>
      <c r="I94" s="43">
        <f>PRESTAMOS[[#This Row],[MONTO AMORTIZACION]]+PRESTAMOS[[#This Row],[T. INT]]</f>
        <v>104</v>
      </c>
      <c r="J94" s="314" t="s">
        <v>444</v>
      </c>
      <c r="K9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346">
        <v>87</v>
      </c>
      <c r="B95" s="38">
        <v>9</v>
      </c>
      <c r="C95" s="39" t="s">
        <v>17</v>
      </c>
      <c r="D95" s="40">
        <v>100</v>
      </c>
      <c r="E95" s="44">
        <v>45900</v>
      </c>
      <c r="F95" s="83">
        <v>2</v>
      </c>
      <c r="G95" s="84">
        <v>0.02</v>
      </c>
      <c r="H95" s="43">
        <f>PRESTAMOS[[#This Row],[MONTO AMORTIZACION]]*PRESTAMOS[[#This Row],[INTERES]]*PRESTAMOS[[#This Row],[CUOTAS]]</f>
        <v>4</v>
      </c>
      <c r="I95" s="43">
        <f>PRESTAMOS[[#This Row],[MONTO AMORTIZACION]]+PRESTAMOS[[#This Row],[T. INT]]</f>
        <v>104</v>
      </c>
      <c r="J95" s="314" t="s">
        <v>444</v>
      </c>
      <c r="K9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346">
        <v>88</v>
      </c>
      <c r="B96" s="38">
        <v>5</v>
      </c>
      <c r="C96" s="39" t="s">
        <v>14</v>
      </c>
      <c r="D96" s="40">
        <v>100</v>
      </c>
      <c r="E96" s="44">
        <v>45900</v>
      </c>
      <c r="F96" s="83">
        <v>2</v>
      </c>
      <c r="G96" s="84">
        <v>0.02</v>
      </c>
      <c r="H96" s="43">
        <f>PRESTAMOS[[#This Row],[MONTO AMORTIZACION]]*PRESTAMOS[[#This Row],[INTERES]]*PRESTAMOS[[#This Row],[CUOTAS]]</f>
        <v>4</v>
      </c>
      <c r="I96" s="43">
        <f>PRESTAMOS[[#This Row],[MONTO AMORTIZACION]]+PRESTAMOS[[#This Row],[T. INT]]</f>
        <v>104</v>
      </c>
      <c r="J96" s="314" t="s">
        <v>444</v>
      </c>
      <c r="K9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346">
        <v>89</v>
      </c>
      <c r="B97" s="38">
        <v>3</v>
      </c>
      <c r="C97" s="39" t="s">
        <v>13</v>
      </c>
      <c r="D97" s="40">
        <v>60</v>
      </c>
      <c r="E97" s="44">
        <v>45900</v>
      </c>
      <c r="F97" s="83">
        <v>2</v>
      </c>
      <c r="G97" s="84">
        <v>0.02</v>
      </c>
      <c r="H97" s="43">
        <f>PRESTAMOS[[#This Row],[MONTO AMORTIZACION]]*PRESTAMOS[[#This Row],[INTERES]]*PRESTAMOS[[#This Row],[CUOTAS]]</f>
        <v>2.4</v>
      </c>
      <c r="I97" s="43">
        <f>PRESTAMOS[[#This Row],[MONTO AMORTIZACION]]+PRESTAMOS[[#This Row],[T. INT]]</f>
        <v>62.4</v>
      </c>
      <c r="J97" s="314" t="s">
        <v>444</v>
      </c>
      <c r="K9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346">
        <v>90</v>
      </c>
      <c r="B98" s="38">
        <v>16</v>
      </c>
      <c r="C98" s="39" t="s">
        <v>23</v>
      </c>
      <c r="D98" s="40">
        <v>150</v>
      </c>
      <c r="E98" s="44">
        <v>45909</v>
      </c>
      <c r="F98" s="83">
        <v>3</v>
      </c>
      <c r="G98" s="84">
        <v>0.02</v>
      </c>
      <c r="H98" s="43">
        <f>PRESTAMOS[[#This Row],[MONTO AMORTIZACION]]*PRESTAMOS[[#This Row],[INTERES]]*PRESTAMOS[[#This Row],[CUOTAS]]</f>
        <v>9</v>
      </c>
      <c r="I98" s="43">
        <f>PRESTAMOS[[#This Row],[MONTO AMORTIZACION]]+PRESTAMOS[[#This Row],[T. INT]]</f>
        <v>159</v>
      </c>
      <c r="J98" s="314" t="s">
        <v>496</v>
      </c>
      <c r="K9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9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99" spans="1:12" x14ac:dyDescent="0.3">
      <c r="A99" s="346">
        <v>91</v>
      </c>
      <c r="B99" s="38">
        <v>8</v>
      </c>
      <c r="C99" s="39" t="s">
        <v>409</v>
      </c>
      <c r="D99" s="40">
        <v>700</v>
      </c>
      <c r="E99" s="44">
        <v>45915</v>
      </c>
      <c r="F99" s="83">
        <v>5</v>
      </c>
      <c r="G99" s="84">
        <v>0.02</v>
      </c>
      <c r="H99" s="43">
        <f>PRESTAMOS[[#This Row],[MONTO AMORTIZACION]]*PRESTAMOS[[#This Row],[INTERES]]*PRESTAMOS[[#This Row],[CUOTAS]]</f>
        <v>70</v>
      </c>
      <c r="I99" s="43">
        <f>PRESTAMOS[[#This Row],[MONTO AMORTIZACION]]+PRESTAMOS[[#This Row],[T. INT]]</f>
        <v>770</v>
      </c>
      <c r="J99" s="314" t="s">
        <v>503</v>
      </c>
      <c r="K9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9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0" spans="1:12" x14ac:dyDescent="0.3">
      <c r="A100" s="346">
        <v>92</v>
      </c>
      <c r="B100" s="38">
        <v>7</v>
      </c>
      <c r="C100" s="39" t="s">
        <v>408</v>
      </c>
      <c r="D100" s="40">
        <v>300</v>
      </c>
      <c r="E100" s="44">
        <v>45928</v>
      </c>
      <c r="F100" s="83">
        <v>1</v>
      </c>
      <c r="G100" s="84">
        <v>0.02</v>
      </c>
      <c r="H100" s="43">
        <f>PRESTAMOS[[#This Row],[MONTO AMORTIZACION]]*PRESTAMOS[[#This Row],[INTERES]]*PRESTAMOS[[#This Row],[CUOTAS]]</f>
        <v>6</v>
      </c>
      <c r="I100" s="43">
        <f>PRESTAMOS[[#This Row],[MONTO AMORTIZACION]]+PRESTAMOS[[#This Row],[T. INT]]</f>
        <v>306</v>
      </c>
      <c r="J100" s="314" t="s">
        <v>444</v>
      </c>
      <c r="K10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346">
        <v>93</v>
      </c>
      <c r="B101" s="38">
        <v>16</v>
      </c>
      <c r="C101" s="39" t="s">
        <v>23</v>
      </c>
      <c r="D101" s="40">
        <v>200</v>
      </c>
      <c r="E101" s="44">
        <v>45938</v>
      </c>
      <c r="F101" s="83">
        <v>3</v>
      </c>
      <c r="G101" s="84">
        <v>0.02</v>
      </c>
      <c r="H101" s="43">
        <f>PRESTAMOS[[#This Row],[MONTO AMORTIZACION]]*PRESTAMOS[[#This Row],[INTERES]]*PRESTAMOS[[#This Row],[CUOTAS]]</f>
        <v>12</v>
      </c>
      <c r="I101" s="43">
        <f>PRESTAMOS[[#This Row],[MONTO AMORTIZACION]]+PRESTAMOS[[#This Row],[T. INT]]</f>
        <v>212</v>
      </c>
      <c r="J101" s="314" t="s">
        <v>532</v>
      </c>
      <c r="K10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2" spans="1:12" x14ac:dyDescent="0.3">
      <c r="A102" s="346">
        <v>94</v>
      </c>
      <c r="B102" s="38">
        <v>10</v>
      </c>
      <c r="C102" s="39" t="s">
        <v>18</v>
      </c>
      <c r="D102" s="40">
        <v>150</v>
      </c>
      <c r="E102" s="44">
        <v>45945</v>
      </c>
      <c r="F102" s="83">
        <v>3</v>
      </c>
      <c r="G102" s="84">
        <v>0.02</v>
      </c>
      <c r="H102" s="43">
        <f>PRESTAMOS[[#This Row],[MONTO AMORTIZACION]]*PRESTAMOS[[#This Row],[INTERES]]*PRESTAMOS[[#This Row],[CUOTAS]]</f>
        <v>9</v>
      </c>
      <c r="I102" s="43">
        <f>PRESTAMOS[[#This Row],[MONTO AMORTIZACION]]+PRESTAMOS[[#This Row],[T. INT]]</f>
        <v>159</v>
      </c>
      <c r="J102" s="314" t="s">
        <v>444</v>
      </c>
      <c r="K10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3" spans="1:12" x14ac:dyDescent="0.3">
      <c r="A103" s="346">
        <v>95</v>
      </c>
      <c r="B103" s="38">
        <v>18</v>
      </c>
      <c r="C103" s="39" t="s">
        <v>340</v>
      </c>
      <c r="D103" s="40">
        <v>400</v>
      </c>
      <c r="E103" s="44">
        <v>45945</v>
      </c>
      <c r="F103" s="83">
        <v>4</v>
      </c>
      <c r="G103" s="84">
        <v>0.02</v>
      </c>
      <c r="H103" s="43">
        <f>PRESTAMOS[[#This Row],[MONTO AMORTIZACION]]*PRESTAMOS[[#This Row],[INTERES]]*PRESTAMOS[[#This Row],[CUOTAS]]</f>
        <v>32</v>
      </c>
      <c r="I103" s="43">
        <f>PRESTAMOS[[#This Row],[MONTO AMORTIZACION]]+PRESTAMOS[[#This Row],[T. INT]]</f>
        <v>432</v>
      </c>
      <c r="J103" s="314" t="s">
        <v>444</v>
      </c>
      <c r="K10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4" spans="1:12" ht="28.8" x14ac:dyDescent="0.3">
      <c r="A104" s="346">
        <v>96</v>
      </c>
      <c r="B104" s="38">
        <v>16</v>
      </c>
      <c r="C104" s="39" t="s">
        <v>23</v>
      </c>
      <c r="D104" s="40">
        <v>200</v>
      </c>
      <c r="E104" s="44">
        <v>45949</v>
      </c>
      <c r="F104" s="83">
        <v>4</v>
      </c>
      <c r="G104" s="84">
        <v>0.02</v>
      </c>
      <c r="H104" s="43">
        <f>PRESTAMOS[[#This Row],[MONTO AMORTIZACION]]*PRESTAMOS[[#This Row],[INTERES]]*PRESTAMOS[[#This Row],[CUOTAS]]</f>
        <v>16</v>
      </c>
      <c r="I104" s="43">
        <f>PRESTAMOS[[#This Row],[MONTO AMORTIZACION]]+PRESTAMOS[[#This Row],[T. INT]]</f>
        <v>216</v>
      </c>
      <c r="J104" s="314" t="s">
        <v>529</v>
      </c>
      <c r="K10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</sheetData>
  <sheetProtection algorithmName="SHA-512" hashValue="ZIi9wvn1AU9hsBSXqlgKF6FsiO6R25txCMxm5NBk5Qu1D/RBV+C3/ZzAiUQQV8pXwWBrY2lE+ICa78Uh5XNYQA==" saltValue="SS0i6Mf8hNUk9+8wyb0qdA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386"/>
  <sheetViews>
    <sheetView zoomScale="107" zoomScaleNormal="99" workbookViewId="0">
      <pane ySplit="2" topLeftCell="A3" activePane="bottomLeft" state="frozen"/>
      <selection pane="bottomLeft" activeCell="A3" sqref="A3"/>
    </sheetView>
  </sheetViews>
  <sheetFormatPr baseColWidth="10" defaultColWidth="10.88671875" defaultRowHeight="14.4" x14ac:dyDescent="0.3"/>
  <cols>
    <col min="1" max="1" width="10.109375" style="344" customWidth="1"/>
    <col min="2" max="2" width="8.33203125" style="16" customWidth="1"/>
    <col min="3" max="3" width="24" style="16" customWidth="1"/>
    <col min="4" max="4" width="14.6640625" style="189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90" hidden="1" customWidth="1"/>
    <col min="13" max="16384" width="10.88671875" style="18"/>
  </cols>
  <sheetData>
    <row r="1" spans="1:12" ht="23.25" customHeight="1" x14ac:dyDescent="0.3">
      <c r="A1" s="389" t="s">
        <v>39</v>
      </c>
      <c r="B1" s="389"/>
      <c r="C1" s="389"/>
      <c r="D1" s="389"/>
      <c r="E1" s="389"/>
      <c r="F1" s="389"/>
      <c r="G1" s="389"/>
      <c r="H1" s="389"/>
      <c r="I1" s="389"/>
      <c r="J1" s="389"/>
      <c r="K1" s="389"/>
    </row>
    <row r="2" spans="1:12" ht="28.8" x14ac:dyDescent="0.3">
      <c r="A2" s="23" t="s">
        <v>68</v>
      </c>
      <c r="B2" s="22" t="s">
        <v>33</v>
      </c>
      <c r="C2" s="23" t="s">
        <v>34</v>
      </c>
      <c r="D2" s="23" t="s">
        <v>251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297</v>
      </c>
      <c r="L2" s="23" t="s">
        <v>428</v>
      </c>
    </row>
    <row r="3" spans="1:12" x14ac:dyDescent="0.3">
      <c r="A3" s="335">
        <v>1</v>
      </c>
      <c r="B3" s="71">
        <v>5</v>
      </c>
      <c r="C3" s="54" t="s">
        <v>14</v>
      </c>
      <c r="D3" s="286">
        <v>2</v>
      </c>
      <c r="E3" s="33">
        <v>50</v>
      </c>
      <c r="F3" s="55">
        <v>44849</v>
      </c>
      <c r="G3" s="63">
        <v>1</v>
      </c>
      <c r="H3" s="33">
        <v>2</v>
      </c>
      <c r="I3" s="55">
        <v>44849</v>
      </c>
      <c r="J3" s="67">
        <v>1</v>
      </c>
      <c r="K3" s="39" t="s">
        <v>382</v>
      </c>
      <c r="L3" s="319" t="b">
        <f>+ISNUMBER(PAGOS[[#This Row],[REG]])</f>
        <v>1</v>
      </c>
    </row>
    <row r="4" spans="1:12" x14ac:dyDescent="0.3">
      <c r="A4" s="336">
        <v>2</v>
      </c>
      <c r="B4" s="72">
        <v>9</v>
      </c>
      <c r="C4" s="56" t="s">
        <v>17</v>
      </c>
      <c r="D4" s="287">
        <v>1</v>
      </c>
      <c r="E4" s="74">
        <v>30</v>
      </c>
      <c r="F4" s="57">
        <v>44849</v>
      </c>
      <c r="G4" s="64">
        <v>1</v>
      </c>
      <c r="H4" s="74">
        <v>1.2</v>
      </c>
      <c r="I4" s="57">
        <v>44849</v>
      </c>
      <c r="J4" s="67">
        <v>1</v>
      </c>
      <c r="K4" s="58" t="s">
        <v>382</v>
      </c>
      <c r="L4" s="319" t="b">
        <f>+ISNUMBER(PAGOS[[#This Row],[REG]])</f>
        <v>1</v>
      </c>
    </row>
    <row r="5" spans="1:12" x14ac:dyDescent="0.3">
      <c r="A5" s="336">
        <v>3</v>
      </c>
      <c r="B5" s="71">
        <v>5</v>
      </c>
      <c r="C5" s="54" t="s">
        <v>14</v>
      </c>
      <c r="D5" s="286">
        <v>2</v>
      </c>
      <c r="E5" s="33">
        <v>50</v>
      </c>
      <c r="F5" s="57">
        <v>44880</v>
      </c>
      <c r="G5" s="63">
        <v>2</v>
      </c>
      <c r="H5" s="33">
        <v>2</v>
      </c>
      <c r="I5" s="57">
        <v>44880</v>
      </c>
      <c r="J5" s="67">
        <v>2</v>
      </c>
      <c r="K5" s="39" t="s">
        <v>383</v>
      </c>
      <c r="L5" s="319" t="b">
        <f>+ISNUMBER(PAGOS[[#This Row],[REG]])</f>
        <v>1</v>
      </c>
    </row>
    <row r="6" spans="1:12" x14ac:dyDescent="0.3">
      <c r="A6" s="336">
        <v>4</v>
      </c>
      <c r="B6" s="72">
        <v>9</v>
      </c>
      <c r="C6" s="56" t="s">
        <v>17</v>
      </c>
      <c r="D6" s="287">
        <v>1</v>
      </c>
      <c r="E6" s="74">
        <v>30</v>
      </c>
      <c r="F6" s="57">
        <v>44880</v>
      </c>
      <c r="G6" s="64">
        <v>2</v>
      </c>
      <c r="H6" s="74">
        <v>1.2</v>
      </c>
      <c r="I6" s="57">
        <v>44880</v>
      </c>
      <c r="J6" s="67">
        <v>2</v>
      </c>
      <c r="K6" s="58" t="s">
        <v>383</v>
      </c>
      <c r="L6" s="319" t="b">
        <f>+ISNUMBER(PAGOS[[#This Row],[REG]])</f>
        <v>1</v>
      </c>
    </row>
    <row r="7" spans="1:12" x14ac:dyDescent="0.3">
      <c r="A7" s="335">
        <v>5</v>
      </c>
      <c r="B7" s="72">
        <v>7</v>
      </c>
      <c r="C7" s="56" t="s">
        <v>15</v>
      </c>
      <c r="D7" s="287">
        <v>3</v>
      </c>
      <c r="E7" s="74">
        <v>200</v>
      </c>
      <c r="F7" s="57">
        <v>44880</v>
      </c>
      <c r="G7" s="64">
        <v>1</v>
      </c>
      <c r="H7" s="74">
        <v>4</v>
      </c>
      <c r="I7" s="57">
        <v>44880</v>
      </c>
      <c r="J7" s="68">
        <v>1</v>
      </c>
      <c r="K7" s="58" t="s">
        <v>382</v>
      </c>
      <c r="L7" s="319" t="b">
        <f>+ISNUMBER(PAGOS[[#This Row],[REG]])</f>
        <v>1</v>
      </c>
    </row>
    <row r="8" spans="1:12" x14ac:dyDescent="0.3">
      <c r="A8" s="335">
        <v>6</v>
      </c>
      <c r="B8" s="72">
        <v>16</v>
      </c>
      <c r="C8" s="56" t="s">
        <v>23</v>
      </c>
      <c r="D8" s="288">
        <v>4</v>
      </c>
      <c r="E8" s="75">
        <v>100</v>
      </c>
      <c r="F8" s="60">
        <v>44910</v>
      </c>
      <c r="G8" s="65">
        <v>1</v>
      </c>
      <c r="H8" s="75">
        <v>4</v>
      </c>
      <c r="I8" s="60">
        <v>44910</v>
      </c>
      <c r="J8" s="69">
        <v>1</v>
      </c>
      <c r="K8" s="61" t="s">
        <v>382</v>
      </c>
      <c r="L8" s="319" t="b">
        <f>+ISNUMBER(PAGOS[[#This Row],[REG]])</f>
        <v>1</v>
      </c>
    </row>
    <row r="9" spans="1:12" s="17" customFormat="1" x14ac:dyDescent="0.3">
      <c r="A9" s="335">
        <v>7</v>
      </c>
      <c r="B9" s="72">
        <v>11</v>
      </c>
      <c r="C9" s="56" t="s">
        <v>19</v>
      </c>
      <c r="D9" s="287">
        <v>5</v>
      </c>
      <c r="E9" s="74">
        <v>200</v>
      </c>
      <c r="F9" s="57">
        <v>44910</v>
      </c>
      <c r="G9" s="64">
        <v>1</v>
      </c>
      <c r="H9" s="74">
        <v>4</v>
      </c>
      <c r="I9" s="57">
        <v>44910</v>
      </c>
      <c r="J9" s="68">
        <v>1</v>
      </c>
      <c r="K9" s="58" t="s">
        <v>382</v>
      </c>
      <c r="L9" s="319" t="b">
        <f>+ISNUMBER(PAGOS[[#This Row],[REG]])</f>
        <v>1</v>
      </c>
    </row>
    <row r="10" spans="1:12" s="17" customFormat="1" x14ac:dyDescent="0.3">
      <c r="A10" s="337" t="s">
        <v>89</v>
      </c>
      <c r="B10" s="73">
        <v>1</v>
      </c>
      <c r="C10" s="59" t="s">
        <v>70</v>
      </c>
      <c r="D10" s="288" t="s">
        <v>355</v>
      </c>
      <c r="E10" s="75">
        <v>0</v>
      </c>
      <c r="F10" s="60">
        <v>44921</v>
      </c>
      <c r="G10" s="65" t="s">
        <v>355</v>
      </c>
      <c r="H10" s="75">
        <v>10</v>
      </c>
      <c r="I10" s="60">
        <v>44921</v>
      </c>
      <c r="J10" s="69" t="s">
        <v>355</v>
      </c>
      <c r="K10" s="61" t="s">
        <v>75</v>
      </c>
      <c r="L10" s="319" t="b">
        <f>+ISNUMBER(PAGOS[[#This Row],[REG]])</f>
        <v>0</v>
      </c>
    </row>
    <row r="11" spans="1:12" s="17" customFormat="1" x14ac:dyDescent="0.3">
      <c r="A11" s="335">
        <v>8</v>
      </c>
      <c r="B11" s="72">
        <v>4</v>
      </c>
      <c r="C11" s="56" t="s">
        <v>12</v>
      </c>
      <c r="D11" s="287">
        <v>6</v>
      </c>
      <c r="E11" s="75">
        <v>25</v>
      </c>
      <c r="F11" s="60">
        <v>44941</v>
      </c>
      <c r="G11" s="65">
        <v>1</v>
      </c>
      <c r="H11" s="75">
        <v>2</v>
      </c>
      <c r="I11" s="60">
        <v>44941</v>
      </c>
      <c r="J11" s="69">
        <v>1</v>
      </c>
      <c r="K11" s="61" t="s">
        <v>382</v>
      </c>
      <c r="L11" s="319" t="b">
        <f>+ISNUMBER(PAGOS[[#This Row],[REG]])</f>
        <v>1</v>
      </c>
    </row>
    <row r="12" spans="1:12" s="17" customFormat="1" x14ac:dyDescent="0.3">
      <c r="A12" s="335">
        <v>9</v>
      </c>
      <c r="B12" s="72">
        <v>12</v>
      </c>
      <c r="C12" s="56" t="s">
        <v>20</v>
      </c>
      <c r="D12" s="287">
        <v>7</v>
      </c>
      <c r="E12" s="75">
        <v>25</v>
      </c>
      <c r="F12" s="60">
        <v>44941</v>
      </c>
      <c r="G12" s="65">
        <v>1</v>
      </c>
      <c r="H12" s="75">
        <v>2</v>
      </c>
      <c r="I12" s="60">
        <v>44941</v>
      </c>
      <c r="J12" s="69">
        <v>1</v>
      </c>
      <c r="K12" s="61" t="s">
        <v>382</v>
      </c>
      <c r="L12" s="319" t="b">
        <f>+ISNUMBER(PAGOS[[#This Row],[REG]])</f>
        <v>1</v>
      </c>
    </row>
    <row r="13" spans="1:12" s="17" customFormat="1" x14ac:dyDescent="0.3">
      <c r="A13" s="335">
        <v>10</v>
      </c>
      <c r="B13" s="72">
        <v>14</v>
      </c>
      <c r="C13" s="56" t="s">
        <v>21</v>
      </c>
      <c r="D13" s="287">
        <v>8</v>
      </c>
      <c r="E13" s="74">
        <v>34</v>
      </c>
      <c r="F13" s="57">
        <v>44941</v>
      </c>
      <c r="G13" s="64">
        <v>1</v>
      </c>
      <c r="H13" s="74">
        <v>3.4</v>
      </c>
      <c r="I13" s="57">
        <v>44941</v>
      </c>
      <c r="J13" s="68">
        <v>1</v>
      </c>
      <c r="K13" s="58" t="s">
        <v>382</v>
      </c>
      <c r="L13" s="319" t="b">
        <f>+ISNUMBER(PAGOS[[#This Row],[REG]])</f>
        <v>1</v>
      </c>
    </row>
    <row r="14" spans="1:12" s="17" customFormat="1" x14ac:dyDescent="0.3">
      <c r="A14" s="335">
        <v>11</v>
      </c>
      <c r="B14" s="72">
        <v>16</v>
      </c>
      <c r="C14" s="56" t="s">
        <v>23</v>
      </c>
      <c r="D14" s="287">
        <v>4</v>
      </c>
      <c r="E14" s="74">
        <v>100</v>
      </c>
      <c r="F14" s="57">
        <v>44941</v>
      </c>
      <c r="G14" s="64">
        <v>2</v>
      </c>
      <c r="H14" s="74">
        <v>4</v>
      </c>
      <c r="I14" s="57">
        <v>44941</v>
      </c>
      <c r="J14" s="68">
        <v>2</v>
      </c>
      <c r="K14" s="58" t="s">
        <v>383</v>
      </c>
      <c r="L14" s="319" t="b">
        <f>+ISNUMBER(PAGOS[[#This Row],[REG]])</f>
        <v>1</v>
      </c>
    </row>
    <row r="15" spans="1:12" s="17" customFormat="1" x14ac:dyDescent="0.3">
      <c r="A15" s="335">
        <v>12</v>
      </c>
      <c r="B15" s="72">
        <v>4</v>
      </c>
      <c r="C15" s="56" t="s">
        <v>12</v>
      </c>
      <c r="D15" s="287">
        <v>6</v>
      </c>
      <c r="E15" s="75">
        <v>25</v>
      </c>
      <c r="F15" s="60">
        <v>44972</v>
      </c>
      <c r="G15" s="65">
        <v>2</v>
      </c>
      <c r="H15" s="75">
        <v>2</v>
      </c>
      <c r="I15" s="60">
        <v>44972</v>
      </c>
      <c r="J15" s="69">
        <v>2</v>
      </c>
      <c r="K15" s="61" t="s">
        <v>383</v>
      </c>
      <c r="L15" s="319" t="b">
        <f>+ISNUMBER(PAGOS[[#This Row],[REG]])</f>
        <v>1</v>
      </c>
    </row>
    <row r="16" spans="1:12" s="17" customFormat="1" x14ac:dyDescent="0.3">
      <c r="A16" s="335">
        <v>13</v>
      </c>
      <c r="B16" s="72">
        <v>12</v>
      </c>
      <c r="C16" s="56" t="s">
        <v>20</v>
      </c>
      <c r="D16" s="287">
        <v>7</v>
      </c>
      <c r="E16" s="75">
        <v>25</v>
      </c>
      <c r="F16" s="60">
        <v>44972</v>
      </c>
      <c r="G16" s="65">
        <v>2</v>
      </c>
      <c r="H16" s="75">
        <v>2</v>
      </c>
      <c r="I16" s="60">
        <v>44972</v>
      </c>
      <c r="J16" s="69">
        <v>2</v>
      </c>
      <c r="K16" s="61" t="s">
        <v>383</v>
      </c>
      <c r="L16" s="319" t="b">
        <f>+ISNUMBER(PAGOS[[#This Row],[REG]])</f>
        <v>1</v>
      </c>
    </row>
    <row r="17" spans="1:12" s="17" customFormat="1" x14ac:dyDescent="0.3">
      <c r="A17" s="335">
        <v>14</v>
      </c>
      <c r="B17" s="72">
        <v>9</v>
      </c>
      <c r="C17" s="56" t="s">
        <v>17</v>
      </c>
      <c r="D17" s="287">
        <v>10</v>
      </c>
      <c r="E17" s="74">
        <v>25</v>
      </c>
      <c r="F17" s="57">
        <v>44972</v>
      </c>
      <c r="G17" s="64">
        <v>1</v>
      </c>
      <c r="H17" s="74">
        <v>2</v>
      </c>
      <c r="I17" s="57">
        <v>44972</v>
      </c>
      <c r="J17" s="68">
        <v>1</v>
      </c>
      <c r="K17" s="58" t="s">
        <v>76</v>
      </c>
      <c r="L17" s="319" t="b">
        <f>+ISNUMBER(PAGOS[[#This Row],[REG]])</f>
        <v>1</v>
      </c>
    </row>
    <row r="18" spans="1:12" s="17" customFormat="1" x14ac:dyDescent="0.3">
      <c r="A18" s="335">
        <v>15</v>
      </c>
      <c r="B18" s="72">
        <v>15</v>
      </c>
      <c r="C18" s="56" t="s">
        <v>22</v>
      </c>
      <c r="D18" s="287">
        <v>9</v>
      </c>
      <c r="E18" s="74">
        <v>66.67</v>
      </c>
      <c r="F18" s="57">
        <v>44972</v>
      </c>
      <c r="G18" s="64">
        <v>1</v>
      </c>
      <c r="H18" s="74">
        <v>4</v>
      </c>
      <c r="I18" s="57">
        <v>44972</v>
      </c>
      <c r="J18" s="68">
        <v>1</v>
      </c>
      <c r="K18" s="58" t="s">
        <v>76</v>
      </c>
      <c r="L18" s="319" t="b">
        <f>+ISNUMBER(PAGOS[[#This Row],[REG]])</f>
        <v>1</v>
      </c>
    </row>
    <row r="19" spans="1:12" s="17" customFormat="1" x14ac:dyDescent="0.3">
      <c r="A19" s="335">
        <v>16</v>
      </c>
      <c r="B19" s="72">
        <v>14</v>
      </c>
      <c r="C19" s="56" t="s">
        <v>21</v>
      </c>
      <c r="D19" s="287">
        <v>8</v>
      </c>
      <c r="E19" s="74">
        <v>34</v>
      </c>
      <c r="F19" s="57">
        <v>44972</v>
      </c>
      <c r="G19" s="64">
        <v>2</v>
      </c>
      <c r="H19" s="74">
        <v>3.4</v>
      </c>
      <c r="I19" s="57">
        <v>44972</v>
      </c>
      <c r="J19" s="68">
        <v>2</v>
      </c>
      <c r="K19" s="58" t="s">
        <v>383</v>
      </c>
      <c r="L19" s="319" t="b">
        <f>+ISNUMBER(PAGOS[[#This Row],[REG]])</f>
        <v>1</v>
      </c>
    </row>
    <row r="20" spans="1:12" s="17" customFormat="1" x14ac:dyDescent="0.3">
      <c r="A20" s="335">
        <v>17</v>
      </c>
      <c r="B20" s="72">
        <v>4</v>
      </c>
      <c r="C20" s="56" t="s">
        <v>12</v>
      </c>
      <c r="D20" s="287">
        <v>6</v>
      </c>
      <c r="E20" s="75">
        <v>25</v>
      </c>
      <c r="F20" s="60">
        <v>45000</v>
      </c>
      <c r="G20" s="65">
        <v>3</v>
      </c>
      <c r="H20" s="75">
        <v>2</v>
      </c>
      <c r="I20" s="60">
        <v>45000</v>
      </c>
      <c r="J20" s="69">
        <v>3</v>
      </c>
      <c r="K20" s="61" t="s">
        <v>385</v>
      </c>
      <c r="L20" s="319" t="b">
        <f>+ISNUMBER(PAGOS[[#This Row],[REG]])</f>
        <v>1</v>
      </c>
    </row>
    <row r="21" spans="1:12" s="17" customFormat="1" x14ac:dyDescent="0.3">
      <c r="A21" s="335">
        <v>18</v>
      </c>
      <c r="B21" s="72">
        <v>12</v>
      </c>
      <c r="C21" s="56" t="s">
        <v>20</v>
      </c>
      <c r="D21" s="287">
        <v>7</v>
      </c>
      <c r="E21" s="75">
        <v>25</v>
      </c>
      <c r="F21" s="60">
        <v>45000</v>
      </c>
      <c r="G21" s="65">
        <v>3</v>
      </c>
      <c r="H21" s="75">
        <v>2</v>
      </c>
      <c r="I21" s="60">
        <v>45000</v>
      </c>
      <c r="J21" s="69">
        <v>3</v>
      </c>
      <c r="K21" s="61" t="s">
        <v>385</v>
      </c>
      <c r="L21" s="319" t="b">
        <f>+ISNUMBER(PAGOS[[#This Row],[REG]])</f>
        <v>1</v>
      </c>
    </row>
    <row r="22" spans="1:12" s="17" customFormat="1" x14ac:dyDescent="0.3">
      <c r="A22" s="335">
        <v>19</v>
      </c>
      <c r="B22" s="72">
        <v>10</v>
      </c>
      <c r="C22" s="56" t="s">
        <v>18</v>
      </c>
      <c r="D22" s="287">
        <v>12</v>
      </c>
      <c r="E22" s="74">
        <v>25</v>
      </c>
      <c r="F22" s="57">
        <v>45000</v>
      </c>
      <c r="G22" s="64">
        <v>1</v>
      </c>
      <c r="H22" s="74">
        <v>2</v>
      </c>
      <c r="I22" s="57">
        <v>45000</v>
      </c>
      <c r="J22" s="68">
        <v>1</v>
      </c>
      <c r="K22" s="58" t="s">
        <v>76</v>
      </c>
      <c r="L22" s="319" t="b">
        <f>+ISNUMBER(PAGOS[[#This Row],[REG]])</f>
        <v>1</v>
      </c>
    </row>
    <row r="23" spans="1:12" s="17" customFormat="1" x14ac:dyDescent="0.3">
      <c r="A23" s="335">
        <v>20</v>
      </c>
      <c r="B23" s="71">
        <v>5</v>
      </c>
      <c r="C23" s="56" t="s">
        <v>14</v>
      </c>
      <c r="D23" s="287">
        <v>11</v>
      </c>
      <c r="E23" s="74">
        <v>100</v>
      </c>
      <c r="F23" s="57">
        <v>45000</v>
      </c>
      <c r="G23" s="64">
        <v>1</v>
      </c>
      <c r="H23" s="74">
        <v>6</v>
      </c>
      <c r="I23" s="57">
        <v>45000</v>
      </c>
      <c r="J23" s="68">
        <v>1</v>
      </c>
      <c r="K23" s="58" t="s">
        <v>76</v>
      </c>
      <c r="L23" s="319" t="b">
        <f>+ISNUMBER(PAGOS[[#This Row],[REG]])</f>
        <v>1</v>
      </c>
    </row>
    <row r="24" spans="1:12" s="17" customFormat="1" x14ac:dyDescent="0.3">
      <c r="A24" s="335">
        <v>21</v>
      </c>
      <c r="B24" s="72">
        <v>9</v>
      </c>
      <c r="C24" s="56" t="s">
        <v>17</v>
      </c>
      <c r="D24" s="287">
        <v>10</v>
      </c>
      <c r="E24" s="74">
        <v>25</v>
      </c>
      <c r="F24" s="57">
        <v>45000</v>
      </c>
      <c r="G24" s="64">
        <v>2</v>
      </c>
      <c r="H24" s="74">
        <v>2</v>
      </c>
      <c r="I24" s="57">
        <v>45000</v>
      </c>
      <c r="J24" s="68">
        <v>2</v>
      </c>
      <c r="K24" s="58" t="s">
        <v>77</v>
      </c>
      <c r="L24" s="319" t="b">
        <f>+ISNUMBER(PAGOS[[#This Row],[REG]])</f>
        <v>1</v>
      </c>
    </row>
    <row r="25" spans="1:12" s="17" customFormat="1" x14ac:dyDescent="0.3">
      <c r="A25" s="335">
        <v>22</v>
      </c>
      <c r="B25" s="72">
        <v>15</v>
      </c>
      <c r="C25" s="56" t="s">
        <v>22</v>
      </c>
      <c r="D25" s="287">
        <v>9</v>
      </c>
      <c r="E25" s="74">
        <v>66.67</v>
      </c>
      <c r="F25" s="57">
        <v>45000</v>
      </c>
      <c r="G25" s="64">
        <v>2</v>
      </c>
      <c r="H25" s="74">
        <v>4</v>
      </c>
      <c r="I25" s="57">
        <v>45000</v>
      </c>
      <c r="J25" s="68">
        <v>2</v>
      </c>
      <c r="K25" s="58" t="s">
        <v>78</v>
      </c>
      <c r="L25" s="319" t="b">
        <f>+ISNUMBER(PAGOS[[#This Row],[REG]])</f>
        <v>1</v>
      </c>
    </row>
    <row r="26" spans="1:12" s="17" customFormat="1" x14ac:dyDescent="0.3">
      <c r="A26" s="335">
        <v>23</v>
      </c>
      <c r="B26" s="72">
        <v>14</v>
      </c>
      <c r="C26" s="56" t="s">
        <v>21</v>
      </c>
      <c r="D26" s="287">
        <v>8</v>
      </c>
      <c r="E26" s="74">
        <v>34</v>
      </c>
      <c r="F26" s="57">
        <v>45000</v>
      </c>
      <c r="G26" s="64">
        <v>3</v>
      </c>
      <c r="H26" s="74">
        <v>3.4</v>
      </c>
      <c r="I26" s="57">
        <v>45000</v>
      </c>
      <c r="J26" s="68">
        <v>3</v>
      </c>
      <c r="K26" s="58" t="s">
        <v>385</v>
      </c>
      <c r="L26" s="319" t="b">
        <f>+ISNUMBER(PAGOS[[#This Row],[REG]])</f>
        <v>1</v>
      </c>
    </row>
    <row r="27" spans="1:12" s="17" customFormat="1" x14ac:dyDescent="0.3">
      <c r="A27" s="335">
        <v>24</v>
      </c>
      <c r="B27" s="72">
        <v>4</v>
      </c>
      <c r="C27" s="56" t="s">
        <v>12</v>
      </c>
      <c r="D27" s="287">
        <v>6</v>
      </c>
      <c r="E27" s="75">
        <v>25</v>
      </c>
      <c r="F27" s="60">
        <v>45031</v>
      </c>
      <c r="G27" s="65">
        <v>4</v>
      </c>
      <c r="H27" s="75">
        <v>2</v>
      </c>
      <c r="I27" s="60">
        <v>45031</v>
      </c>
      <c r="J27" s="69">
        <v>4</v>
      </c>
      <c r="K27" s="61" t="s">
        <v>386</v>
      </c>
      <c r="L27" s="319" t="b">
        <f>+ISNUMBER(PAGOS[[#This Row],[REG]])</f>
        <v>1</v>
      </c>
    </row>
    <row r="28" spans="1:12" s="17" customFormat="1" x14ac:dyDescent="0.3">
      <c r="A28" s="335">
        <v>25</v>
      </c>
      <c r="B28" s="72">
        <v>12</v>
      </c>
      <c r="C28" s="56" t="s">
        <v>20</v>
      </c>
      <c r="D28" s="287">
        <v>7</v>
      </c>
      <c r="E28" s="75">
        <v>25</v>
      </c>
      <c r="F28" s="60">
        <v>45031</v>
      </c>
      <c r="G28" s="65">
        <v>4</v>
      </c>
      <c r="H28" s="75">
        <v>2</v>
      </c>
      <c r="I28" s="60">
        <v>45031</v>
      </c>
      <c r="J28" s="69">
        <v>4</v>
      </c>
      <c r="K28" s="61" t="s">
        <v>386</v>
      </c>
      <c r="L28" s="319" t="b">
        <f>+ISNUMBER(PAGOS[[#This Row],[REG]])</f>
        <v>1</v>
      </c>
    </row>
    <row r="29" spans="1:12" s="17" customFormat="1" x14ac:dyDescent="0.3">
      <c r="A29" s="335">
        <v>26</v>
      </c>
      <c r="B29" s="72">
        <v>6</v>
      </c>
      <c r="C29" s="56" t="s">
        <v>24</v>
      </c>
      <c r="D29" s="287">
        <v>14</v>
      </c>
      <c r="E29" s="74">
        <v>80</v>
      </c>
      <c r="F29" s="57">
        <v>45031</v>
      </c>
      <c r="G29" s="64">
        <v>1</v>
      </c>
      <c r="H29" s="74">
        <v>1.6</v>
      </c>
      <c r="I29" s="57">
        <v>45031</v>
      </c>
      <c r="J29" s="68">
        <v>1</v>
      </c>
      <c r="K29" s="58" t="s">
        <v>79</v>
      </c>
      <c r="L29" s="319" t="b">
        <f>+ISNUMBER(PAGOS[[#This Row],[REG]])</f>
        <v>1</v>
      </c>
    </row>
    <row r="30" spans="1:12" s="17" customFormat="1" x14ac:dyDescent="0.3">
      <c r="A30" s="335">
        <v>27</v>
      </c>
      <c r="B30" s="72">
        <v>7</v>
      </c>
      <c r="C30" s="56" t="s">
        <v>15</v>
      </c>
      <c r="D30" s="287">
        <v>13</v>
      </c>
      <c r="E30" s="74">
        <v>100</v>
      </c>
      <c r="F30" s="57">
        <v>45031</v>
      </c>
      <c r="G30" s="64">
        <v>1</v>
      </c>
      <c r="H30" s="74">
        <v>8</v>
      </c>
      <c r="I30" s="57">
        <v>45031</v>
      </c>
      <c r="J30" s="68">
        <v>1</v>
      </c>
      <c r="K30" s="58" t="s">
        <v>76</v>
      </c>
      <c r="L30" s="319" t="b">
        <f>+ISNUMBER(PAGOS[[#This Row],[REG]])</f>
        <v>1</v>
      </c>
    </row>
    <row r="31" spans="1:12" s="17" customFormat="1" x14ac:dyDescent="0.3">
      <c r="A31" s="335">
        <v>28</v>
      </c>
      <c r="B31" s="72">
        <v>10</v>
      </c>
      <c r="C31" s="56" t="s">
        <v>18</v>
      </c>
      <c r="D31" s="287">
        <v>12</v>
      </c>
      <c r="E31" s="74">
        <v>25</v>
      </c>
      <c r="F31" s="57">
        <v>45031</v>
      </c>
      <c r="G31" s="64">
        <v>2</v>
      </c>
      <c r="H31" s="74">
        <v>2</v>
      </c>
      <c r="I31" s="57">
        <v>45031</v>
      </c>
      <c r="J31" s="68">
        <v>2</v>
      </c>
      <c r="K31" s="58" t="s">
        <v>77</v>
      </c>
      <c r="L31" s="319" t="b">
        <f>+ISNUMBER(PAGOS[[#This Row],[REG]])</f>
        <v>1</v>
      </c>
    </row>
    <row r="32" spans="1:12" s="17" customFormat="1" x14ac:dyDescent="0.3">
      <c r="A32" s="335">
        <v>29</v>
      </c>
      <c r="B32" s="71">
        <v>5</v>
      </c>
      <c r="C32" s="56" t="s">
        <v>14</v>
      </c>
      <c r="D32" s="287">
        <v>11</v>
      </c>
      <c r="E32" s="74">
        <v>100</v>
      </c>
      <c r="F32" s="57">
        <v>45031</v>
      </c>
      <c r="G32" s="64">
        <v>2</v>
      </c>
      <c r="H32" s="74">
        <v>6</v>
      </c>
      <c r="I32" s="57">
        <v>45031</v>
      </c>
      <c r="J32" s="68">
        <v>2</v>
      </c>
      <c r="K32" s="58" t="s">
        <v>77</v>
      </c>
      <c r="L32" s="319" t="b">
        <f>+ISNUMBER(PAGOS[[#This Row],[REG]])</f>
        <v>1</v>
      </c>
    </row>
    <row r="33" spans="1:12" s="17" customFormat="1" x14ac:dyDescent="0.3">
      <c r="A33" s="335">
        <v>30</v>
      </c>
      <c r="B33" s="72">
        <v>9</v>
      </c>
      <c r="C33" s="56" t="s">
        <v>17</v>
      </c>
      <c r="D33" s="287">
        <v>10</v>
      </c>
      <c r="E33" s="74">
        <v>25</v>
      </c>
      <c r="F33" s="57">
        <v>45031</v>
      </c>
      <c r="G33" s="64">
        <v>3</v>
      </c>
      <c r="H33" s="74">
        <v>2</v>
      </c>
      <c r="I33" s="57">
        <v>45031</v>
      </c>
      <c r="J33" s="68">
        <v>3</v>
      </c>
      <c r="K33" s="58" t="s">
        <v>80</v>
      </c>
      <c r="L33" s="319" t="b">
        <f>+ISNUMBER(PAGOS[[#This Row],[REG]])</f>
        <v>1</v>
      </c>
    </row>
    <row r="34" spans="1:12" s="17" customFormat="1" x14ac:dyDescent="0.3">
      <c r="A34" s="335">
        <v>31</v>
      </c>
      <c r="B34" s="72">
        <v>15</v>
      </c>
      <c r="C34" s="56" t="s">
        <v>22</v>
      </c>
      <c r="D34" s="287">
        <v>9</v>
      </c>
      <c r="E34" s="74">
        <v>66.66</v>
      </c>
      <c r="F34" s="57">
        <v>45031</v>
      </c>
      <c r="G34" s="64">
        <v>3</v>
      </c>
      <c r="H34" s="74">
        <v>4</v>
      </c>
      <c r="I34" s="57">
        <v>45031</v>
      </c>
      <c r="J34" s="68">
        <v>3</v>
      </c>
      <c r="K34" s="58" t="s">
        <v>81</v>
      </c>
      <c r="L34" s="319" t="b">
        <f>+ISNUMBER(PAGOS[[#This Row],[REG]])</f>
        <v>1</v>
      </c>
    </row>
    <row r="35" spans="1:12" s="17" customFormat="1" x14ac:dyDescent="0.3">
      <c r="A35" s="335">
        <v>32</v>
      </c>
      <c r="B35" s="72">
        <v>14</v>
      </c>
      <c r="C35" s="56" t="s">
        <v>21</v>
      </c>
      <c r="D35" s="287">
        <v>8</v>
      </c>
      <c r="E35" s="74">
        <v>34</v>
      </c>
      <c r="F35" s="57">
        <v>45031</v>
      </c>
      <c r="G35" s="64">
        <v>4</v>
      </c>
      <c r="H35" s="74">
        <v>3.4</v>
      </c>
      <c r="I35" s="57">
        <v>45031</v>
      </c>
      <c r="J35" s="68">
        <v>4</v>
      </c>
      <c r="K35" s="58" t="s">
        <v>386</v>
      </c>
      <c r="L35" s="319" t="b">
        <f>+ISNUMBER(PAGOS[[#This Row],[REG]])</f>
        <v>1</v>
      </c>
    </row>
    <row r="36" spans="1:12" s="17" customFormat="1" x14ac:dyDescent="0.3">
      <c r="A36" s="335">
        <v>33</v>
      </c>
      <c r="B36" s="72">
        <v>4</v>
      </c>
      <c r="C36" s="56" t="s">
        <v>12</v>
      </c>
      <c r="D36" s="287">
        <v>16</v>
      </c>
      <c r="E36" s="74">
        <v>25</v>
      </c>
      <c r="F36" s="57">
        <v>45061</v>
      </c>
      <c r="G36" s="64">
        <v>1</v>
      </c>
      <c r="H36" s="74">
        <v>2</v>
      </c>
      <c r="I36" s="57">
        <v>45061</v>
      </c>
      <c r="J36" s="68">
        <v>1</v>
      </c>
      <c r="K36" s="58" t="s">
        <v>76</v>
      </c>
      <c r="L36" s="319" t="b">
        <f>+ISNUMBER(PAGOS[[#This Row],[REG]])</f>
        <v>1</v>
      </c>
    </row>
    <row r="37" spans="1:12" s="17" customFormat="1" x14ac:dyDescent="0.3">
      <c r="A37" s="335">
        <v>34</v>
      </c>
      <c r="B37" s="72">
        <v>12</v>
      </c>
      <c r="C37" s="56" t="s">
        <v>20</v>
      </c>
      <c r="D37" s="287">
        <v>15</v>
      </c>
      <c r="E37" s="74">
        <v>50</v>
      </c>
      <c r="F37" s="57">
        <v>45061</v>
      </c>
      <c r="G37" s="64">
        <v>1</v>
      </c>
      <c r="H37" s="74">
        <v>4</v>
      </c>
      <c r="I37" s="57">
        <v>45061</v>
      </c>
      <c r="J37" s="68">
        <v>1</v>
      </c>
      <c r="K37" s="58" t="s">
        <v>76</v>
      </c>
      <c r="L37" s="319" t="b">
        <f>+ISNUMBER(PAGOS[[#This Row],[REG]])</f>
        <v>1</v>
      </c>
    </row>
    <row r="38" spans="1:12" s="17" customFormat="1" x14ac:dyDescent="0.3">
      <c r="A38" s="335">
        <v>35</v>
      </c>
      <c r="B38" s="72">
        <v>7</v>
      </c>
      <c r="C38" s="56" t="s">
        <v>15</v>
      </c>
      <c r="D38" s="287">
        <v>13</v>
      </c>
      <c r="E38" s="74">
        <v>100</v>
      </c>
      <c r="F38" s="57">
        <v>45061</v>
      </c>
      <c r="G38" s="64">
        <v>2</v>
      </c>
      <c r="H38" s="74">
        <v>8</v>
      </c>
      <c r="I38" s="57">
        <v>45061</v>
      </c>
      <c r="J38" s="68">
        <v>2</v>
      </c>
      <c r="K38" s="58" t="s">
        <v>77</v>
      </c>
      <c r="L38" s="319" t="b">
        <f>+ISNUMBER(PAGOS[[#This Row],[REG]])</f>
        <v>1</v>
      </c>
    </row>
    <row r="39" spans="1:12" s="17" customFormat="1" x14ac:dyDescent="0.3">
      <c r="A39" s="335">
        <v>36</v>
      </c>
      <c r="B39" s="72">
        <v>10</v>
      </c>
      <c r="C39" s="56" t="s">
        <v>18</v>
      </c>
      <c r="D39" s="287">
        <v>12</v>
      </c>
      <c r="E39" s="74">
        <v>25</v>
      </c>
      <c r="F39" s="57">
        <v>45061</v>
      </c>
      <c r="G39" s="64">
        <v>3</v>
      </c>
      <c r="H39" s="74">
        <v>2</v>
      </c>
      <c r="I39" s="57">
        <v>45061</v>
      </c>
      <c r="J39" s="68">
        <v>3</v>
      </c>
      <c r="K39" s="58" t="s">
        <v>80</v>
      </c>
      <c r="L39" s="319" t="b">
        <f>+ISNUMBER(PAGOS[[#This Row],[REG]])</f>
        <v>1</v>
      </c>
    </row>
    <row r="40" spans="1:12" s="17" customFormat="1" x14ac:dyDescent="0.3">
      <c r="A40" s="335">
        <v>37</v>
      </c>
      <c r="B40" s="71">
        <v>5</v>
      </c>
      <c r="C40" s="56" t="s">
        <v>14</v>
      </c>
      <c r="D40" s="287">
        <v>11</v>
      </c>
      <c r="E40" s="74">
        <v>100</v>
      </c>
      <c r="F40" s="57">
        <v>45061</v>
      </c>
      <c r="G40" s="64">
        <v>3</v>
      </c>
      <c r="H40" s="74">
        <v>6</v>
      </c>
      <c r="I40" s="57">
        <v>45061</v>
      </c>
      <c r="J40" s="68">
        <v>3</v>
      </c>
      <c r="K40" s="58" t="s">
        <v>80</v>
      </c>
      <c r="L40" s="319" t="b">
        <f>+ISNUMBER(PAGOS[[#This Row],[REG]])</f>
        <v>1</v>
      </c>
    </row>
    <row r="41" spans="1:12" s="17" customFormat="1" x14ac:dyDescent="0.3">
      <c r="A41" s="335">
        <v>38</v>
      </c>
      <c r="B41" s="72">
        <v>9</v>
      </c>
      <c r="C41" s="56" t="s">
        <v>17</v>
      </c>
      <c r="D41" s="287">
        <v>10</v>
      </c>
      <c r="E41" s="74">
        <v>25</v>
      </c>
      <c r="F41" s="57">
        <v>45061</v>
      </c>
      <c r="G41" s="64">
        <v>4</v>
      </c>
      <c r="H41" s="74">
        <v>2</v>
      </c>
      <c r="I41" s="57">
        <v>45061</v>
      </c>
      <c r="J41" s="68">
        <v>4</v>
      </c>
      <c r="K41" s="58" t="s">
        <v>82</v>
      </c>
      <c r="L41" s="319" t="b">
        <f>+ISNUMBER(PAGOS[[#This Row],[REG]])</f>
        <v>1</v>
      </c>
    </row>
    <row r="42" spans="1:12" s="17" customFormat="1" x14ac:dyDescent="0.3">
      <c r="A42" s="335">
        <v>39</v>
      </c>
      <c r="B42" s="72">
        <v>14</v>
      </c>
      <c r="C42" s="56" t="s">
        <v>21</v>
      </c>
      <c r="D42" s="287">
        <v>8</v>
      </c>
      <c r="E42" s="74">
        <v>34</v>
      </c>
      <c r="F42" s="57">
        <v>45061</v>
      </c>
      <c r="G42" s="64">
        <v>5</v>
      </c>
      <c r="H42" s="74">
        <v>3.4</v>
      </c>
      <c r="I42" s="57">
        <v>45061</v>
      </c>
      <c r="J42" s="68">
        <v>5</v>
      </c>
      <c r="K42" s="58" t="s">
        <v>387</v>
      </c>
      <c r="L42" s="319" t="b">
        <f>+ISNUMBER(PAGOS[[#This Row],[REG]])</f>
        <v>1</v>
      </c>
    </row>
    <row r="43" spans="1:12" s="17" customFormat="1" x14ac:dyDescent="0.3">
      <c r="A43" s="335">
        <v>40</v>
      </c>
      <c r="B43" s="72">
        <v>9</v>
      </c>
      <c r="C43" s="56" t="s">
        <v>17</v>
      </c>
      <c r="D43" s="287">
        <v>18</v>
      </c>
      <c r="E43" s="74">
        <v>25</v>
      </c>
      <c r="F43" s="57">
        <v>45092</v>
      </c>
      <c r="G43" s="64">
        <v>1</v>
      </c>
      <c r="H43" s="74">
        <v>2</v>
      </c>
      <c r="I43" s="57">
        <v>45092</v>
      </c>
      <c r="J43" s="68">
        <v>1</v>
      </c>
      <c r="K43" s="58" t="s">
        <v>76</v>
      </c>
      <c r="L43" s="319" t="b">
        <f>+ISNUMBER(PAGOS[[#This Row],[REG]])</f>
        <v>1</v>
      </c>
    </row>
    <row r="44" spans="1:12" s="17" customFormat="1" x14ac:dyDescent="0.3">
      <c r="A44" s="335">
        <v>41</v>
      </c>
      <c r="B44" s="72">
        <v>8</v>
      </c>
      <c r="C44" s="56" t="s">
        <v>16</v>
      </c>
      <c r="D44" s="287">
        <v>17</v>
      </c>
      <c r="E44" s="74">
        <v>100</v>
      </c>
      <c r="F44" s="57">
        <v>45092</v>
      </c>
      <c r="G44" s="64">
        <v>1</v>
      </c>
      <c r="H44" s="74">
        <v>4</v>
      </c>
      <c r="I44" s="57">
        <v>45092</v>
      </c>
      <c r="J44" s="68">
        <v>1</v>
      </c>
      <c r="K44" s="58" t="s">
        <v>76</v>
      </c>
      <c r="L44" s="319" t="b">
        <f>+ISNUMBER(PAGOS[[#This Row],[REG]])</f>
        <v>1</v>
      </c>
    </row>
    <row r="45" spans="1:12" s="17" customFormat="1" x14ac:dyDescent="0.3">
      <c r="A45" s="335">
        <v>42</v>
      </c>
      <c r="B45" s="72">
        <v>4</v>
      </c>
      <c r="C45" s="56" t="s">
        <v>12</v>
      </c>
      <c r="D45" s="287">
        <v>16</v>
      </c>
      <c r="E45" s="74">
        <v>25</v>
      </c>
      <c r="F45" s="57">
        <v>45092</v>
      </c>
      <c r="G45" s="64">
        <v>2</v>
      </c>
      <c r="H45" s="74">
        <v>2</v>
      </c>
      <c r="I45" s="57">
        <v>45092</v>
      </c>
      <c r="J45" s="68">
        <v>2</v>
      </c>
      <c r="K45" s="58" t="s">
        <v>77</v>
      </c>
      <c r="L45" s="319" t="b">
        <f>+ISNUMBER(PAGOS[[#This Row],[REG]])</f>
        <v>1</v>
      </c>
    </row>
    <row r="46" spans="1:12" s="17" customFormat="1" x14ac:dyDescent="0.3">
      <c r="A46" s="335">
        <v>43</v>
      </c>
      <c r="B46" s="72">
        <v>12</v>
      </c>
      <c r="C46" s="56" t="s">
        <v>20</v>
      </c>
      <c r="D46" s="287">
        <v>15</v>
      </c>
      <c r="E46" s="74">
        <v>50</v>
      </c>
      <c r="F46" s="57">
        <v>45092</v>
      </c>
      <c r="G46" s="64">
        <v>2</v>
      </c>
      <c r="H46" s="74">
        <v>4</v>
      </c>
      <c r="I46" s="57">
        <v>45092</v>
      </c>
      <c r="J46" s="68">
        <v>2</v>
      </c>
      <c r="K46" s="58" t="s">
        <v>77</v>
      </c>
      <c r="L46" s="319" t="b">
        <f>+ISNUMBER(PAGOS[[#This Row],[REG]])</f>
        <v>1</v>
      </c>
    </row>
    <row r="47" spans="1:12" s="17" customFormat="1" x14ac:dyDescent="0.3">
      <c r="A47" s="335">
        <v>44</v>
      </c>
      <c r="B47" s="72">
        <v>7</v>
      </c>
      <c r="C47" s="56" t="s">
        <v>15</v>
      </c>
      <c r="D47" s="287">
        <v>13</v>
      </c>
      <c r="E47" s="74">
        <v>100</v>
      </c>
      <c r="F47" s="57">
        <v>45092</v>
      </c>
      <c r="G47" s="64">
        <v>3</v>
      </c>
      <c r="H47" s="74">
        <v>8</v>
      </c>
      <c r="I47" s="57">
        <v>45092</v>
      </c>
      <c r="J47" s="68">
        <v>3</v>
      </c>
      <c r="K47" s="58" t="s">
        <v>81</v>
      </c>
      <c r="L47" s="319" t="b">
        <f>+ISNUMBER(PAGOS[[#This Row],[REG]])</f>
        <v>1</v>
      </c>
    </row>
    <row r="48" spans="1:12" s="17" customFormat="1" x14ac:dyDescent="0.3">
      <c r="A48" s="335">
        <v>45</v>
      </c>
      <c r="B48" s="72">
        <v>10</v>
      </c>
      <c r="C48" s="56" t="s">
        <v>18</v>
      </c>
      <c r="D48" s="287">
        <v>12</v>
      </c>
      <c r="E48" s="74">
        <v>25</v>
      </c>
      <c r="F48" s="57">
        <v>45092</v>
      </c>
      <c r="G48" s="64">
        <v>4</v>
      </c>
      <c r="H48" s="74">
        <v>2</v>
      </c>
      <c r="I48" s="57">
        <v>45092</v>
      </c>
      <c r="J48" s="68">
        <v>4</v>
      </c>
      <c r="K48" s="58" t="s">
        <v>82</v>
      </c>
      <c r="L48" s="319" t="b">
        <f>+ISNUMBER(PAGOS[[#This Row],[REG]])</f>
        <v>1</v>
      </c>
    </row>
    <row r="49" spans="1:12" s="17" customFormat="1" x14ac:dyDescent="0.3">
      <c r="A49" s="335">
        <v>46</v>
      </c>
      <c r="B49" s="71">
        <v>5</v>
      </c>
      <c r="C49" s="56" t="s">
        <v>14</v>
      </c>
      <c r="D49" s="287">
        <v>21</v>
      </c>
      <c r="E49" s="74">
        <v>0</v>
      </c>
      <c r="F49" s="57">
        <v>45122</v>
      </c>
      <c r="G49" s="64">
        <v>1</v>
      </c>
      <c r="H49" s="74">
        <v>8</v>
      </c>
      <c r="I49" s="57">
        <v>45122</v>
      </c>
      <c r="J49" s="68">
        <v>1</v>
      </c>
      <c r="K49" s="58" t="s">
        <v>83</v>
      </c>
      <c r="L49" s="319" t="b">
        <f>+ISNUMBER(PAGOS[[#This Row],[REG]])</f>
        <v>1</v>
      </c>
    </row>
    <row r="50" spans="1:12" s="17" customFormat="1" x14ac:dyDescent="0.3">
      <c r="A50" s="335">
        <v>47</v>
      </c>
      <c r="B50" s="72">
        <v>15</v>
      </c>
      <c r="C50" s="56" t="s">
        <v>22</v>
      </c>
      <c r="D50" s="287">
        <v>20</v>
      </c>
      <c r="E50" s="74">
        <v>0</v>
      </c>
      <c r="F50" s="57">
        <v>45122</v>
      </c>
      <c r="G50" s="64">
        <v>1</v>
      </c>
      <c r="H50" s="74">
        <v>4</v>
      </c>
      <c r="I50" s="57">
        <v>45122</v>
      </c>
      <c r="J50" s="68">
        <v>1</v>
      </c>
      <c r="K50" s="58" t="s">
        <v>83</v>
      </c>
      <c r="L50" s="319" t="b">
        <f>+ISNUMBER(PAGOS[[#This Row],[REG]])</f>
        <v>1</v>
      </c>
    </row>
    <row r="51" spans="1:12" s="17" customFormat="1" x14ac:dyDescent="0.3">
      <c r="A51" s="335">
        <v>48</v>
      </c>
      <c r="B51" s="72">
        <v>14</v>
      </c>
      <c r="C51" s="56" t="s">
        <v>21</v>
      </c>
      <c r="D51" s="287">
        <v>19</v>
      </c>
      <c r="E51" s="74">
        <v>0</v>
      </c>
      <c r="F51" s="57">
        <v>45122</v>
      </c>
      <c r="G51" s="64">
        <v>1</v>
      </c>
      <c r="H51" s="74">
        <v>8</v>
      </c>
      <c r="I51" s="57">
        <v>45122</v>
      </c>
      <c r="J51" s="68">
        <v>1</v>
      </c>
      <c r="K51" s="58" t="s">
        <v>83</v>
      </c>
      <c r="L51" s="319" t="b">
        <f>+ISNUMBER(PAGOS[[#This Row],[REG]])</f>
        <v>1</v>
      </c>
    </row>
    <row r="52" spans="1:12" s="17" customFormat="1" x14ac:dyDescent="0.3">
      <c r="A52" s="335">
        <v>49</v>
      </c>
      <c r="B52" s="72">
        <v>9</v>
      </c>
      <c r="C52" s="56" t="s">
        <v>17</v>
      </c>
      <c r="D52" s="287">
        <v>18</v>
      </c>
      <c r="E52" s="74">
        <v>25</v>
      </c>
      <c r="F52" s="57">
        <v>45122</v>
      </c>
      <c r="G52" s="64">
        <v>2</v>
      </c>
      <c r="H52" s="74">
        <v>2</v>
      </c>
      <c r="I52" s="57">
        <v>45122</v>
      </c>
      <c r="J52" s="68">
        <v>2</v>
      </c>
      <c r="K52" s="58" t="s">
        <v>77</v>
      </c>
      <c r="L52" s="319" t="b">
        <f>+ISNUMBER(PAGOS[[#This Row],[REG]])</f>
        <v>1</v>
      </c>
    </row>
    <row r="53" spans="1:12" s="17" customFormat="1" x14ac:dyDescent="0.3">
      <c r="A53" s="335">
        <v>50</v>
      </c>
      <c r="B53" s="72">
        <v>8</v>
      </c>
      <c r="C53" s="56" t="s">
        <v>16</v>
      </c>
      <c r="D53" s="287">
        <v>17</v>
      </c>
      <c r="E53" s="74">
        <v>100</v>
      </c>
      <c r="F53" s="57">
        <v>45122</v>
      </c>
      <c r="G53" s="64">
        <v>2</v>
      </c>
      <c r="H53" s="74">
        <v>4</v>
      </c>
      <c r="I53" s="57">
        <v>45122</v>
      </c>
      <c r="J53" s="68">
        <v>2</v>
      </c>
      <c r="K53" s="58" t="s">
        <v>77</v>
      </c>
      <c r="L53" s="319" t="b">
        <f>+ISNUMBER(PAGOS[[#This Row],[REG]])</f>
        <v>1</v>
      </c>
    </row>
    <row r="54" spans="1:12" s="17" customFormat="1" x14ac:dyDescent="0.3">
      <c r="A54" s="335">
        <v>51</v>
      </c>
      <c r="B54" s="72">
        <v>4</v>
      </c>
      <c r="C54" s="56" t="s">
        <v>12</v>
      </c>
      <c r="D54" s="287">
        <v>16</v>
      </c>
      <c r="E54" s="74">
        <v>25</v>
      </c>
      <c r="F54" s="57">
        <v>45122</v>
      </c>
      <c r="G54" s="64">
        <v>3</v>
      </c>
      <c r="H54" s="74">
        <v>2</v>
      </c>
      <c r="I54" s="57">
        <v>45122</v>
      </c>
      <c r="J54" s="68">
        <v>3</v>
      </c>
      <c r="K54" s="58" t="s">
        <v>80</v>
      </c>
      <c r="L54" s="319" t="b">
        <f>+ISNUMBER(PAGOS[[#This Row],[REG]])</f>
        <v>1</v>
      </c>
    </row>
    <row r="55" spans="1:12" s="17" customFormat="1" x14ac:dyDescent="0.3">
      <c r="A55" s="335">
        <v>52</v>
      </c>
      <c r="B55" s="72">
        <v>12</v>
      </c>
      <c r="C55" s="56" t="s">
        <v>20</v>
      </c>
      <c r="D55" s="287">
        <v>15</v>
      </c>
      <c r="E55" s="74">
        <v>50</v>
      </c>
      <c r="F55" s="57">
        <v>45122</v>
      </c>
      <c r="G55" s="64">
        <v>3</v>
      </c>
      <c r="H55" s="74">
        <v>4</v>
      </c>
      <c r="I55" s="57">
        <v>45122</v>
      </c>
      <c r="J55" s="68">
        <v>3</v>
      </c>
      <c r="K55" s="58" t="s">
        <v>80</v>
      </c>
      <c r="L55" s="319" t="b">
        <f>+ISNUMBER(PAGOS[[#This Row],[REG]])</f>
        <v>1</v>
      </c>
    </row>
    <row r="56" spans="1:12" s="17" customFormat="1" x14ac:dyDescent="0.3">
      <c r="A56" s="335">
        <v>53</v>
      </c>
      <c r="B56" s="72">
        <v>7</v>
      </c>
      <c r="C56" s="56" t="s">
        <v>15</v>
      </c>
      <c r="D56" s="287">
        <v>13</v>
      </c>
      <c r="E56" s="74">
        <v>100</v>
      </c>
      <c r="F56" s="57">
        <v>45122</v>
      </c>
      <c r="G56" s="64">
        <v>4</v>
      </c>
      <c r="H56" s="74">
        <v>8</v>
      </c>
      <c r="I56" s="57">
        <v>45122</v>
      </c>
      <c r="J56" s="68">
        <v>4</v>
      </c>
      <c r="K56" s="58" t="s">
        <v>82</v>
      </c>
      <c r="L56" s="319" t="b">
        <f>+ISNUMBER(PAGOS[[#This Row],[REG]])</f>
        <v>1</v>
      </c>
    </row>
    <row r="57" spans="1:12" s="17" customFormat="1" x14ac:dyDescent="0.3">
      <c r="A57" s="338" t="s">
        <v>90</v>
      </c>
      <c r="B57" s="322">
        <v>2</v>
      </c>
      <c r="C57" s="56" t="s">
        <v>71</v>
      </c>
      <c r="D57" s="287" t="s">
        <v>360</v>
      </c>
      <c r="E57" s="74">
        <v>200</v>
      </c>
      <c r="F57" s="323">
        <v>45153</v>
      </c>
      <c r="G57" s="64" t="s">
        <v>360</v>
      </c>
      <c r="H57" s="74">
        <v>0</v>
      </c>
      <c r="I57" s="57">
        <v>45153</v>
      </c>
      <c r="J57" s="68" t="s">
        <v>360</v>
      </c>
      <c r="K57" s="324" t="s">
        <v>72</v>
      </c>
      <c r="L57" s="319" t="b">
        <f>+ISNUMBER(PAGOS[[#This Row],[REG]])</f>
        <v>0</v>
      </c>
    </row>
    <row r="58" spans="1:12" s="17" customFormat="1" x14ac:dyDescent="0.3">
      <c r="A58" s="335">
        <v>54</v>
      </c>
      <c r="B58" s="71">
        <v>7</v>
      </c>
      <c r="C58" s="56" t="s">
        <v>15</v>
      </c>
      <c r="D58" s="287">
        <v>23</v>
      </c>
      <c r="E58" s="74">
        <v>200</v>
      </c>
      <c r="F58" s="57">
        <v>45153</v>
      </c>
      <c r="G58" s="64">
        <v>1</v>
      </c>
      <c r="H58" s="74">
        <v>4</v>
      </c>
      <c r="I58" s="57">
        <v>45153</v>
      </c>
      <c r="J58" s="68">
        <v>1</v>
      </c>
      <c r="K58" s="58" t="s">
        <v>79</v>
      </c>
      <c r="L58" s="319" t="b">
        <f>+ISNUMBER(PAGOS[[#This Row],[REG]])</f>
        <v>1</v>
      </c>
    </row>
    <row r="59" spans="1:12" s="17" customFormat="1" x14ac:dyDescent="0.3">
      <c r="A59" s="335">
        <v>55</v>
      </c>
      <c r="B59" s="72">
        <v>5</v>
      </c>
      <c r="C59" s="56" t="s">
        <v>14</v>
      </c>
      <c r="D59" s="287">
        <v>21</v>
      </c>
      <c r="E59" s="74">
        <v>0</v>
      </c>
      <c r="F59" s="57">
        <v>45153</v>
      </c>
      <c r="G59" s="64">
        <v>2</v>
      </c>
      <c r="H59" s="74">
        <v>8</v>
      </c>
      <c r="I59" s="57">
        <v>45153</v>
      </c>
      <c r="J59" s="68">
        <v>2</v>
      </c>
      <c r="K59" s="58" t="s">
        <v>84</v>
      </c>
      <c r="L59" s="319" t="b">
        <f>+ISNUMBER(PAGOS[[#This Row],[REG]])</f>
        <v>1</v>
      </c>
    </row>
    <row r="60" spans="1:12" s="17" customFormat="1" x14ac:dyDescent="0.3">
      <c r="A60" s="335">
        <v>56</v>
      </c>
      <c r="B60" s="72">
        <v>15</v>
      </c>
      <c r="C60" s="56" t="s">
        <v>22</v>
      </c>
      <c r="D60" s="287">
        <v>20</v>
      </c>
      <c r="E60" s="74">
        <v>0</v>
      </c>
      <c r="F60" s="57">
        <v>45153</v>
      </c>
      <c r="G60" s="64">
        <v>2</v>
      </c>
      <c r="H60" s="74">
        <v>4</v>
      </c>
      <c r="I60" s="57">
        <v>45153</v>
      </c>
      <c r="J60" s="68">
        <v>2</v>
      </c>
      <c r="K60" s="58" t="s">
        <v>84</v>
      </c>
      <c r="L60" s="319" t="b">
        <f>+ISNUMBER(PAGOS[[#This Row],[REG]])</f>
        <v>1</v>
      </c>
    </row>
    <row r="61" spans="1:12" x14ac:dyDescent="0.3">
      <c r="A61" s="335">
        <v>57</v>
      </c>
      <c r="B61" s="72">
        <v>14</v>
      </c>
      <c r="C61" s="56" t="s">
        <v>21</v>
      </c>
      <c r="D61" s="287">
        <v>19</v>
      </c>
      <c r="E61" s="74">
        <v>0</v>
      </c>
      <c r="F61" s="57">
        <v>45153</v>
      </c>
      <c r="G61" s="64">
        <v>2</v>
      </c>
      <c r="H61" s="74">
        <v>8</v>
      </c>
      <c r="I61" s="57">
        <v>45153</v>
      </c>
      <c r="J61" s="68">
        <v>2</v>
      </c>
      <c r="K61" s="58" t="s">
        <v>84</v>
      </c>
      <c r="L61" s="319" t="b">
        <f>+ISNUMBER(PAGOS[[#This Row],[REG]])</f>
        <v>1</v>
      </c>
    </row>
    <row r="62" spans="1:12" x14ac:dyDescent="0.3">
      <c r="A62" s="335">
        <v>58</v>
      </c>
      <c r="B62" s="72">
        <v>9</v>
      </c>
      <c r="C62" s="56" t="s">
        <v>17</v>
      </c>
      <c r="D62" s="287">
        <v>18</v>
      </c>
      <c r="E62" s="74">
        <v>25</v>
      </c>
      <c r="F62" s="57">
        <v>45153</v>
      </c>
      <c r="G62" s="64">
        <v>3</v>
      </c>
      <c r="H62" s="74">
        <v>2</v>
      </c>
      <c r="I62" s="57">
        <v>45153</v>
      </c>
      <c r="J62" s="68">
        <v>3</v>
      </c>
      <c r="K62" s="58" t="s">
        <v>80</v>
      </c>
      <c r="L62" s="319" t="b">
        <f>+ISNUMBER(PAGOS[[#This Row],[REG]])</f>
        <v>1</v>
      </c>
    </row>
    <row r="63" spans="1:12" x14ac:dyDescent="0.3">
      <c r="A63" s="335">
        <v>59</v>
      </c>
      <c r="B63" s="72">
        <v>4</v>
      </c>
      <c r="C63" s="56" t="s">
        <v>12</v>
      </c>
      <c r="D63" s="287">
        <v>16</v>
      </c>
      <c r="E63" s="74">
        <v>25</v>
      </c>
      <c r="F63" s="57">
        <v>45153</v>
      </c>
      <c r="G63" s="64">
        <v>4</v>
      </c>
      <c r="H63" s="74">
        <v>2</v>
      </c>
      <c r="I63" s="57">
        <v>45153</v>
      </c>
      <c r="J63" s="68">
        <v>4</v>
      </c>
      <c r="K63" s="58" t="s">
        <v>82</v>
      </c>
      <c r="L63" s="319" t="b">
        <f>+ISNUMBER(PAGOS[[#This Row],[REG]])</f>
        <v>1</v>
      </c>
    </row>
    <row r="64" spans="1:12" x14ac:dyDescent="0.3">
      <c r="A64" s="335">
        <v>60</v>
      </c>
      <c r="B64" s="71">
        <v>12</v>
      </c>
      <c r="C64" s="54" t="s">
        <v>20</v>
      </c>
      <c r="D64" s="286">
        <v>15</v>
      </c>
      <c r="E64" s="33">
        <v>50</v>
      </c>
      <c r="F64" s="55">
        <v>45153</v>
      </c>
      <c r="G64" s="64">
        <v>4</v>
      </c>
      <c r="H64" s="74">
        <v>4</v>
      </c>
      <c r="I64" s="57">
        <v>45153</v>
      </c>
      <c r="J64" s="68">
        <v>4</v>
      </c>
      <c r="K64" s="39" t="s">
        <v>82</v>
      </c>
      <c r="L64" s="319" t="b">
        <f>+ISNUMBER(PAGOS[[#This Row],[REG]])</f>
        <v>1</v>
      </c>
    </row>
    <row r="65" spans="1:12" x14ac:dyDescent="0.3">
      <c r="A65" s="339">
        <v>61</v>
      </c>
      <c r="B65" s="72">
        <v>4</v>
      </c>
      <c r="C65" s="59" t="s">
        <v>12</v>
      </c>
      <c r="D65" s="288">
        <v>22</v>
      </c>
      <c r="E65" s="75">
        <v>100</v>
      </c>
      <c r="F65" s="60">
        <v>45153</v>
      </c>
      <c r="G65" s="65">
        <v>1</v>
      </c>
      <c r="H65" s="75">
        <v>2</v>
      </c>
      <c r="I65" s="60">
        <v>45153</v>
      </c>
      <c r="J65" s="69">
        <v>1</v>
      </c>
      <c r="K65" s="61" t="s">
        <v>85</v>
      </c>
      <c r="L65" s="319" t="b">
        <f>+ISNUMBER(PAGOS[[#This Row],[REG]])</f>
        <v>1</v>
      </c>
    </row>
    <row r="66" spans="1:12" x14ac:dyDescent="0.3">
      <c r="A66" s="335" t="s">
        <v>344</v>
      </c>
      <c r="B66" s="72">
        <v>3</v>
      </c>
      <c r="C66" s="56" t="s">
        <v>13</v>
      </c>
      <c r="D66" s="287" t="s">
        <v>97</v>
      </c>
      <c r="E66" s="74">
        <v>0</v>
      </c>
      <c r="F66" s="57">
        <v>45153</v>
      </c>
      <c r="G66" s="64" t="s">
        <v>97</v>
      </c>
      <c r="H66" s="74">
        <v>0</v>
      </c>
      <c r="I66" s="57">
        <v>45153</v>
      </c>
      <c r="J66" s="68" t="s">
        <v>97</v>
      </c>
      <c r="K66" s="58" t="s">
        <v>359</v>
      </c>
      <c r="L66" s="319" t="b">
        <f>+ISNUMBER(PAGOS[[#This Row],[REG]])</f>
        <v>0</v>
      </c>
    </row>
    <row r="67" spans="1:12" x14ac:dyDescent="0.3">
      <c r="A67" s="335">
        <v>62</v>
      </c>
      <c r="B67" s="72">
        <v>8</v>
      </c>
      <c r="C67" s="59" t="s">
        <v>16</v>
      </c>
      <c r="D67" s="288">
        <v>24</v>
      </c>
      <c r="E67" s="75">
        <v>200</v>
      </c>
      <c r="F67" s="60">
        <v>45184</v>
      </c>
      <c r="G67" s="65">
        <v>1</v>
      </c>
      <c r="H67" s="75">
        <v>4</v>
      </c>
      <c r="I67" s="60">
        <v>45184</v>
      </c>
      <c r="J67" s="69">
        <v>1</v>
      </c>
      <c r="K67" s="61" t="s">
        <v>86</v>
      </c>
      <c r="L67" s="319" t="b">
        <f>+ISNUMBER(PAGOS[[#This Row],[REG]])</f>
        <v>1</v>
      </c>
    </row>
    <row r="68" spans="1:12" x14ac:dyDescent="0.3">
      <c r="A68" s="335">
        <v>63</v>
      </c>
      <c r="B68" s="72">
        <v>14</v>
      </c>
      <c r="C68" s="59" t="s">
        <v>21</v>
      </c>
      <c r="D68" s="288">
        <v>19</v>
      </c>
      <c r="E68" s="75">
        <v>0</v>
      </c>
      <c r="F68" s="60">
        <v>45184</v>
      </c>
      <c r="G68" s="65">
        <v>3</v>
      </c>
      <c r="H68" s="75">
        <v>8</v>
      </c>
      <c r="I68" s="60">
        <v>45184</v>
      </c>
      <c r="J68" s="69">
        <v>3</v>
      </c>
      <c r="K68" s="61" t="s">
        <v>87</v>
      </c>
      <c r="L68" s="319" t="b">
        <f>+ISNUMBER(PAGOS[[#This Row],[REG]])</f>
        <v>1</v>
      </c>
    </row>
    <row r="69" spans="1:12" x14ac:dyDescent="0.3">
      <c r="A69" s="335">
        <v>64</v>
      </c>
      <c r="B69" s="72">
        <v>9</v>
      </c>
      <c r="C69" s="59" t="s">
        <v>17</v>
      </c>
      <c r="D69" s="288">
        <v>18</v>
      </c>
      <c r="E69" s="75">
        <v>25</v>
      </c>
      <c r="F69" s="60">
        <v>45184</v>
      </c>
      <c r="G69" s="65">
        <v>4</v>
      </c>
      <c r="H69" s="75">
        <v>2</v>
      </c>
      <c r="I69" s="60">
        <v>45184</v>
      </c>
      <c r="J69" s="69">
        <v>4</v>
      </c>
      <c r="K69" s="61" t="s">
        <v>82</v>
      </c>
      <c r="L69" s="319" t="b">
        <f>+ISNUMBER(PAGOS[[#This Row],[REG]])</f>
        <v>1</v>
      </c>
    </row>
    <row r="70" spans="1:12" x14ac:dyDescent="0.3">
      <c r="A70" s="335">
        <v>65</v>
      </c>
      <c r="B70" s="72">
        <v>15</v>
      </c>
      <c r="C70" s="62" t="s">
        <v>22</v>
      </c>
      <c r="D70" s="289">
        <v>20</v>
      </c>
      <c r="E70" s="76">
        <v>0</v>
      </c>
      <c r="F70" s="60">
        <v>45184</v>
      </c>
      <c r="G70" s="66">
        <v>3</v>
      </c>
      <c r="H70" s="76">
        <v>4</v>
      </c>
      <c r="I70" s="60">
        <v>45184</v>
      </c>
      <c r="J70" s="70">
        <v>3</v>
      </c>
      <c r="K70" s="77" t="s">
        <v>88</v>
      </c>
      <c r="L70" s="319" t="b">
        <f>+ISNUMBER(PAGOS[[#This Row],[REG]])</f>
        <v>1</v>
      </c>
    </row>
    <row r="71" spans="1:12" x14ac:dyDescent="0.3">
      <c r="A71" s="335">
        <v>66</v>
      </c>
      <c r="B71" s="71">
        <v>5</v>
      </c>
      <c r="C71" s="237" t="s">
        <v>14</v>
      </c>
      <c r="D71" s="290">
        <v>21</v>
      </c>
      <c r="E71" s="238">
        <v>0</v>
      </c>
      <c r="F71" s="239">
        <v>45184</v>
      </c>
      <c r="G71" s="240">
        <v>3</v>
      </c>
      <c r="H71" s="238">
        <v>8</v>
      </c>
      <c r="I71" s="239">
        <v>45184</v>
      </c>
      <c r="J71" s="241">
        <v>3</v>
      </c>
      <c r="K71" s="242" t="s">
        <v>125</v>
      </c>
      <c r="L71" s="319" t="b">
        <f>+ISNUMBER(PAGOS[[#This Row],[REG]])</f>
        <v>1</v>
      </c>
    </row>
    <row r="72" spans="1:12" x14ac:dyDescent="0.3">
      <c r="A72" s="335">
        <v>67</v>
      </c>
      <c r="B72" s="71">
        <v>5</v>
      </c>
      <c r="C72" s="78" t="s">
        <v>14</v>
      </c>
      <c r="D72" s="291">
        <v>21</v>
      </c>
      <c r="E72" s="35">
        <v>400</v>
      </c>
      <c r="F72" s="36">
        <v>45214</v>
      </c>
      <c r="G72" s="81">
        <v>4</v>
      </c>
      <c r="H72" s="35">
        <v>8</v>
      </c>
      <c r="I72" s="36">
        <v>45214</v>
      </c>
      <c r="J72" s="82">
        <v>4</v>
      </c>
      <c r="K72" s="37" t="s">
        <v>252</v>
      </c>
      <c r="L72" s="319" t="b">
        <f>+ISNUMBER(PAGOS[[#This Row],[REG]])</f>
        <v>1</v>
      </c>
    </row>
    <row r="73" spans="1:12" x14ac:dyDescent="0.3">
      <c r="A73" s="335">
        <v>68</v>
      </c>
      <c r="B73" s="72">
        <v>6</v>
      </c>
      <c r="C73" s="78" t="s">
        <v>24</v>
      </c>
      <c r="D73" s="291">
        <v>25</v>
      </c>
      <c r="E73" s="35">
        <v>0</v>
      </c>
      <c r="F73" s="36">
        <v>45214</v>
      </c>
      <c r="G73" s="81">
        <v>1</v>
      </c>
      <c r="H73" s="35">
        <v>10</v>
      </c>
      <c r="I73" s="36">
        <v>45214</v>
      </c>
      <c r="J73" s="82">
        <v>1</v>
      </c>
      <c r="K73" s="37" t="s">
        <v>107</v>
      </c>
      <c r="L73" s="319" t="b">
        <f>+ISNUMBER(PAGOS[[#This Row],[REG]])</f>
        <v>1</v>
      </c>
    </row>
    <row r="74" spans="1:12" x14ac:dyDescent="0.3">
      <c r="A74" s="335">
        <v>69</v>
      </c>
      <c r="B74" s="72">
        <v>7</v>
      </c>
      <c r="C74" s="78" t="s">
        <v>15</v>
      </c>
      <c r="D74" s="291">
        <v>26</v>
      </c>
      <c r="E74" s="35">
        <v>100</v>
      </c>
      <c r="F74" s="36">
        <v>45214</v>
      </c>
      <c r="G74" s="81">
        <v>1</v>
      </c>
      <c r="H74" s="35">
        <v>2</v>
      </c>
      <c r="I74" s="36">
        <v>45214</v>
      </c>
      <c r="J74" s="82">
        <v>1</v>
      </c>
      <c r="K74" s="37" t="s">
        <v>108</v>
      </c>
      <c r="L74" s="319" t="b">
        <f>+ISNUMBER(PAGOS[[#This Row],[REG]])</f>
        <v>1</v>
      </c>
    </row>
    <row r="75" spans="1:12" x14ac:dyDescent="0.3">
      <c r="A75" s="335">
        <v>70</v>
      </c>
      <c r="B75" s="72">
        <v>14</v>
      </c>
      <c r="C75" s="78" t="s">
        <v>21</v>
      </c>
      <c r="D75" s="291">
        <v>19</v>
      </c>
      <c r="E75" s="35">
        <v>400</v>
      </c>
      <c r="F75" s="36">
        <v>45214</v>
      </c>
      <c r="G75" s="81">
        <v>4</v>
      </c>
      <c r="H75" s="35">
        <v>8</v>
      </c>
      <c r="I75" s="36">
        <v>45214</v>
      </c>
      <c r="J75" s="82">
        <v>4</v>
      </c>
      <c r="K75" s="37" t="s">
        <v>109</v>
      </c>
      <c r="L75" s="319" t="b">
        <f>+ISNUMBER(PAGOS[[#This Row],[REG]])</f>
        <v>1</v>
      </c>
    </row>
    <row r="76" spans="1:12" x14ac:dyDescent="0.3">
      <c r="A76" s="335">
        <v>71</v>
      </c>
      <c r="B76" s="72">
        <v>3</v>
      </c>
      <c r="C76" s="78" t="s">
        <v>13</v>
      </c>
      <c r="D76" s="291">
        <v>27</v>
      </c>
      <c r="E76" s="35">
        <v>25</v>
      </c>
      <c r="F76" s="36">
        <v>45214</v>
      </c>
      <c r="G76" s="81">
        <v>1</v>
      </c>
      <c r="H76" s="35">
        <v>2</v>
      </c>
      <c r="I76" s="36">
        <v>45214</v>
      </c>
      <c r="J76" s="82">
        <v>1</v>
      </c>
      <c r="K76" s="37" t="s">
        <v>110</v>
      </c>
      <c r="L76" s="319" t="b">
        <f>+ISNUMBER(PAGOS[[#This Row],[REG]])</f>
        <v>1</v>
      </c>
    </row>
    <row r="77" spans="1:12" x14ac:dyDescent="0.3">
      <c r="A77" s="335">
        <v>72</v>
      </c>
      <c r="B77" s="72">
        <v>15</v>
      </c>
      <c r="C77" s="78" t="s">
        <v>22</v>
      </c>
      <c r="D77" s="291">
        <v>20</v>
      </c>
      <c r="E77" s="35">
        <v>200</v>
      </c>
      <c r="F77" s="36">
        <v>45214</v>
      </c>
      <c r="G77" s="81">
        <v>4</v>
      </c>
      <c r="H77" s="35">
        <v>4</v>
      </c>
      <c r="I77" s="36">
        <v>45214</v>
      </c>
      <c r="J77" s="82">
        <v>4</v>
      </c>
      <c r="K77" s="37" t="s">
        <v>111</v>
      </c>
      <c r="L77" s="319" t="b">
        <f>+ISNUMBER(PAGOS[[#This Row],[REG]])</f>
        <v>1</v>
      </c>
    </row>
    <row r="78" spans="1:12" x14ac:dyDescent="0.3">
      <c r="A78" s="335">
        <v>73</v>
      </c>
      <c r="B78" s="72">
        <v>3</v>
      </c>
      <c r="C78" s="78" t="s">
        <v>13</v>
      </c>
      <c r="D78" s="291">
        <v>27</v>
      </c>
      <c r="E78" s="35">
        <v>25</v>
      </c>
      <c r="F78" s="36">
        <v>45245</v>
      </c>
      <c r="G78" s="81">
        <v>2</v>
      </c>
      <c r="H78" s="35">
        <v>2</v>
      </c>
      <c r="I78" s="36">
        <v>45245</v>
      </c>
      <c r="J78" s="82">
        <v>2</v>
      </c>
      <c r="K78" s="37" t="s">
        <v>118</v>
      </c>
      <c r="L78" s="319" t="b">
        <f>+ISNUMBER(PAGOS[[#This Row],[REG]])</f>
        <v>1</v>
      </c>
    </row>
    <row r="79" spans="1:12" x14ac:dyDescent="0.3">
      <c r="A79" s="335">
        <v>74</v>
      </c>
      <c r="B79" s="72">
        <v>9</v>
      </c>
      <c r="C79" s="78" t="s">
        <v>17</v>
      </c>
      <c r="D79" s="291">
        <v>28</v>
      </c>
      <c r="E79" s="35">
        <v>0</v>
      </c>
      <c r="F79" s="36">
        <v>45245</v>
      </c>
      <c r="G79" s="81">
        <v>1</v>
      </c>
      <c r="H79" s="35">
        <v>12</v>
      </c>
      <c r="I79" s="36">
        <v>45245</v>
      </c>
      <c r="J79" s="82">
        <v>1</v>
      </c>
      <c r="K79" s="37" t="s">
        <v>119</v>
      </c>
      <c r="L79" s="319" t="b">
        <f>+ISNUMBER(PAGOS[[#This Row],[REG]])</f>
        <v>1</v>
      </c>
    </row>
    <row r="80" spans="1:12" x14ac:dyDescent="0.3">
      <c r="A80" s="335">
        <v>75</v>
      </c>
      <c r="B80" s="72">
        <v>12</v>
      </c>
      <c r="C80" s="78" t="s">
        <v>20</v>
      </c>
      <c r="D80" s="291">
        <v>30</v>
      </c>
      <c r="E80" s="35">
        <v>57.16</v>
      </c>
      <c r="F80" s="36">
        <v>45245</v>
      </c>
      <c r="G80" s="81">
        <v>1</v>
      </c>
      <c r="H80" s="35">
        <v>8</v>
      </c>
      <c r="I80" s="36">
        <v>45245</v>
      </c>
      <c r="J80" s="82">
        <v>1</v>
      </c>
      <c r="K80" s="37" t="s">
        <v>120</v>
      </c>
      <c r="L80" s="319" t="b">
        <f>+ISNUMBER(PAGOS[[#This Row],[REG]])</f>
        <v>1</v>
      </c>
    </row>
    <row r="81" spans="1:12" x14ac:dyDescent="0.3">
      <c r="A81" s="335">
        <v>76</v>
      </c>
      <c r="B81" s="72">
        <v>16</v>
      </c>
      <c r="C81" s="78" t="s">
        <v>23</v>
      </c>
      <c r="D81" s="291">
        <v>29</v>
      </c>
      <c r="E81" s="35">
        <v>50</v>
      </c>
      <c r="F81" s="36">
        <v>45245</v>
      </c>
      <c r="G81" s="81">
        <v>1</v>
      </c>
      <c r="H81" s="35">
        <v>4</v>
      </c>
      <c r="I81" s="36">
        <v>45245</v>
      </c>
      <c r="J81" s="82">
        <v>1</v>
      </c>
      <c r="K81" s="37" t="s">
        <v>121</v>
      </c>
      <c r="L81" s="319" t="b">
        <f>+ISNUMBER(PAGOS[[#This Row],[REG]])</f>
        <v>1</v>
      </c>
    </row>
    <row r="82" spans="1:12" x14ac:dyDescent="0.3">
      <c r="A82" s="335">
        <v>77</v>
      </c>
      <c r="B82" s="72">
        <v>6</v>
      </c>
      <c r="C82" s="78" t="s">
        <v>24</v>
      </c>
      <c r="D82" s="291">
        <v>25</v>
      </c>
      <c r="E82" s="35">
        <v>0</v>
      </c>
      <c r="F82" s="36">
        <v>45245</v>
      </c>
      <c r="G82" s="81">
        <v>2</v>
      </c>
      <c r="H82" s="35">
        <v>10</v>
      </c>
      <c r="I82" s="36">
        <v>45245</v>
      </c>
      <c r="J82" s="82">
        <v>2</v>
      </c>
      <c r="K82" s="37" t="s">
        <v>84</v>
      </c>
      <c r="L82" s="319" t="b">
        <f>+ISNUMBER(PAGOS[[#This Row],[REG]])</f>
        <v>1</v>
      </c>
    </row>
    <row r="83" spans="1:12" x14ac:dyDescent="0.3">
      <c r="A83" s="340" t="s">
        <v>124</v>
      </c>
      <c r="B83" s="73">
        <v>1</v>
      </c>
      <c r="C83" s="78" t="s">
        <v>70</v>
      </c>
      <c r="D83" s="291" t="s">
        <v>355</v>
      </c>
      <c r="E83" s="35">
        <v>0</v>
      </c>
      <c r="F83" s="36">
        <v>45245</v>
      </c>
      <c r="G83" s="81" t="s">
        <v>355</v>
      </c>
      <c r="H83" s="35">
        <v>1.5</v>
      </c>
      <c r="I83" s="36">
        <v>45245</v>
      </c>
      <c r="J83" s="82" t="s">
        <v>355</v>
      </c>
      <c r="K83" s="37" t="s">
        <v>123</v>
      </c>
      <c r="L83" s="319" t="b">
        <f>+ISNUMBER(PAGOS[[#This Row],[REG]])</f>
        <v>0</v>
      </c>
    </row>
    <row r="84" spans="1:12" x14ac:dyDescent="0.3">
      <c r="A84" s="336">
        <v>78</v>
      </c>
      <c r="B84" s="71">
        <v>5</v>
      </c>
      <c r="C84" s="78" t="s">
        <v>14</v>
      </c>
      <c r="D84" s="291">
        <v>31</v>
      </c>
      <c r="E84" s="35">
        <v>0</v>
      </c>
      <c r="F84" s="36">
        <v>45275</v>
      </c>
      <c r="G84" s="81">
        <v>2</v>
      </c>
      <c r="H84" s="35">
        <v>4</v>
      </c>
      <c r="I84" s="36">
        <v>45275</v>
      </c>
      <c r="J84" s="82">
        <v>2</v>
      </c>
      <c r="K84" s="37" t="s">
        <v>253</v>
      </c>
      <c r="L84" s="319" t="b">
        <f>+ISNUMBER(PAGOS[[#This Row],[REG]])</f>
        <v>1</v>
      </c>
    </row>
    <row r="85" spans="1:12" x14ac:dyDescent="0.3">
      <c r="A85" s="336">
        <v>79</v>
      </c>
      <c r="B85" s="72">
        <v>6</v>
      </c>
      <c r="C85" s="78" t="s">
        <v>24</v>
      </c>
      <c r="D85" s="291">
        <v>25</v>
      </c>
      <c r="E85" s="35">
        <v>0</v>
      </c>
      <c r="F85" s="36">
        <v>45275</v>
      </c>
      <c r="G85" s="81">
        <v>2</v>
      </c>
      <c r="H85" s="35">
        <v>10</v>
      </c>
      <c r="I85" s="36">
        <v>45275</v>
      </c>
      <c r="J85" s="82">
        <v>2</v>
      </c>
      <c r="K85" s="37" t="s">
        <v>254</v>
      </c>
      <c r="L85" s="319" t="b">
        <f>+ISNUMBER(PAGOS[[#This Row],[REG]])</f>
        <v>1</v>
      </c>
    </row>
    <row r="86" spans="1:12" x14ac:dyDescent="0.3">
      <c r="A86" s="336">
        <v>80</v>
      </c>
      <c r="B86" s="72">
        <v>12</v>
      </c>
      <c r="C86" s="78" t="s">
        <v>20</v>
      </c>
      <c r="D86" s="291">
        <v>30</v>
      </c>
      <c r="E86" s="35">
        <v>57.14</v>
      </c>
      <c r="F86" s="36">
        <v>45275</v>
      </c>
      <c r="G86" s="81">
        <v>2</v>
      </c>
      <c r="H86" s="35">
        <v>8</v>
      </c>
      <c r="I86" s="36">
        <v>45275</v>
      </c>
      <c r="J86" s="82">
        <v>2</v>
      </c>
      <c r="K86" s="37" t="s">
        <v>77</v>
      </c>
      <c r="L86" s="319" t="b">
        <f>+ISNUMBER(PAGOS[[#This Row],[REG]])</f>
        <v>1</v>
      </c>
    </row>
    <row r="87" spans="1:12" x14ac:dyDescent="0.3">
      <c r="A87" s="336">
        <v>81</v>
      </c>
      <c r="B87" s="72">
        <v>16</v>
      </c>
      <c r="C87" s="78" t="s">
        <v>23</v>
      </c>
      <c r="D87" s="291">
        <v>29</v>
      </c>
      <c r="E87" s="35">
        <v>50</v>
      </c>
      <c r="F87" s="36">
        <v>45275</v>
      </c>
      <c r="G87" s="81">
        <v>2</v>
      </c>
      <c r="H87" s="35">
        <v>4</v>
      </c>
      <c r="I87" s="36">
        <v>45275</v>
      </c>
      <c r="J87" s="82">
        <v>2</v>
      </c>
      <c r="K87" s="37" t="s">
        <v>77</v>
      </c>
      <c r="L87" s="319" t="b">
        <f>+ISNUMBER(PAGOS[[#This Row],[REG]])</f>
        <v>1</v>
      </c>
    </row>
    <row r="88" spans="1:12" x14ac:dyDescent="0.3">
      <c r="A88" s="336">
        <v>82</v>
      </c>
      <c r="B88" s="72">
        <v>9</v>
      </c>
      <c r="C88" s="78" t="s">
        <v>17</v>
      </c>
      <c r="D88" s="291">
        <v>28</v>
      </c>
      <c r="E88" s="35">
        <v>0</v>
      </c>
      <c r="F88" s="36">
        <v>45275</v>
      </c>
      <c r="G88" s="81">
        <v>2</v>
      </c>
      <c r="H88" s="35">
        <v>12</v>
      </c>
      <c r="I88" s="36">
        <v>45275</v>
      </c>
      <c r="J88" s="82">
        <v>2</v>
      </c>
      <c r="K88" s="37" t="s">
        <v>84</v>
      </c>
      <c r="L88" s="319" t="b">
        <f>+ISNUMBER(PAGOS[[#This Row],[REG]])</f>
        <v>1</v>
      </c>
    </row>
    <row r="89" spans="1:12" x14ac:dyDescent="0.3">
      <c r="A89" s="336">
        <v>83</v>
      </c>
      <c r="B89" s="72">
        <v>14</v>
      </c>
      <c r="C89" s="78" t="s">
        <v>21</v>
      </c>
      <c r="D89" s="291">
        <v>32</v>
      </c>
      <c r="E89" s="35">
        <v>0</v>
      </c>
      <c r="F89" s="36">
        <v>45275</v>
      </c>
      <c r="G89" s="81">
        <v>1</v>
      </c>
      <c r="H89" s="35">
        <v>5</v>
      </c>
      <c r="I89" s="36">
        <v>45275</v>
      </c>
      <c r="J89" s="82">
        <v>2</v>
      </c>
      <c r="K89" s="37" t="s">
        <v>83</v>
      </c>
      <c r="L89" s="319" t="b">
        <f>+ISNUMBER(PAGOS[[#This Row],[REG]])</f>
        <v>1</v>
      </c>
    </row>
    <row r="90" spans="1:12" x14ac:dyDescent="0.3">
      <c r="A90" s="336">
        <v>84</v>
      </c>
      <c r="B90" s="72">
        <v>3</v>
      </c>
      <c r="C90" s="78" t="s">
        <v>13</v>
      </c>
      <c r="D90" s="291">
        <v>27</v>
      </c>
      <c r="E90" s="35">
        <v>25</v>
      </c>
      <c r="F90" s="36">
        <v>45275</v>
      </c>
      <c r="G90" s="81">
        <v>2</v>
      </c>
      <c r="H90" s="35">
        <v>2</v>
      </c>
      <c r="I90" s="36">
        <v>45275</v>
      </c>
      <c r="J90" s="82">
        <v>2</v>
      </c>
      <c r="K90" s="37" t="s">
        <v>77</v>
      </c>
      <c r="L90" s="319" t="b">
        <f>+ISNUMBER(PAGOS[[#This Row],[REG]])</f>
        <v>1</v>
      </c>
    </row>
    <row r="91" spans="1:12" x14ac:dyDescent="0.3">
      <c r="A91" s="341" t="s">
        <v>129</v>
      </c>
      <c r="B91" s="71">
        <v>14</v>
      </c>
      <c r="C91" s="78" t="s">
        <v>21</v>
      </c>
      <c r="D91" s="291">
        <v>32</v>
      </c>
      <c r="E91" s="35">
        <v>0</v>
      </c>
      <c r="F91" s="36">
        <v>45306</v>
      </c>
      <c r="G91" s="81">
        <v>4</v>
      </c>
      <c r="H91" s="35">
        <v>10</v>
      </c>
      <c r="I91" s="36">
        <v>45306</v>
      </c>
      <c r="J91" s="82">
        <v>4</v>
      </c>
      <c r="K91" s="37" t="s">
        <v>468</v>
      </c>
      <c r="L91" s="319" t="b">
        <f>+ISNUMBER(PAGOS[[#This Row],[REG]])</f>
        <v>0</v>
      </c>
    </row>
    <row r="92" spans="1:12" x14ac:dyDescent="0.3">
      <c r="A92" s="342">
        <v>85</v>
      </c>
      <c r="B92" s="72">
        <v>14</v>
      </c>
      <c r="C92" s="78" t="s">
        <v>21</v>
      </c>
      <c r="D92" s="291">
        <v>32</v>
      </c>
      <c r="E92" s="35">
        <v>250</v>
      </c>
      <c r="F92" s="36">
        <v>45306</v>
      </c>
      <c r="G92" s="81">
        <v>4</v>
      </c>
      <c r="H92" s="35">
        <v>0</v>
      </c>
      <c r="I92" s="36">
        <v>45306</v>
      </c>
      <c r="J92" s="82">
        <v>4</v>
      </c>
      <c r="K92" s="37" t="s">
        <v>458</v>
      </c>
      <c r="L92" s="319" t="b">
        <f>+ISNUMBER(PAGOS[[#This Row],[REG]])</f>
        <v>1</v>
      </c>
    </row>
    <row r="93" spans="1:12" x14ac:dyDescent="0.3">
      <c r="A93" s="336">
        <v>86</v>
      </c>
      <c r="B93" s="72">
        <v>5</v>
      </c>
      <c r="C93" s="78" t="s">
        <v>14</v>
      </c>
      <c r="D93" s="291">
        <v>31</v>
      </c>
      <c r="E93" s="35">
        <v>0</v>
      </c>
      <c r="F93" s="36">
        <v>45306</v>
      </c>
      <c r="G93" s="81">
        <v>3</v>
      </c>
      <c r="H93" s="35">
        <v>4</v>
      </c>
      <c r="I93" s="36">
        <v>45306</v>
      </c>
      <c r="J93" s="82">
        <v>3</v>
      </c>
      <c r="K93" s="37" t="s">
        <v>84</v>
      </c>
      <c r="L93" s="319" t="b">
        <f>+ISNUMBER(PAGOS[[#This Row],[REG]])</f>
        <v>1</v>
      </c>
    </row>
    <row r="94" spans="1:12" x14ac:dyDescent="0.3">
      <c r="A94" s="336">
        <v>87</v>
      </c>
      <c r="B94" s="72">
        <v>6</v>
      </c>
      <c r="C94" s="78" t="s">
        <v>24</v>
      </c>
      <c r="D94" s="291">
        <v>25</v>
      </c>
      <c r="E94" s="35">
        <v>0</v>
      </c>
      <c r="F94" s="36">
        <v>45306</v>
      </c>
      <c r="G94" s="81">
        <v>3</v>
      </c>
      <c r="H94" s="35">
        <v>10</v>
      </c>
      <c r="I94" s="36">
        <v>45306</v>
      </c>
      <c r="J94" s="82">
        <v>3</v>
      </c>
      <c r="K94" s="37" t="s">
        <v>155</v>
      </c>
      <c r="L94" s="319" t="b">
        <f>+ISNUMBER(PAGOS[[#This Row],[REG]])</f>
        <v>1</v>
      </c>
    </row>
    <row r="95" spans="1:12" x14ac:dyDescent="0.3">
      <c r="A95" s="336">
        <v>88</v>
      </c>
      <c r="B95" s="72">
        <v>12</v>
      </c>
      <c r="C95" s="78" t="s">
        <v>20</v>
      </c>
      <c r="D95" s="291">
        <v>30</v>
      </c>
      <c r="E95" s="35">
        <v>57.14</v>
      </c>
      <c r="F95" s="36">
        <v>45306</v>
      </c>
      <c r="G95" s="81">
        <v>3</v>
      </c>
      <c r="H95" s="35">
        <v>8</v>
      </c>
      <c r="I95" s="36">
        <v>45306</v>
      </c>
      <c r="J95" s="82">
        <v>3</v>
      </c>
      <c r="K95" s="37" t="s">
        <v>80</v>
      </c>
      <c r="L95" s="319" t="b">
        <f>+ISNUMBER(PAGOS[[#This Row],[REG]])</f>
        <v>1</v>
      </c>
    </row>
    <row r="96" spans="1:12" x14ac:dyDescent="0.3">
      <c r="A96" s="336">
        <v>89</v>
      </c>
      <c r="B96" s="72">
        <v>16</v>
      </c>
      <c r="C96" s="78" t="s">
        <v>23</v>
      </c>
      <c r="D96" s="291">
        <v>29</v>
      </c>
      <c r="E96" s="35">
        <v>100</v>
      </c>
      <c r="F96" s="36">
        <v>45306</v>
      </c>
      <c r="G96" s="81">
        <v>4</v>
      </c>
      <c r="H96" s="35">
        <v>8</v>
      </c>
      <c r="I96" s="36">
        <v>45306</v>
      </c>
      <c r="J96" s="82">
        <v>4</v>
      </c>
      <c r="K96" s="37" t="s">
        <v>126</v>
      </c>
      <c r="L96" s="319" t="b">
        <f>+ISNUMBER(PAGOS[[#This Row],[REG]])</f>
        <v>1</v>
      </c>
    </row>
    <row r="97" spans="1:12" x14ac:dyDescent="0.3">
      <c r="A97" s="336">
        <v>90</v>
      </c>
      <c r="B97" s="72">
        <v>9</v>
      </c>
      <c r="C97" s="78" t="s">
        <v>17</v>
      </c>
      <c r="D97" s="291">
        <v>28</v>
      </c>
      <c r="E97" s="35">
        <v>0</v>
      </c>
      <c r="F97" s="36">
        <v>45306</v>
      </c>
      <c r="G97" s="81">
        <v>3</v>
      </c>
      <c r="H97" s="35">
        <v>12</v>
      </c>
      <c r="I97" s="36">
        <v>45306</v>
      </c>
      <c r="J97" s="82">
        <v>3</v>
      </c>
      <c r="K97" s="37" t="s">
        <v>80</v>
      </c>
      <c r="L97" s="319" t="b">
        <f>+ISNUMBER(PAGOS[[#This Row],[REG]])</f>
        <v>1</v>
      </c>
    </row>
    <row r="98" spans="1:12" x14ac:dyDescent="0.3">
      <c r="A98" s="336">
        <v>91</v>
      </c>
      <c r="B98" s="72">
        <v>14</v>
      </c>
      <c r="C98" s="78" t="s">
        <v>21</v>
      </c>
      <c r="D98" s="291">
        <v>32</v>
      </c>
      <c r="E98" s="35">
        <v>0</v>
      </c>
      <c r="F98" s="36">
        <v>45306</v>
      </c>
      <c r="G98" s="81">
        <v>2</v>
      </c>
      <c r="H98" s="35">
        <v>5</v>
      </c>
      <c r="I98" s="36">
        <v>45306</v>
      </c>
      <c r="J98" s="82">
        <v>3</v>
      </c>
      <c r="K98" s="37" t="s">
        <v>389</v>
      </c>
      <c r="L98" s="319" t="b">
        <f>+ISNUMBER(PAGOS[[#This Row],[REG]])</f>
        <v>1</v>
      </c>
    </row>
    <row r="99" spans="1:12" x14ac:dyDescent="0.3">
      <c r="A99" s="336">
        <v>92</v>
      </c>
      <c r="B99" s="72">
        <v>3</v>
      </c>
      <c r="C99" s="54" t="s">
        <v>13</v>
      </c>
      <c r="D99" s="291">
        <v>27</v>
      </c>
      <c r="E99" s="35">
        <v>25</v>
      </c>
      <c r="F99" s="36">
        <v>45306</v>
      </c>
      <c r="G99" s="81">
        <v>3</v>
      </c>
      <c r="H99" s="35">
        <v>2</v>
      </c>
      <c r="I99" s="36">
        <v>45306</v>
      </c>
      <c r="J99" s="82">
        <v>3</v>
      </c>
      <c r="K99" s="37" t="s">
        <v>80</v>
      </c>
      <c r="L99" s="319" t="b">
        <f>+ISNUMBER(PAGOS[[#This Row],[REG]])</f>
        <v>1</v>
      </c>
    </row>
    <row r="100" spans="1:12" x14ac:dyDescent="0.3">
      <c r="A100" s="342">
        <v>93</v>
      </c>
      <c r="B100" s="71">
        <v>9</v>
      </c>
      <c r="C100" s="78" t="s">
        <v>17</v>
      </c>
      <c r="D100" s="291">
        <v>28</v>
      </c>
      <c r="E100" s="35">
        <v>600</v>
      </c>
      <c r="F100" s="36">
        <v>45337</v>
      </c>
      <c r="G100" s="81">
        <v>4</v>
      </c>
      <c r="H100" s="35">
        <v>0</v>
      </c>
      <c r="I100" s="36">
        <v>45337</v>
      </c>
      <c r="J100" s="82">
        <v>4</v>
      </c>
      <c r="K100" s="37" t="s">
        <v>459</v>
      </c>
      <c r="L100" s="319" t="b">
        <f>+ISNUMBER(PAGOS[[#This Row],[REG]])</f>
        <v>1</v>
      </c>
    </row>
    <row r="101" spans="1:12" x14ac:dyDescent="0.3">
      <c r="A101" s="336">
        <v>94</v>
      </c>
      <c r="B101" s="72">
        <v>5</v>
      </c>
      <c r="C101" s="78" t="s">
        <v>14</v>
      </c>
      <c r="D101" s="291">
        <v>31</v>
      </c>
      <c r="E101" s="35">
        <v>0</v>
      </c>
      <c r="F101" s="36">
        <v>45337</v>
      </c>
      <c r="G101" s="81">
        <v>4</v>
      </c>
      <c r="H101" s="35">
        <v>4</v>
      </c>
      <c r="I101" s="36">
        <v>45337</v>
      </c>
      <c r="J101" s="82">
        <v>4</v>
      </c>
      <c r="K101" s="37" t="s">
        <v>125</v>
      </c>
      <c r="L101" s="319" t="b">
        <f>+ISNUMBER(PAGOS[[#This Row],[REG]])</f>
        <v>1</v>
      </c>
    </row>
    <row r="102" spans="1:12" x14ac:dyDescent="0.3">
      <c r="A102" s="336">
        <v>95</v>
      </c>
      <c r="B102" s="72">
        <v>6</v>
      </c>
      <c r="C102" s="78" t="s">
        <v>24</v>
      </c>
      <c r="D102" s="291">
        <v>25</v>
      </c>
      <c r="E102" s="35">
        <v>0</v>
      </c>
      <c r="F102" s="36">
        <v>45337</v>
      </c>
      <c r="G102" s="81">
        <v>5</v>
      </c>
      <c r="H102" s="35">
        <v>10</v>
      </c>
      <c r="I102" s="36">
        <v>45337</v>
      </c>
      <c r="J102" s="82">
        <v>5</v>
      </c>
      <c r="K102" s="37" t="s">
        <v>156</v>
      </c>
      <c r="L102" s="319" t="b">
        <f>+ISNUMBER(PAGOS[[#This Row],[REG]])</f>
        <v>1</v>
      </c>
    </row>
    <row r="103" spans="1:12" x14ac:dyDescent="0.3">
      <c r="A103" s="336">
        <v>96</v>
      </c>
      <c r="B103" s="72">
        <v>12</v>
      </c>
      <c r="C103" s="78" t="s">
        <v>20</v>
      </c>
      <c r="D103" s="291">
        <v>30</v>
      </c>
      <c r="E103" s="35">
        <v>57.14</v>
      </c>
      <c r="F103" s="36">
        <v>45337</v>
      </c>
      <c r="G103" s="81">
        <v>4</v>
      </c>
      <c r="H103" s="35">
        <v>8</v>
      </c>
      <c r="I103" s="36">
        <v>45337</v>
      </c>
      <c r="J103" s="82">
        <v>4</v>
      </c>
      <c r="K103" s="37" t="s">
        <v>82</v>
      </c>
      <c r="L103" s="319" t="b">
        <f>+ISNUMBER(PAGOS[[#This Row],[REG]])</f>
        <v>1</v>
      </c>
    </row>
    <row r="104" spans="1:12" x14ac:dyDescent="0.3">
      <c r="A104" s="336">
        <v>97</v>
      </c>
      <c r="B104" s="72">
        <v>15</v>
      </c>
      <c r="C104" s="78" t="s">
        <v>22</v>
      </c>
      <c r="D104" s="291">
        <v>34</v>
      </c>
      <c r="E104" s="35">
        <v>0</v>
      </c>
      <c r="F104" s="36">
        <v>45337</v>
      </c>
      <c r="G104" s="81">
        <v>1</v>
      </c>
      <c r="H104" s="35">
        <v>2</v>
      </c>
      <c r="I104" s="36">
        <v>45337</v>
      </c>
      <c r="J104" s="82">
        <v>1</v>
      </c>
      <c r="K104" s="37" t="s">
        <v>83</v>
      </c>
      <c r="L104" s="319" t="b">
        <f>+ISNUMBER(PAGOS[[#This Row],[REG]])</f>
        <v>1</v>
      </c>
    </row>
    <row r="105" spans="1:12" x14ac:dyDescent="0.3">
      <c r="A105" s="336">
        <v>98</v>
      </c>
      <c r="B105" s="72">
        <v>9</v>
      </c>
      <c r="C105" s="78" t="s">
        <v>17</v>
      </c>
      <c r="D105" s="291">
        <v>28</v>
      </c>
      <c r="E105" s="35">
        <v>0</v>
      </c>
      <c r="F105" s="36">
        <v>45337</v>
      </c>
      <c r="G105" s="81">
        <v>4</v>
      </c>
      <c r="H105" s="35">
        <v>12</v>
      </c>
      <c r="I105" s="36">
        <v>45337</v>
      </c>
      <c r="J105" s="82">
        <v>4</v>
      </c>
      <c r="K105" s="37" t="s">
        <v>157</v>
      </c>
      <c r="L105" s="319" t="b">
        <f>+ISNUMBER(PAGOS[[#This Row],[REG]])</f>
        <v>1</v>
      </c>
    </row>
    <row r="106" spans="1:12" x14ac:dyDescent="0.3">
      <c r="A106" s="336">
        <v>99</v>
      </c>
      <c r="B106" s="72">
        <v>14</v>
      </c>
      <c r="C106" s="78" t="s">
        <v>21</v>
      </c>
      <c r="D106" s="291">
        <v>33</v>
      </c>
      <c r="E106" s="35">
        <v>0</v>
      </c>
      <c r="F106" s="36">
        <v>45337</v>
      </c>
      <c r="G106" s="81">
        <v>1</v>
      </c>
      <c r="H106" s="35">
        <v>10</v>
      </c>
      <c r="I106" s="36">
        <v>45337</v>
      </c>
      <c r="J106" s="82">
        <v>1</v>
      </c>
      <c r="K106" s="37" t="s">
        <v>158</v>
      </c>
      <c r="L106" s="319" t="b">
        <f>+ISNUMBER(PAGOS[[#This Row],[REG]])</f>
        <v>1</v>
      </c>
    </row>
    <row r="107" spans="1:12" x14ac:dyDescent="0.3">
      <c r="A107" s="340" t="s">
        <v>159</v>
      </c>
      <c r="B107" s="34">
        <v>1</v>
      </c>
      <c r="C107" s="78" t="s">
        <v>408</v>
      </c>
      <c r="D107" s="291" t="s">
        <v>355</v>
      </c>
      <c r="E107" s="35">
        <v>0</v>
      </c>
      <c r="F107" s="36">
        <v>45337</v>
      </c>
      <c r="G107" s="81" t="s">
        <v>355</v>
      </c>
      <c r="H107" s="35">
        <v>4</v>
      </c>
      <c r="I107" s="36">
        <v>45337</v>
      </c>
      <c r="J107" s="82" t="s">
        <v>355</v>
      </c>
      <c r="K107" s="37" t="s">
        <v>160</v>
      </c>
      <c r="L107" s="319" t="b">
        <f>+ISNUMBER(PAGOS[[#This Row],[REG]])</f>
        <v>0</v>
      </c>
    </row>
    <row r="108" spans="1:12" x14ac:dyDescent="0.3">
      <c r="A108" s="340" t="s">
        <v>161</v>
      </c>
      <c r="B108" s="34">
        <v>1</v>
      </c>
      <c r="C108" s="78" t="s">
        <v>409</v>
      </c>
      <c r="D108" s="291" t="s">
        <v>355</v>
      </c>
      <c r="E108" s="35">
        <v>0</v>
      </c>
      <c r="F108" s="36">
        <v>45337</v>
      </c>
      <c r="G108" s="81" t="s">
        <v>355</v>
      </c>
      <c r="H108" s="35">
        <v>4</v>
      </c>
      <c r="I108" s="36">
        <v>45337</v>
      </c>
      <c r="J108" s="82" t="s">
        <v>355</v>
      </c>
      <c r="K108" s="37" t="s">
        <v>160</v>
      </c>
      <c r="L108" s="319" t="b">
        <f>+ISNUMBER(PAGOS[[#This Row],[REG]])</f>
        <v>0</v>
      </c>
    </row>
    <row r="109" spans="1:12" x14ac:dyDescent="0.3">
      <c r="A109" s="336">
        <v>100</v>
      </c>
      <c r="B109" s="72">
        <v>6</v>
      </c>
      <c r="C109" s="78" t="s">
        <v>24</v>
      </c>
      <c r="D109" s="291">
        <v>25</v>
      </c>
      <c r="E109" s="35">
        <v>500</v>
      </c>
      <c r="F109" s="36">
        <v>45366</v>
      </c>
      <c r="G109" s="81">
        <v>6</v>
      </c>
      <c r="H109" s="35">
        <v>0</v>
      </c>
      <c r="I109" s="36">
        <v>45366</v>
      </c>
      <c r="J109" s="82">
        <v>6</v>
      </c>
      <c r="K109" s="37" t="s">
        <v>469</v>
      </c>
      <c r="L109" s="319" t="b">
        <f>+ISNUMBER(PAGOS[[#This Row],[REG]])</f>
        <v>1</v>
      </c>
    </row>
    <row r="110" spans="1:12" x14ac:dyDescent="0.3">
      <c r="A110" s="336">
        <v>101</v>
      </c>
      <c r="B110" s="71">
        <v>14</v>
      </c>
      <c r="C110" s="78" t="s">
        <v>21</v>
      </c>
      <c r="D110" s="291">
        <v>33</v>
      </c>
      <c r="E110" s="35">
        <v>500</v>
      </c>
      <c r="F110" s="36">
        <v>45366</v>
      </c>
      <c r="G110" s="81">
        <v>2</v>
      </c>
      <c r="H110" s="35">
        <v>0</v>
      </c>
      <c r="I110" s="36">
        <v>45366</v>
      </c>
      <c r="J110" s="82">
        <v>2</v>
      </c>
      <c r="K110" s="37" t="s">
        <v>390</v>
      </c>
      <c r="L110" s="319" t="b">
        <f>+ISNUMBER(PAGOS[[#This Row],[REG]])</f>
        <v>1</v>
      </c>
    </row>
    <row r="111" spans="1:12" x14ac:dyDescent="0.3">
      <c r="A111" s="341" t="s">
        <v>202</v>
      </c>
      <c r="B111" s="72">
        <v>15</v>
      </c>
      <c r="C111" s="78" t="s">
        <v>22</v>
      </c>
      <c r="D111" s="291">
        <v>34</v>
      </c>
      <c r="E111" s="35">
        <v>0</v>
      </c>
      <c r="F111" s="36">
        <v>45366</v>
      </c>
      <c r="G111" s="81">
        <v>3</v>
      </c>
      <c r="H111" s="35">
        <v>6</v>
      </c>
      <c r="I111" s="36">
        <v>45366</v>
      </c>
      <c r="J111" s="82">
        <v>3</v>
      </c>
      <c r="K111" s="37" t="s">
        <v>470</v>
      </c>
      <c r="L111" s="319" t="b">
        <f>+ISNUMBER(PAGOS[[#This Row],[REG]])</f>
        <v>0</v>
      </c>
    </row>
    <row r="112" spans="1:12" x14ac:dyDescent="0.3">
      <c r="A112" s="336">
        <v>102</v>
      </c>
      <c r="B112" s="72">
        <v>15</v>
      </c>
      <c r="C112" s="78" t="s">
        <v>22</v>
      </c>
      <c r="D112" s="291">
        <v>34</v>
      </c>
      <c r="E112" s="35">
        <v>100</v>
      </c>
      <c r="F112" s="36">
        <v>45366</v>
      </c>
      <c r="G112" s="81">
        <v>3</v>
      </c>
      <c r="H112" s="35">
        <v>0</v>
      </c>
      <c r="I112" s="36">
        <v>45366</v>
      </c>
      <c r="J112" s="82">
        <v>3</v>
      </c>
      <c r="K112" s="37" t="s">
        <v>471</v>
      </c>
      <c r="L112" s="319" t="b">
        <f>+ISNUMBER(PAGOS[[#This Row],[REG]])</f>
        <v>1</v>
      </c>
    </row>
    <row r="113" spans="1:12" x14ac:dyDescent="0.3">
      <c r="A113" s="336">
        <v>103</v>
      </c>
      <c r="B113" s="72">
        <v>12</v>
      </c>
      <c r="C113" s="78" t="s">
        <v>20</v>
      </c>
      <c r="D113" s="291">
        <v>30</v>
      </c>
      <c r="E113" s="35">
        <v>57.14</v>
      </c>
      <c r="F113" s="36">
        <v>45366</v>
      </c>
      <c r="G113" s="81">
        <v>5</v>
      </c>
      <c r="H113" s="35">
        <v>8</v>
      </c>
      <c r="I113" s="36">
        <v>45366</v>
      </c>
      <c r="J113" s="82">
        <v>5</v>
      </c>
      <c r="K113" s="37" t="s">
        <v>193</v>
      </c>
      <c r="L113" s="319" t="b">
        <f>+ISNUMBER(PAGOS[[#This Row],[REG]])</f>
        <v>1</v>
      </c>
    </row>
    <row r="114" spans="1:12" x14ac:dyDescent="0.3">
      <c r="A114" s="336">
        <v>104</v>
      </c>
      <c r="B114" s="72">
        <v>5</v>
      </c>
      <c r="C114" s="78" t="s">
        <v>14</v>
      </c>
      <c r="D114" s="291">
        <v>31</v>
      </c>
      <c r="E114" s="35">
        <v>200</v>
      </c>
      <c r="F114" s="36">
        <v>45366</v>
      </c>
      <c r="G114" s="81">
        <v>4</v>
      </c>
      <c r="H114" s="35">
        <v>4</v>
      </c>
      <c r="I114" s="36">
        <v>45366</v>
      </c>
      <c r="J114" s="82">
        <v>4</v>
      </c>
      <c r="K114" s="37" t="s">
        <v>252</v>
      </c>
      <c r="L114" s="319" t="b">
        <f>+ISNUMBER(PAGOS[[#This Row],[REG]])</f>
        <v>1</v>
      </c>
    </row>
    <row r="115" spans="1:12" x14ac:dyDescent="0.3">
      <c r="A115" s="336">
        <v>105</v>
      </c>
      <c r="B115" s="72">
        <v>6</v>
      </c>
      <c r="C115" s="78" t="s">
        <v>24</v>
      </c>
      <c r="D115" s="291">
        <v>25</v>
      </c>
      <c r="E115" s="35">
        <v>0</v>
      </c>
      <c r="F115" s="36">
        <v>45366</v>
      </c>
      <c r="G115" s="81">
        <v>6</v>
      </c>
      <c r="H115" s="35">
        <v>10</v>
      </c>
      <c r="I115" s="36">
        <v>45366</v>
      </c>
      <c r="J115" s="82">
        <v>6</v>
      </c>
      <c r="K115" s="37" t="s">
        <v>195</v>
      </c>
      <c r="L115" s="319" t="b">
        <f>+ISNUMBER(PAGOS[[#This Row],[REG]])</f>
        <v>1</v>
      </c>
    </row>
    <row r="116" spans="1:12" x14ac:dyDescent="0.3">
      <c r="A116" s="336">
        <v>106</v>
      </c>
      <c r="B116" s="72">
        <v>15</v>
      </c>
      <c r="C116" s="78" t="s">
        <v>22</v>
      </c>
      <c r="D116" s="291">
        <v>34</v>
      </c>
      <c r="E116" s="35">
        <v>0</v>
      </c>
      <c r="F116" s="36">
        <v>45366</v>
      </c>
      <c r="G116" s="81">
        <v>3</v>
      </c>
      <c r="H116" s="35">
        <v>2</v>
      </c>
      <c r="I116" s="36">
        <v>45366</v>
      </c>
      <c r="J116" s="82">
        <v>3</v>
      </c>
      <c r="K116" s="37" t="s">
        <v>391</v>
      </c>
      <c r="L116" s="319" t="b">
        <f>+ISNUMBER(PAGOS[[#This Row],[REG]])</f>
        <v>1</v>
      </c>
    </row>
    <row r="117" spans="1:12" x14ac:dyDescent="0.3">
      <c r="A117" s="336">
        <v>107</v>
      </c>
      <c r="B117" s="72">
        <v>9</v>
      </c>
      <c r="C117" s="78" t="s">
        <v>17</v>
      </c>
      <c r="D117" s="291">
        <v>35</v>
      </c>
      <c r="E117" s="35">
        <v>120</v>
      </c>
      <c r="F117" s="36">
        <v>45366</v>
      </c>
      <c r="G117" s="81">
        <v>1</v>
      </c>
      <c r="H117" s="35">
        <v>12</v>
      </c>
      <c r="I117" s="36">
        <v>45366</v>
      </c>
      <c r="J117" s="82">
        <v>1</v>
      </c>
      <c r="K117" s="37" t="s">
        <v>194</v>
      </c>
      <c r="L117" s="319" t="b">
        <f>+ISNUMBER(PAGOS[[#This Row],[REG]])</f>
        <v>1</v>
      </c>
    </row>
    <row r="118" spans="1:12" x14ac:dyDescent="0.3">
      <c r="A118" s="336">
        <v>108</v>
      </c>
      <c r="B118" s="72">
        <v>14</v>
      </c>
      <c r="C118" s="78" t="s">
        <v>21</v>
      </c>
      <c r="D118" s="291">
        <v>33</v>
      </c>
      <c r="E118" s="35">
        <v>0</v>
      </c>
      <c r="F118" s="36">
        <v>45366</v>
      </c>
      <c r="G118" s="81">
        <v>2</v>
      </c>
      <c r="H118" s="35">
        <v>10</v>
      </c>
      <c r="I118" s="36">
        <v>45366</v>
      </c>
      <c r="J118" s="82">
        <v>2</v>
      </c>
      <c r="K118" s="37" t="s">
        <v>84</v>
      </c>
      <c r="L118" s="319" t="b">
        <f>+ISNUMBER(PAGOS[[#This Row],[REG]])</f>
        <v>1</v>
      </c>
    </row>
    <row r="119" spans="1:12" x14ac:dyDescent="0.3">
      <c r="A119" s="336">
        <v>109</v>
      </c>
      <c r="B119" s="72">
        <v>4</v>
      </c>
      <c r="C119" s="78" t="s">
        <v>12</v>
      </c>
      <c r="D119" s="291">
        <v>36</v>
      </c>
      <c r="E119" s="35">
        <v>25</v>
      </c>
      <c r="F119" s="36">
        <v>45366</v>
      </c>
      <c r="G119" s="81">
        <v>1</v>
      </c>
      <c r="H119" s="35">
        <v>2</v>
      </c>
      <c r="I119" s="36">
        <v>45366</v>
      </c>
      <c r="J119" s="82">
        <v>1</v>
      </c>
      <c r="K119" s="37" t="s">
        <v>76</v>
      </c>
      <c r="L119" s="319" t="b">
        <f>+ISNUMBER(PAGOS[[#This Row],[REG]])</f>
        <v>1</v>
      </c>
    </row>
    <row r="120" spans="1:12" x14ac:dyDescent="0.3">
      <c r="A120" s="336">
        <v>110</v>
      </c>
      <c r="B120" s="72">
        <v>4</v>
      </c>
      <c r="C120" s="78" t="s">
        <v>12</v>
      </c>
      <c r="D120" s="291">
        <v>36</v>
      </c>
      <c r="E120" s="35">
        <v>25</v>
      </c>
      <c r="F120" s="36">
        <v>45397</v>
      </c>
      <c r="G120" s="81">
        <v>2</v>
      </c>
      <c r="H120" s="35">
        <v>2</v>
      </c>
      <c r="I120" s="36">
        <v>45397</v>
      </c>
      <c r="J120" s="82">
        <v>2</v>
      </c>
      <c r="K120" s="37" t="s">
        <v>77</v>
      </c>
      <c r="L120" s="319" t="b">
        <f>+ISNUMBER(PAGOS[[#This Row],[REG]])</f>
        <v>1</v>
      </c>
    </row>
    <row r="121" spans="1:12" x14ac:dyDescent="0.3">
      <c r="A121" s="336">
        <v>111</v>
      </c>
      <c r="B121" s="71">
        <v>5</v>
      </c>
      <c r="C121" s="78" t="s">
        <v>14</v>
      </c>
      <c r="D121" s="291">
        <v>37</v>
      </c>
      <c r="E121" s="35">
        <v>100</v>
      </c>
      <c r="F121" s="36">
        <v>45397</v>
      </c>
      <c r="G121" s="81">
        <v>1</v>
      </c>
      <c r="H121" s="35">
        <v>20</v>
      </c>
      <c r="I121" s="36">
        <v>45397</v>
      </c>
      <c r="J121" s="82">
        <v>1</v>
      </c>
      <c r="K121" s="37" t="s">
        <v>76</v>
      </c>
      <c r="L121" s="319" t="b">
        <f>+ISNUMBER(PAGOS[[#This Row],[REG]])</f>
        <v>1</v>
      </c>
    </row>
    <row r="122" spans="1:12" x14ac:dyDescent="0.3">
      <c r="A122" s="336">
        <v>112</v>
      </c>
      <c r="B122" s="72">
        <v>9</v>
      </c>
      <c r="C122" s="78" t="s">
        <v>17</v>
      </c>
      <c r="D122" s="291">
        <v>35</v>
      </c>
      <c r="E122" s="35">
        <v>120</v>
      </c>
      <c r="F122" s="36">
        <v>45397</v>
      </c>
      <c r="G122" s="81">
        <v>1</v>
      </c>
      <c r="H122" s="35">
        <v>12</v>
      </c>
      <c r="I122" s="36">
        <v>45397</v>
      </c>
      <c r="J122" s="82">
        <v>1</v>
      </c>
      <c r="K122" s="37" t="s">
        <v>76</v>
      </c>
      <c r="L122" s="319" t="b">
        <f>+ISNUMBER(PAGOS[[#This Row],[REG]])</f>
        <v>1</v>
      </c>
    </row>
    <row r="123" spans="1:12" x14ac:dyDescent="0.3">
      <c r="A123" s="336">
        <v>113</v>
      </c>
      <c r="B123" s="72">
        <v>10</v>
      </c>
      <c r="C123" s="78" t="s">
        <v>18</v>
      </c>
      <c r="D123" s="291">
        <v>40</v>
      </c>
      <c r="E123" s="35">
        <v>20</v>
      </c>
      <c r="F123" s="36">
        <v>45397</v>
      </c>
      <c r="G123" s="81">
        <v>1</v>
      </c>
      <c r="H123" s="35">
        <v>2</v>
      </c>
      <c r="I123" s="36">
        <v>45397</v>
      </c>
      <c r="J123" s="82">
        <v>1</v>
      </c>
      <c r="K123" s="37" t="s">
        <v>76</v>
      </c>
      <c r="L123" s="319" t="b">
        <f>+ISNUMBER(PAGOS[[#This Row],[REG]])</f>
        <v>1</v>
      </c>
    </row>
    <row r="124" spans="1:12" x14ac:dyDescent="0.3">
      <c r="A124" s="336">
        <v>114</v>
      </c>
      <c r="B124" s="72">
        <v>12</v>
      </c>
      <c r="C124" s="78" t="s">
        <v>20</v>
      </c>
      <c r="D124" s="291">
        <v>30</v>
      </c>
      <c r="E124" s="35">
        <v>57.14</v>
      </c>
      <c r="F124" s="36">
        <v>45397</v>
      </c>
      <c r="G124" s="81">
        <v>6</v>
      </c>
      <c r="H124" s="35">
        <v>8</v>
      </c>
      <c r="I124" s="36">
        <v>45397</v>
      </c>
      <c r="J124" s="82">
        <v>6</v>
      </c>
      <c r="K124" s="37" t="s">
        <v>204</v>
      </c>
      <c r="L124" s="319" t="b">
        <f>+ISNUMBER(PAGOS[[#This Row],[REG]])</f>
        <v>1</v>
      </c>
    </row>
    <row r="125" spans="1:12" x14ac:dyDescent="0.3">
      <c r="A125" s="336">
        <v>115</v>
      </c>
      <c r="B125" s="72">
        <v>14</v>
      </c>
      <c r="C125" s="78" t="s">
        <v>21</v>
      </c>
      <c r="D125" s="291">
        <v>39</v>
      </c>
      <c r="E125" s="35">
        <v>100</v>
      </c>
      <c r="F125" s="36">
        <v>45397</v>
      </c>
      <c r="G125" s="81">
        <v>1</v>
      </c>
      <c r="H125" s="35">
        <v>8</v>
      </c>
      <c r="I125" s="36">
        <v>45397</v>
      </c>
      <c r="J125" s="82">
        <v>1</v>
      </c>
      <c r="K125" s="37" t="s">
        <v>76</v>
      </c>
      <c r="L125" s="319" t="b">
        <f>+ISNUMBER(PAGOS[[#This Row],[REG]])</f>
        <v>1</v>
      </c>
    </row>
    <row r="126" spans="1:12" x14ac:dyDescent="0.3">
      <c r="A126" s="336">
        <v>116</v>
      </c>
      <c r="B126" s="72">
        <v>15</v>
      </c>
      <c r="C126" s="78" t="s">
        <v>22</v>
      </c>
      <c r="D126" s="291">
        <v>38</v>
      </c>
      <c r="E126" s="35">
        <v>50</v>
      </c>
      <c r="F126" s="36">
        <v>45397</v>
      </c>
      <c r="G126" s="81">
        <v>1</v>
      </c>
      <c r="H126" s="35">
        <v>12</v>
      </c>
      <c r="I126" s="36">
        <v>45397</v>
      </c>
      <c r="J126" s="82">
        <v>1</v>
      </c>
      <c r="K126" s="37" t="s">
        <v>76</v>
      </c>
      <c r="L126" s="319" t="b">
        <f>+ISNUMBER(PAGOS[[#This Row],[REG]])</f>
        <v>1</v>
      </c>
    </row>
    <row r="127" spans="1:12" x14ac:dyDescent="0.3">
      <c r="A127" s="336">
        <v>117</v>
      </c>
      <c r="B127" s="71">
        <v>5</v>
      </c>
      <c r="C127" s="78" t="s">
        <v>14</v>
      </c>
      <c r="D127" s="291">
        <v>37</v>
      </c>
      <c r="E127" s="35">
        <v>100</v>
      </c>
      <c r="F127" s="36">
        <v>45427</v>
      </c>
      <c r="G127" s="81">
        <v>2</v>
      </c>
      <c r="H127" s="35">
        <v>20</v>
      </c>
      <c r="I127" s="36">
        <v>45427</v>
      </c>
      <c r="J127" s="82">
        <v>2</v>
      </c>
      <c r="K127" s="37" t="s">
        <v>77</v>
      </c>
      <c r="L127" s="319" t="b">
        <f>+ISNUMBER(PAGOS[[#This Row],[REG]])</f>
        <v>1</v>
      </c>
    </row>
    <row r="128" spans="1:12" x14ac:dyDescent="0.3">
      <c r="A128" s="336">
        <v>118</v>
      </c>
      <c r="B128" s="72">
        <v>4</v>
      </c>
      <c r="C128" s="78" t="s">
        <v>12</v>
      </c>
      <c r="D128" s="291">
        <v>36</v>
      </c>
      <c r="E128" s="35">
        <v>25</v>
      </c>
      <c r="F128" s="36">
        <v>45427</v>
      </c>
      <c r="G128" s="81">
        <v>3</v>
      </c>
      <c r="H128" s="35">
        <v>2</v>
      </c>
      <c r="I128" s="36">
        <v>45427</v>
      </c>
      <c r="J128" s="82">
        <v>3</v>
      </c>
      <c r="K128" s="37" t="s">
        <v>80</v>
      </c>
      <c r="L128" s="319" t="b">
        <f>+ISNUMBER(PAGOS[[#This Row],[REG]])</f>
        <v>1</v>
      </c>
    </row>
    <row r="129" spans="1:12" x14ac:dyDescent="0.3">
      <c r="A129" s="336">
        <v>119</v>
      </c>
      <c r="B129" s="72">
        <v>12</v>
      </c>
      <c r="C129" s="78" t="s">
        <v>20</v>
      </c>
      <c r="D129" s="291">
        <v>30</v>
      </c>
      <c r="E129" s="35">
        <v>57.14</v>
      </c>
      <c r="F129" s="36">
        <v>45427</v>
      </c>
      <c r="G129" s="81">
        <v>7</v>
      </c>
      <c r="H129" s="35">
        <v>8</v>
      </c>
      <c r="I129" s="36">
        <v>45427</v>
      </c>
      <c r="J129" s="82">
        <v>7</v>
      </c>
      <c r="K129" s="37" t="s">
        <v>208</v>
      </c>
      <c r="L129" s="319" t="b">
        <f>+ISNUMBER(PAGOS[[#This Row],[REG]])</f>
        <v>1</v>
      </c>
    </row>
    <row r="130" spans="1:12" x14ac:dyDescent="0.3">
      <c r="A130" s="336">
        <v>120</v>
      </c>
      <c r="B130" s="72">
        <v>15</v>
      </c>
      <c r="C130" s="78" t="s">
        <v>22</v>
      </c>
      <c r="D130" s="291">
        <v>38</v>
      </c>
      <c r="E130" s="35">
        <v>50</v>
      </c>
      <c r="F130" s="36">
        <v>45427</v>
      </c>
      <c r="G130" s="81">
        <v>2</v>
      </c>
      <c r="H130" s="35">
        <v>12</v>
      </c>
      <c r="I130" s="36">
        <v>45427</v>
      </c>
      <c r="J130" s="82">
        <v>2</v>
      </c>
      <c r="K130" s="37" t="s">
        <v>77</v>
      </c>
      <c r="L130" s="319" t="b">
        <f>+ISNUMBER(PAGOS[[#This Row],[REG]])</f>
        <v>1</v>
      </c>
    </row>
    <row r="131" spans="1:12" x14ac:dyDescent="0.3">
      <c r="A131" s="336">
        <v>121</v>
      </c>
      <c r="B131" s="72">
        <v>10</v>
      </c>
      <c r="C131" s="78" t="s">
        <v>18</v>
      </c>
      <c r="D131" s="291">
        <v>40</v>
      </c>
      <c r="E131" s="35">
        <v>20</v>
      </c>
      <c r="F131" s="36">
        <v>45427</v>
      </c>
      <c r="G131" s="81">
        <v>2</v>
      </c>
      <c r="H131" s="35">
        <v>2</v>
      </c>
      <c r="I131" s="36">
        <v>45427</v>
      </c>
      <c r="J131" s="82">
        <v>2</v>
      </c>
      <c r="K131" s="37" t="s">
        <v>77</v>
      </c>
      <c r="L131" s="319" t="b">
        <f>+ISNUMBER(PAGOS[[#This Row],[REG]])</f>
        <v>1</v>
      </c>
    </row>
    <row r="132" spans="1:12" x14ac:dyDescent="0.3">
      <c r="A132" s="336">
        <v>122</v>
      </c>
      <c r="B132" s="72">
        <v>9</v>
      </c>
      <c r="C132" s="78" t="s">
        <v>17</v>
      </c>
      <c r="D132" s="291">
        <v>35</v>
      </c>
      <c r="E132" s="35">
        <v>120</v>
      </c>
      <c r="F132" s="36">
        <v>45427</v>
      </c>
      <c r="G132" s="81">
        <v>3</v>
      </c>
      <c r="H132" s="35">
        <v>12</v>
      </c>
      <c r="I132" s="36">
        <v>45427</v>
      </c>
      <c r="J132" s="82">
        <v>3</v>
      </c>
      <c r="K132" s="37" t="s">
        <v>80</v>
      </c>
      <c r="L132" s="319" t="b">
        <f>+ISNUMBER(PAGOS[[#This Row],[REG]])</f>
        <v>1</v>
      </c>
    </row>
    <row r="133" spans="1:12" x14ac:dyDescent="0.3">
      <c r="A133" s="336">
        <v>123</v>
      </c>
      <c r="B133" s="72">
        <v>14</v>
      </c>
      <c r="C133" s="78" t="s">
        <v>21</v>
      </c>
      <c r="D133" s="291">
        <v>39</v>
      </c>
      <c r="E133" s="35">
        <v>100</v>
      </c>
      <c r="F133" s="36">
        <v>45427</v>
      </c>
      <c r="G133" s="81">
        <v>2</v>
      </c>
      <c r="H133" s="35">
        <v>8</v>
      </c>
      <c r="I133" s="36">
        <v>45427</v>
      </c>
      <c r="J133" s="82">
        <v>2</v>
      </c>
      <c r="K133" s="37" t="s">
        <v>77</v>
      </c>
      <c r="L133" s="319" t="b">
        <f>+ISNUMBER(PAGOS[[#This Row],[REG]])</f>
        <v>1</v>
      </c>
    </row>
    <row r="134" spans="1:12" x14ac:dyDescent="0.3">
      <c r="A134" s="340" t="s">
        <v>211</v>
      </c>
      <c r="B134" s="71">
        <v>1</v>
      </c>
      <c r="C134" s="54" t="s">
        <v>19</v>
      </c>
      <c r="D134" s="286" t="s">
        <v>355</v>
      </c>
      <c r="E134" s="33">
        <v>0</v>
      </c>
      <c r="F134" s="36">
        <v>45427</v>
      </c>
      <c r="G134" s="63" t="s">
        <v>355</v>
      </c>
      <c r="H134" s="33">
        <v>4</v>
      </c>
      <c r="I134" s="36">
        <v>45427</v>
      </c>
      <c r="J134" s="67" t="s">
        <v>355</v>
      </c>
      <c r="K134" s="39" t="s">
        <v>160</v>
      </c>
      <c r="L134" s="319" t="b">
        <f>+ISNUMBER(PAGOS[[#This Row],[REG]])</f>
        <v>0</v>
      </c>
    </row>
    <row r="135" spans="1:12" x14ac:dyDescent="0.3">
      <c r="A135" s="336">
        <v>124</v>
      </c>
      <c r="B135" s="71">
        <v>14</v>
      </c>
      <c r="C135" s="78" t="s">
        <v>21</v>
      </c>
      <c r="D135" s="291">
        <v>39</v>
      </c>
      <c r="E135" s="35">
        <v>200</v>
      </c>
      <c r="F135" s="332">
        <v>45458</v>
      </c>
      <c r="G135" s="81">
        <v>4</v>
      </c>
      <c r="H135" s="35">
        <v>0</v>
      </c>
      <c r="I135" s="332">
        <v>45458</v>
      </c>
      <c r="J135" s="333">
        <v>4</v>
      </c>
      <c r="K135" s="37" t="s">
        <v>472</v>
      </c>
      <c r="L135" s="334" t="b">
        <f>+ISNUMBER(PAGOS[[#This Row],[REG]])</f>
        <v>1</v>
      </c>
    </row>
    <row r="136" spans="1:12" x14ac:dyDescent="0.3">
      <c r="A136" s="341" t="s">
        <v>213</v>
      </c>
      <c r="B136" s="71">
        <v>14</v>
      </c>
      <c r="C136" s="78" t="s">
        <v>21</v>
      </c>
      <c r="D136" s="291">
        <v>39</v>
      </c>
      <c r="E136" s="35">
        <v>0</v>
      </c>
      <c r="F136" s="332">
        <v>45458</v>
      </c>
      <c r="G136" s="81">
        <v>4</v>
      </c>
      <c r="H136" s="35">
        <v>8</v>
      </c>
      <c r="I136" s="332">
        <v>45458</v>
      </c>
      <c r="J136" s="333">
        <v>4</v>
      </c>
      <c r="K136" s="37" t="s">
        <v>473</v>
      </c>
      <c r="L136" s="334" t="b">
        <f>+ISNUMBER(PAGOS[[#This Row],[REG]])</f>
        <v>0</v>
      </c>
    </row>
    <row r="137" spans="1:12" x14ac:dyDescent="0.3">
      <c r="A137" s="336">
        <v>125</v>
      </c>
      <c r="B137" s="72">
        <v>5</v>
      </c>
      <c r="C137" s="78" t="s">
        <v>14</v>
      </c>
      <c r="D137" s="291">
        <v>37</v>
      </c>
      <c r="E137" s="35">
        <v>100</v>
      </c>
      <c r="F137" s="36">
        <v>45458</v>
      </c>
      <c r="G137" s="81">
        <v>3</v>
      </c>
      <c r="H137" s="35">
        <v>20</v>
      </c>
      <c r="I137" s="36">
        <v>45458</v>
      </c>
      <c r="J137" s="82">
        <v>3</v>
      </c>
      <c r="K137" s="37" t="s">
        <v>80</v>
      </c>
      <c r="L137" s="319" t="b">
        <f>+ISNUMBER(PAGOS[[#This Row],[REG]])</f>
        <v>1</v>
      </c>
    </row>
    <row r="138" spans="1:12" x14ac:dyDescent="0.3">
      <c r="A138" s="336">
        <v>126</v>
      </c>
      <c r="B138" s="72">
        <v>4</v>
      </c>
      <c r="C138" s="78" t="s">
        <v>12</v>
      </c>
      <c r="D138" s="291">
        <v>36</v>
      </c>
      <c r="E138" s="35">
        <v>25</v>
      </c>
      <c r="F138" s="36">
        <v>45458</v>
      </c>
      <c r="G138" s="81">
        <v>4</v>
      </c>
      <c r="H138" s="35">
        <v>2</v>
      </c>
      <c r="I138" s="36">
        <v>45458</v>
      </c>
      <c r="J138" s="82">
        <v>4</v>
      </c>
      <c r="K138" s="37" t="s">
        <v>82</v>
      </c>
      <c r="L138" s="319" t="b">
        <f>+ISNUMBER(PAGOS[[#This Row],[REG]])</f>
        <v>1</v>
      </c>
    </row>
    <row r="139" spans="1:12" x14ac:dyDescent="0.3">
      <c r="A139" s="336">
        <v>127</v>
      </c>
      <c r="B139" s="72">
        <v>12</v>
      </c>
      <c r="C139" s="78" t="s">
        <v>20</v>
      </c>
      <c r="D139" s="291">
        <v>42</v>
      </c>
      <c r="E139" s="35">
        <v>85.74</v>
      </c>
      <c r="F139" s="36">
        <v>45458</v>
      </c>
      <c r="G139" s="81">
        <v>1</v>
      </c>
      <c r="H139" s="35">
        <v>12</v>
      </c>
      <c r="I139" s="36">
        <v>45458</v>
      </c>
      <c r="J139" s="82">
        <v>1</v>
      </c>
      <c r="K139" s="37" t="s">
        <v>76</v>
      </c>
      <c r="L139" s="319" t="b">
        <f>+ISNUMBER(PAGOS[[#This Row],[REG]])</f>
        <v>1</v>
      </c>
    </row>
    <row r="140" spans="1:12" x14ac:dyDescent="0.3">
      <c r="A140" s="336">
        <v>128</v>
      </c>
      <c r="B140" s="72">
        <v>15</v>
      </c>
      <c r="C140" s="78" t="s">
        <v>22</v>
      </c>
      <c r="D140" s="291">
        <v>38</v>
      </c>
      <c r="E140" s="35">
        <v>50</v>
      </c>
      <c r="F140" s="36">
        <v>45458</v>
      </c>
      <c r="G140" s="81">
        <v>3</v>
      </c>
      <c r="H140" s="35">
        <v>12</v>
      </c>
      <c r="I140" s="36">
        <v>45458</v>
      </c>
      <c r="J140" s="82">
        <v>3</v>
      </c>
      <c r="K140" s="37" t="s">
        <v>80</v>
      </c>
      <c r="L140" s="319" t="b">
        <f>+ISNUMBER(PAGOS[[#This Row],[REG]])</f>
        <v>1</v>
      </c>
    </row>
    <row r="141" spans="1:12" x14ac:dyDescent="0.3">
      <c r="A141" s="336">
        <v>129</v>
      </c>
      <c r="B141" s="34">
        <v>10</v>
      </c>
      <c r="C141" s="78" t="s">
        <v>18</v>
      </c>
      <c r="D141" s="291">
        <v>40</v>
      </c>
      <c r="E141" s="35">
        <v>20</v>
      </c>
      <c r="F141" s="36">
        <v>45458</v>
      </c>
      <c r="G141" s="81">
        <v>3</v>
      </c>
      <c r="H141" s="35">
        <v>2</v>
      </c>
      <c r="I141" s="36">
        <v>45458</v>
      </c>
      <c r="J141" s="82">
        <v>3</v>
      </c>
      <c r="K141" s="37" t="s">
        <v>80</v>
      </c>
      <c r="L141" s="319" t="b">
        <f>+ISNUMBER(PAGOS[[#This Row],[REG]])</f>
        <v>1</v>
      </c>
    </row>
    <row r="142" spans="1:12" x14ac:dyDescent="0.3">
      <c r="A142" s="336">
        <v>130</v>
      </c>
      <c r="B142" s="72">
        <v>7</v>
      </c>
      <c r="C142" s="78" t="s">
        <v>15</v>
      </c>
      <c r="D142" s="291">
        <v>43</v>
      </c>
      <c r="E142" s="35">
        <v>100</v>
      </c>
      <c r="F142" s="36">
        <v>45458</v>
      </c>
      <c r="G142" s="81">
        <v>1</v>
      </c>
      <c r="H142" s="35">
        <v>8</v>
      </c>
      <c r="I142" s="36">
        <v>45458</v>
      </c>
      <c r="J142" s="82">
        <v>1</v>
      </c>
      <c r="K142" s="37" t="s">
        <v>76</v>
      </c>
      <c r="L142" s="319" t="b">
        <f>+ISNUMBER(PAGOS[[#This Row],[REG]])</f>
        <v>1</v>
      </c>
    </row>
    <row r="143" spans="1:12" x14ac:dyDescent="0.3">
      <c r="A143" s="336">
        <v>131</v>
      </c>
      <c r="B143" s="72">
        <v>9</v>
      </c>
      <c r="C143" s="78" t="s">
        <v>17</v>
      </c>
      <c r="D143" s="291">
        <v>35</v>
      </c>
      <c r="E143" s="35">
        <v>120</v>
      </c>
      <c r="F143" s="36">
        <v>45458</v>
      </c>
      <c r="G143" s="81">
        <v>4</v>
      </c>
      <c r="H143" s="35">
        <v>12</v>
      </c>
      <c r="I143" s="36">
        <v>45458</v>
      </c>
      <c r="J143" s="82">
        <v>4</v>
      </c>
      <c r="K143" s="37" t="s">
        <v>82</v>
      </c>
      <c r="L143" s="319" t="b">
        <f>+ISNUMBER(PAGOS[[#This Row],[REG]])</f>
        <v>1</v>
      </c>
    </row>
    <row r="144" spans="1:12" x14ac:dyDescent="0.3">
      <c r="A144" s="336">
        <v>132</v>
      </c>
      <c r="B144" s="72">
        <v>14</v>
      </c>
      <c r="C144" s="78" t="s">
        <v>21</v>
      </c>
      <c r="D144" s="291">
        <v>39</v>
      </c>
      <c r="E144" s="35">
        <v>0</v>
      </c>
      <c r="F144" s="36">
        <v>45458</v>
      </c>
      <c r="G144" s="81">
        <v>3</v>
      </c>
      <c r="H144" s="35">
        <v>8</v>
      </c>
      <c r="I144" s="36">
        <v>45458</v>
      </c>
      <c r="J144" s="82">
        <v>3</v>
      </c>
      <c r="K144" s="37" t="s">
        <v>215</v>
      </c>
      <c r="L144" s="319" t="b">
        <f>+ISNUMBER(PAGOS[[#This Row],[REG]])</f>
        <v>1</v>
      </c>
    </row>
    <row r="145" spans="1:12" x14ac:dyDescent="0.3">
      <c r="A145" s="336">
        <v>133</v>
      </c>
      <c r="B145" s="71">
        <v>5</v>
      </c>
      <c r="C145" s="78" t="s">
        <v>14</v>
      </c>
      <c r="D145" s="291">
        <v>37</v>
      </c>
      <c r="E145" s="35">
        <v>100</v>
      </c>
      <c r="F145" s="36">
        <v>45488</v>
      </c>
      <c r="G145" s="81">
        <v>4</v>
      </c>
      <c r="H145" s="35">
        <v>20</v>
      </c>
      <c r="I145" s="36">
        <v>45488</v>
      </c>
      <c r="J145" s="82">
        <v>4</v>
      </c>
      <c r="K145" s="37" t="s">
        <v>82</v>
      </c>
      <c r="L145" s="319" t="b">
        <f>+ISNUMBER(PAGOS[[#This Row],[REG]])</f>
        <v>1</v>
      </c>
    </row>
    <row r="146" spans="1:12" x14ac:dyDescent="0.3">
      <c r="A146" s="336">
        <v>134</v>
      </c>
      <c r="B146" s="72">
        <v>12</v>
      </c>
      <c r="C146" s="78" t="s">
        <v>20</v>
      </c>
      <c r="D146" s="291">
        <v>42</v>
      </c>
      <c r="E146" s="35">
        <v>85.71</v>
      </c>
      <c r="F146" s="36">
        <v>45488</v>
      </c>
      <c r="G146" s="81">
        <v>2</v>
      </c>
      <c r="H146" s="35">
        <v>12</v>
      </c>
      <c r="I146" s="36">
        <v>45488</v>
      </c>
      <c r="J146" s="82">
        <v>2</v>
      </c>
      <c r="K146" s="37" t="s">
        <v>77</v>
      </c>
      <c r="L146" s="319" t="b">
        <f>+ISNUMBER(PAGOS[[#This Row],[REG]])</f>
        <v>1</v>
      </c>
    </row>
    <row r="147" spans="1:12" x14ac:dyDescent="0.3">
      <c r="A147" s="336">
        <v>135</v>
      </c>
      <c r="B147" s="72">
        <v>15</v>
      </c>
      <c r="C147" s="78" t="s">
        <v>22</v>
      </c>
      <c r="D147" s="291">
        <v>38</v>
      </c>
      <c r="E147" s="35">
        <v>50</v>
      </c>
      <c r="F147" s="36">
        <v>45488</v>
      </c>
      <c r="G147" s="81">
        <v>4</v>
      </c>
      <c r="H147" s="35">
        <v>12</v>
      </c>
      <c r="I147" s="36">
        <v>45488</v>
      </c>
      <c r="J147" s="82">
        <v>4</v>
      </c>
      <c r="K147" s="37" t="s">
        <v>82</v>
      </c>
      <c r="L147" s="319" t="b">
        <f>+ISNUMBER(PAGOS[[#This Row],[REG]])</f>
        <v>1</v>
      </c>
    </row>
    <row r="148" spans="1:12" x14ac:dyDescent="0.3">
      <c r="A148" s="336">
        <v>136</v>
      </c>
      <c r="B148" s="72">
        <v>16</v>
      </c>
      <c r="C148" s="78" t="s">
        <v>23</v>
      </c>
      <c r="D148" s="291">
        <v>41</v>
      </c>
      <c r="E148" s="35">
        <v>150</v>
      </c>
      <c r="F148" s="36">
        <v>45488</v>
      </c>
      <c r="G148" s="81">
        <v>3</v>
      </c>
      <c r="H148" s="35">
        <v>9</v>
      </c>
      <c r="I148" s="36">
        <v>45488</v>
      </c>
      <c r="J148" s="82">
        <v>3</v>
      </c>
      <c r="K148" s="37" t="s">
        <v>216</v>
      </c>
      <c r="L148" s="319" t="b">
        <f>+ISNUMBER(PAGOS[[#This Row],[REG]])</f>
        <v>1</v>
      </c>
    </row>
    <row r="149" spans="1:12" x14ac:dyDescent="0.3">
      <c r="A149" s="336">
        <v>137</v>
      </c>
      <c r="B149" s="72">
        <v>10</v>
      </c>
      <c r="C149" s="78" t="s">
        <v>18</v>
      </c>
      <c r="D149" s="291">
        <v>40</v>
      </c>
      <c r="E149" s="35">
        <v>20</v>
      </c>
      <c r="F149" s="36">
        <v>45488</v>
      </c>
      <c r="G149" s="81">
        <v>4</v>
      </c>
      <c r="H149" s="35">
        <v>2</v>
      </c>
      <c r="I149" s="36">
        <v>45488</v>
      </c>
      <c r="J149" s="82">
        <v>4</v>
      </c>
      <c r="K149" s="37" t="s">
        <v>82</v>
      </c>
      <c r="L149" s="319" t="b">
        <f>+ISNUMBER(PAGOS[[#This Row],[REG]])</f>
        <v>1</v>
      </c>
    </row>
    <row r="150" spans="1:12" x14ac:dyDescent="0.3">
      <c r="A150" s="336">
        <v>138</v>
      </c>
      <c r="B150" s="34">
        <v>7</v>
      </c>
      <c r="C150" s="78" t="s">
        <v>15</v>
      </c>
      <c r="D150" s="291">
        <v>43</v>
      </c>
      <c r="E150" s="35">
        <v>100</v>
      </c>
      <c r="F150" s="36">
        <v>45488</v>
      </c>
      <c r="G150" s="81">
        <v>2</v>
      </c>
      <c r="H150" s="35">
        <v>8</v>
      </c>
      <c r="I150" s="36">
        <v>45488</v>
      </c>
      <c r="J150" s="82">
        <v>2</v>
      </c>
      <c r="K150" s="37" t="s">
        <v>77</v>
      </c>
      <c r="L150" s="319" t="b">
        <f>+ISNUMBER(PAGOS[[#This Row],[REG]])</f>
        <v>1</v>
      </c>
    </row>
    <row r="151" spans="1:12" x14ac:dyDescent="0.3">
      <c r="A151" s="336">
        <v>139</v>
      </c>
      <c r="B151" s="34">
        <v>8</v>
      </c>
      <c r="C151" s="78" t="s">
        <v>16</v>
      </c>
      <c r="D151" s="291">
        <v>45</v>
      </c>
      <c r="E151" s="35">
        <v>100</v>
      </c>
      <c r="F151" s="36">
        <v>45488</v>
      </c>
      <c r="G151" s="81">
        <v>1</v>
      </c>
      <c r="H151" s="35">
        <v>6</v>
      </c>
      <c r="I151" s="36">
        <v>45488</v>
      </c>
      <c r="J151" s="82">
        <v>1</v>
      </c>
      <c r="K151" s="37" t="s">
        <v>76</v>
      </c>
      <c r="L151" s="319" t="b">
        <f>+ISNUMBER(PAGOS[[#This Row],[REG]])</f>
        <v>1</v>
      </c>
    </row>
    <row r="152" spans="1:12" x14ac:dyDescent="0.3">
      <c r="A152" s="336">
        <v>140</v>
      </c>
      <c r="B152" s="72">
        <v>9</v>
      </c>
      <c r="C152" s="78" t="s">
        <v>17</v>
      </c>
      <c r="D152" s="291">
        <v>35</v>
      </c>
      <c r="E152" s="35">
        <v>120</v>
      </c>
      <c r="F152" s="36">
        <v>45488</v>
      </c>
      <c r="G152" s="81">
        <v>5</v>
      </c>
      <c r="H152" s="35">
        <v>12</v>
      </c>
      <c r="I152" s="36">
        <v>45488</v>
      </c>
      <c r="J152" s="82">
        <v>5</v>
      </c>
      <c r="K152" s="37" t="s">
        <v>217</v>
      </c>
      <c r="L152" s="319" t="b">
        <f>+ISNUMBER(PAGOS[[#This Row],[REG]])</f>
        <v>1</v>
      </c>
    </row>
    <row r="153" spans="1:12" x14ac:dyDescent="0.3">
      <c r="A153" s="336">
        <v>141</v>
      </c>
      <c r="B153" s="72">
        <v>14</v>
      </c>
      <c r="C153" s="78" t="s">
        <v>21</v>
      </c>
      <c r="D153" s="291">
        <v>44</v>
      </c>
      <c r="E153" s="35">
        <v>140</v>
      </c>
      <c r="F153" s="36">
        <v>45488</v>
      </c>
      <c r="G153" s="81">
        <v>1</v>
      </c>
      <c r="H153" s="35">
        <v>14</v>
      </c>
      <c r="I153" s="36">
        <v>45488</v>
      </c>
      <c r="J153" s="82">
        <v>1</v>
      </c>
      <c r="K153" s="37" t="s">
        <v>76</v>
      </c>
      <c r="L153" s="319" t="b">
        <f>+ISNUMBER(PAGOS[[#This Row],[REG]])</f>
        <v>1</v>
      </c>
    </row>
    <row r="154" spans="1:12" x14ac:dyDescent="0.3">
      <c r="A154" s="336">
        <v>142</v>
      </c>
      <c r="B154" s="71">
        <v>5</v>
      </c>
      <c r="C154" s="78" t="s">
        <v>14</v>
      </c>
      <c r="D154" s="291">
        <v>37</v>
      </c>
      <c r="E154" s="35">
        <v>100</v>
      </c>
      <c r="F154" s="36">
        <v>45519</v>
      </c>
      <c r="G154" s="81">
        <v>5</v>
      </c>
      <c r="H154" s="35">
        <v>20</v>
      </c>
      <c r="I154" s="36">
        <v>45519</v>
      </c>
      <c r="J154" s="82">
        <v>5</v>
      </c>
      <c r="K154" s="37" t="s">
        <v>193</v>
      </c>
      <c r="L154" s="319" t="b">
        <f>+ISNUMBER(PAGOS[[#This Row],[REG]])</f>
        <v>1</v>
      </c>
    </row>
    <row r="155" spans="1:12" x14ac:dyDescent="0.3">
      <c r="A155" s="336">
        <v>143</v>
      </c>
      <c r="B155" s="72">
        <v>6</v>
      </c>
      <c r="C155" s="78" t="s">
        <v>24</v>
      </c>
      <c r="D155" s="291">
        <v>46</v>
      </c>
      <c r="E155" s="35">
        <v>100</v>
      </c>
      <c r="F155" s="36">
        <v>45519</v>
      </c>
      <c r="G155" s="81">
        <v>1</v>
      </c>
      <c r="H155" s="35">
        <v>10</v>
      </c>
      <c r="I155" s="36">
        <v>45519</v>
      </c>
      <c r="J155" s="82">
        <v>1</v>
      </c>
      <c r="K155" s="37" t="s">
        <v>76</v>
      </c>
      <c r="L155" s="319" t="b">
        <f>+ISNUMBER(PAGOS[[#This Row],[REG]])</f>
        <v>1</v>
      </c>
    </row>
    <row r="156" spans="1:12" x14ac:dyDescent="0.3">
      <c r="A156" s="336">
        <v>144</v>
      </c>
      <c r="B156" s="72">
        <v>12</v>
      </c>
      <c r="C156" s="78" t="s">
        <v>20</v>
      </c>
      <c r="D156" s="291">
        <v>42</v>
      </c>
      <c r="E156" s="35">
        <v>85.71</v>
      </c>
      <c r="F156" s="36">
        <v>45519</v>
      </c>
      <c r="G156" s="81">
        <v>3</v>
      </c>
      <c r="H156" s="35">
        <v>12</v>
      </c>
      <c r="I156" s="36">
        <v>45519</v>
      </c>
      <c r="J156" s="82">
        <v>3</v>
      </c>
      <c r="K156" s="37" t="s">
        <v>80</v>
      </c>
      <c r="L156" s="319" t="b">
        <f>+ISNUMBER(PAGOS[[#This Row],[REG]])</f>
        <v>1</v>
      </c>
    </row>
    <row r="157" spans="1:12" x14ac:dyDescent="0.3">
      <c r="A157" s="336">
        <v>145</v>
      </c>
      <c r="B157" s="72">
        <v>15</v>
      </c>
      <c r="C157" s="78" t="s">
        <v>22</v>
      </c>
      <c r="D157" s="291">
        <v>38</v>
      </c>
      <c r="E157" s="35">
        <v>50</v>
      </c>
      <c r="F157" s="36">
        <v>45519</v>
      </c>
      <c r="G157" s="81">
        <v>5</v>
      </c>
      <c r="H157" s="35">
        <v>12</v>
      </c>
      <c r="I157" s="36">
        <v>45519</v>
      </c>
      <c r="J157" s="82">
        <v>5</v>
      </c>
      <c r="K157" s="37" t="s">
        <v>193</v>
      </c>
      <c r="L157" s="319" t="b">
        <f>+ISNUMBER(PAGOS[[#This Row],[REG]])</f>
        <v>1</v>
      </c>
    </row>
    <row r="158" spans="1:12" x14ac:dyDescent="0.3">
      <c r="A158" s="336">
        <v>146</v>
      </c>
      <c r="B158" s="72">
        <v>16</v>
      </c>
      <c r="C158" s="78" t="s">
        <v>23</v>
      </c>
      <c r="D158" s="291">
        <v>47</v>
      </c>
      <c r="E158" s="35">
        <v>41.67</v>
      </c>
      <c r="F158" s="36">
        <v>45519</v>
      </c>
      <c r="G158" s="81">
        <v>1</v>
      </c>
      <c r="H158" s="35">
        <v>10</v>
      </c>
      <c r="I158" s="36">
        <v>45519</v>
      </c>
      <c r="J158" s="82">
        <v>1</v>
      </c>
      <c r="K158" s="37" t="s">
        <v>76</v>
      </c>
      <c r="L158" s="319" t="b">
        <f>+ISNUMBER(PAGOS[[#This Row],[REG]])</f>
        <v>1</v>
      </c>
    </row>
    <row r="159" spans="1:12" x14ac:dyDescent="0.3">
      <c r="A159" s="336">
        <v>147</v>
      </c>
      <c r="B159" s="72">
        <v>10</v>
      </c>
      <c r="C159" s="78" t="s">
        <v>18</v>
      </c>
      <c r="D159" s="291">
        <v>40</v>
      </c>
      <c r="E159" s="35">
        <v>20</v>
      </c>
      <c r="F159" s="36">
        <v>45519</v>
      </c>
      <c r="G159" s="81">
        <v>5</v>
      </c>
      <c r="H159" s="35">
        <v>2</v>
      </c>
      <c r="I159" s="36">
        <v>45519</v>
      </c>
      <c r="J159" s="82">
        <v>5</v>
      </c>
      <c r="K159" s="37" t="s">
        <v>193</v>
      </c>
      <c r="L159" s="319" t="b">
        <f>+ISNUMBER(PAGOS[[#This Row],[REG]])</f>
        <v>1</v>
      </c>
    </row>
    <row r="160" spans="1:12" x14ac:dyDescent="0.3">
      <c r="A160" s="336">
        <v>148</v>
      </c>
      <c r="B160" s="34">
        <v>7</v>
      </c>
      <c r="C160" s="78" t="s">
        <v>15</v>
      </c>
      <c r="D160" s="291">
        <v>43</v>
      </c>
      <c r="E160" s="35">
        <v>100</v>
      </c>
      <c r="F160" s="36">
        <v>45519</v>
      </c>
      <c r="G160" s="81">
        <v>3</v>
      </c>
      <c r="H160" s="35">
        <v>8</v>
      </c>
      <c r="I160" s="36">
        <v>45519</v>
      </c>
      <c r="J160" s="82">
        <v>3</v>
      </c>
      <c r="K160" s="37" t="s">
        <v>80</v>
      </c>
      <c r="L160" s="319" t="b">
        <f>+ISNUMBER(PAGOS[[#This Row],[REG]])</f>
        <v>1</v>
      </c>
    </row>
    <row r="161" spans="1:12" x14ac:dyDescent="0.3">
      <c r="A161" s="336">
        <v>149</v>
      </c>
      <c r="B161" s="72">
        <v>14</v>
      </c>
      <c r="C161" s="78" t="s">
        <v>21</v>
      </c>
      <c r="D161" s="291">
        <v>44</v>
      </c>
      <c r="E161" s="35">
        <v>140</v>
      </c>
      <c r="F161" s="36">
        <v>45519</v>
      </c>
      <c r="G161" s="81">
        <v>2</v>
      </c>
      <c r="H161" s="35">
        <v>14</v>
      </c>
      <c r="I161" s="36">
        <v>45519</v>
      </c>
      <c r="J161" s="82">
        <v>2</v>
      </c>
      <c r="K161" s="37" t="s">
        <v>77</v>
      </c>
      <c r="L161" s="319" t="b">
        <f>+ISNUMBER(PAGOS[[#This Row],[REG]])</f>
        <v>1</v>
      </c>
    </row>
    <row r="162" spans="1:12" x14ac:dyDescent="0.3">
      <c r="A162" s="336">
        <v>150</v>
      </c>
      <c r="B162" s="34">
        <v>8</v>
      </c>
      <c r="C162" s="78" t="s">
        <v>16</v>
      </c>
      <c r="D162" s="291">
        <v>45</v>
      </c>
      <c r="E162" s="35">
        <v>100</v>
      </c>
      <c r="F162" s="36">
        <v>45519</v>
      </c>
      <c r="G162" s="81">
        <v>2</v>
      </c>
      <c r="H162" s="35">
        <v>6</v>
      </c>
      <c r="I162" s="36">
        <v>45519</v>
      </c>
      <c r="J162" s="82">
        <v>2</v>
      </c>
      <c r="K162" s="37" t="s">
        <v>77</v>
      </c>
      <c r="L162" s="319" t="b">
        <f>+ISNUMBER(PAGOS[[#This Row],[REG]])</f>
        <v>1</v>
      </c>
    </row>
    <row r="163" spans="1:12" x14ac:dyDescent="0.3">
      <c r="A163" s="336">
        <v>151</v>
      </c>
      <c r="B163" s="72">
        <v>4</v>
      </c>
      <c r="C163" s="78" t="s">
        <v>12</v>
      </c>
      <c r="D163" s="291">
        <v>49</v>
      </c>
      <c r="E163" s="35">
        <v>50</v>
      </c>
      <c r="F163" s="36">
        <v>45550</v>
      </c>
      <c r="G163" s="81">
        <v>1</v>
      </c>
      <c r="H163" s="35">
        <v>6</v>
      </c>
      <c r="I163" s="36">
        <v>45550</v>
      </c>
      <c r="J163" s="82">
        <v>1</v>
      </c>
      <c r="K163" s="37" t="s">
        <v>230</v>
      </c>
      <c r="L163" s="319" t="b">
        <f>+ISNUMBER(PAGOS[[#This Row],[REG]])</f>
        <v>1</v>
      </c>
    </row>
    <row r="164" spans="1:12" x14ac:dyDescent="0.3">
      <c r="A164" s="336">
        <v>152</v>
      </c>
      <c r="B164" s="71">
        <v>5</v>
      </c>
      <c r="C164" s="78" t="s">
        <v>14</v>
      </c>
      <c r="D164" s="291">
        <v>37</v>
      </c>
      <c r="E164" s="35">
        <v>100</v>
      </c>
      <c r="F164" s="36">
        <v>45550</v>
      </c>
      <c r="G164" s="81">
        <v>6</v>
      </c>
      <c r="H164" s="35">
        <v>20</v>
      </c>
      <c r="I164" s="36">
        <v>45550</v>
      </c>
      <c r="J164" s="82">
        <v>6</v>
      </c>
      <c r="K164" s="37" t="s">
        <v>231</v>
      </c>
      <c r="L164" s="319" t="b">
        <f>+ISNUMBER(PAGOS[[#This Row],[REG]])</f>
        <v>1</v>
      </c>
    </row>
    <row r="165" spans="1:12" x14ac:dyDescent="0.3">
      <c r="A165" s="336">
        <v>153</v>
      </c>
      <c r="B165" s="34">
        <v>7</v>
      </c>
      <c r="C165" s="78" t="s">
        <v>15</v>
      </c>
      <c r="D165" s="291">
        <v>43</v>
      </c>
      <c r="E165" s="35">
        <v>100</v>
      </c>
      <c r="F165" s="36">
        <v>45550</v>
      </c>
      <c r="G165" s="81">
        <v>4</v>
      </c>
      <c r="H165" s="35">
        <v>8</v>
      </c>
      <c r="I165" s="36">
        <v>45550</v>
      </c>
      <c r="J165" s="82">
        <v>4</v>
      </c>
      <c r="K165" s="37" t="s">
        <v>232</v>
      </c>
      <c r="L165" s="319" t="b">
        <f>+ISNUMBER(PAGOS[[#This Row],[REG]])</f>
        <v>1</v>
      </c>
    </row>
    <row r="166" spans="1:12" x14ac:dyDescent="0.3">
      <c r="A166" s="336">
        <v>154</v>
      </c>
      <c r="B166" s="34">
        <v>8</v>
      </c>
      <c r="C166" s="78" t="s">
        <v>16</v>
      </c>
      <c r="D166" s="291">
        <v>45</v>
      </c>
      <c r="E166" s="35">
        <v>100</v>
      </c>
      <c r="F166" s="36">
        <v>45550</v>
      </c>
      <c r="G166" s="81">
        <v>3</v>
      </c>
      <c r="H166" s="35">
        <v>6</v>
      </c>
      <c r="I166" s="36">
        <v>45550</v>
      </c>
      <c r="J166" s="82">
        <v>3</v>
      </c>
      <c r="K166" s="37" t="s">
        <v>233</v>
      </c>
      <c r="L166" s="319" t="b">
        <f>+ISNUMBER(PAGOS[[#This Row],[REG]])</f>
        <v>1</v>
      </c>
    </row>
    <row r="167" spans="1:12" x14ac:dyDescent="0.3">
      <c r="A167" s="336">
        <v>155</v>
      </c>
      <c r="B167" s="72">
        <v>9</v>
      </c>
      <c r="C167" s="78" t="s">
        <v>17</v>
      </c>
      <c r="D167" s="291">
        <v>48</v>
      </c>
      <c r="E167" s="35">
        <v>100</v>
      </c>
      <c r="F167" s="36">
        <v>45550</v>
      </c>
      <c r="G167" s="81">
        <v>1</v>
      </c>
      <c r="H167" s="35">
        <v>12</v>
      </c>
      <c r="I167" s="36">
        <v>45550</v>
      </c>
      <c r="J167" s="82">
        <v>1</v>
      </c>
      <c r="K167" s="37" t="s">
        <v>230</v>
      </c>
      <c r="L167" s="319" t="b">
        <f>+ISNUMBER(PAGOS[[#This Row],[REG]])</f>
        <v>1</v>
      </c>
    </row>
    <row r="168" spans="1:12" x14ac:dyDescent="0.3">
      <c r="A168" s="336">
        <v>156</v>
      </c>
      <c r="B168" s="72">
        <v>12</v>
      </c>
      <c r="C168" s="78" t="s">
        <v>20</v>
      </c>
      <c r="D168" s="291">
        <v>42</v>
      </c>
      <c r="E168" s="35">
        <v>85.71</v>
      </c>
      <c r="F168" s="36">
        <v>45550</v>
      </c>
      <c r="G168" s="81">
        <v>4</v>
      </c>
      <c r="H168" s="35">
        <v>12</v>
      </c>
      <c r="I168" s="36">
        <v>45550</v>
      </c>
      <c r="J168" s="82">
        <v>4</v>
      </c>
      <c r="K168" s="37" t="s">
        <v>232</v>
      </c>
      <c r="L168" s="319" t="b">
        <f>+ISNUMBER(PAGOS[[#This Row],[REG]])</f>
        <v>1</v>
      </c>
    </row>
    <row r="169" spans="1:12" x14ac:dyDescent="0.3">
      <c r="A169" s="336">
        <v>157</v>
      </c>
      <c r="B169" s="72">
        <v>14</v>
      </c>
      <c r="C169" s="78" t="s">
        <v>21</v>
      </c>
      <c r="D169" s="291">
        <v>44</v>
      </c>
      <c r="E169" s="35">
        <v>140</v>
      </c>
      <c r="F169" s="36">
        <v>45550</v>
      </c>
      <c r="G169" s="81">
        <v>3</v>
      </c>
      <c r="H169" s="35">
        <v>14</v>
      </c>
      <c r="I169" s="36">
        <v>45550</v>
      </c>
      <c r="J169" s="82">
        <v>3</v>
      </c>
      <c r="K169" s="37" t="s">
        <v>233</v>
      </c>
      <c r="L169" s="319" t="b">
        <f>+ISNUMBER(PAGOS[[#This Row],[REG]])</f>
        <v>1</v>
      </c>
    </row>
    <row r="170" spans="1:12" x14ac:dyDescent="0.3">
      <c r="A170" s="336">
        <v>158</v>
      </c>
      <c r="B170" s="72">
        <v>15</v>
      </c>
      <c r="C170" s="78" t="s">
        <v>22</v>
      </c>
      <c r="D170" s="291">
        <v>38</v>
      </c>
      <c r="E170" s="35">
        <v>50</v>
      </c>
      <c r="F170" s="36">
        <v>45550</v>
      </c>
      <c r="G170" s="81">
        <v>6</v>
      </c>
      <c r="H170" s="35">
        <v>12</v>
      </c>
      <c r="I170" s="36">
        <v>45550</v>
      </c>
      <c r="J170" s="82">
        <v>6</v>
      </c>
      <c r="K170" s="37" t="s">
        <v>231</v>
      </c>
      <c r="L170" s="319" t="b">
        <f>+ISNUMBER(PAGOS[[#This Row],[REG]])</f>
        <v>1</v>
      </c>
    </row>
    <row r="171" spans="1:12" x14ac:dyDescent="0.3">
      <c r="A171" s="336">
        <v>159</v>
      </c>
      <c r="B171" s="72">
        <v>16</v>
      </c>
      <c r="C171" s="78" t="s">
        <v>23</v>
      </c>
      <c r="D171" s="291">
        <v>47</v>
      </c>
      <c r="E171" s="35">
        <v>41.67</v>
      </c>
      <c r="F171" s="36">
        <v>45550</v>
      </c>
      <c r="G171" s="81">
        <v>2</v>
      </c>
      <c r="H171" s="35">
        <v>10</v>
      </c>
      <c r="I171" s="36">
        <v>45550</v>
      </c>
      <c r="J171" s="82">
        <v>2</v>
      </c>
      <c r="K171" s="37" t="s">
        <v>234</v>
      </c>
      <c r="L171" s="319" t="b">
        <f>+ISNUMBER(PAGOS[[#This Row],[REG]])</f>
        <v>1</v>
      </c>
    </row>
    <row r="172" spans="1:12" x14ac:dyDescent="0.3">
      <c r="A172" s="336">
        <v>160</v>
      </c>
      <c r="B172" s="72">
        <v>6</v>
      </c>
      <c r="C172" s="78" t="s">
        <v>24</v>
      </c>
      <c r="D172" s="291">
        <v>46</v>
      </c>
      <c r="E172" s="35">
        <v>100</v>
      </c>
      <c r="F172" s="36">
        <v>45550</v>
      </c>
      <c r="G172" s="81">
        <v>2</v>
      </c>
      <c r="H172" s="35">
        <v>10</v>
      </c>
      <c r="I172" s="36">
        <v>45550</v>
      </c>
      <c r="J172" s="82">
        <v>2</v>
      </c>
      <c r="K172" s="37" t="s">
        <v>234</v>
      </c>
      <c r="L172" s="319" t="b">
        <f>+ISNUMBER(PAGOS[[#This Row],[REG]])</f>
        <v>1</v>
      </c>
    </row>
    <row r="173" spans="1:12" x14ac:dyDescent="0.3">
      <c r="A173" s="341" t="s">
        <v>242</v>
      </c>
      <c r="B173" s="71">
        <v>14</v>
      </c>
      <c r="C173" s="78" t="s">
        <v>21</v>
      </c>
      <c r="D173" s="291">
        <v>44</v>
      </c>
      <c r="E173" s="35">
        <v>0</v>
      </c>
      <c r="F173" s="36">
        <v>45580</v>
      </c>
      <c r="G173" s="81">
        <v>5</v>
      </c>
      <c r="H173" s="35">
        <v>14</v>
      </c>
      <c r="I173" s="36">
        <v>45580</v>
      </c>
      <c r="J173" s="82">
        <v>5</v>
      </c>
      <c r="K173" s="37" t="s">
        <v>260</v>
      </c>
      <c r="L173" s="319" t="b">
        <f>+ISNUMBER(PAGOS[[#This Row],[REG]])</f>
        <v>0</v>
      </c>
    </row>
    <row r="174" spans="1:12" x14ac:dyDescent="0.3">
      <c r="A174" s="341" t="s">
        <v>246</v>
      </c>
      <c r="B174" s="72">
        <v>2</v>
      </c>
      <c r="C174" s="78" t="s">
        <v>71</v>
      </c>
      <c r="D174" s="291" t="s">
        <v>360</v>
      </c>
      <c r="E174" s="35">
        <v>200</v>
      </c>
      <c r="F174" s="36">
        <v>45580</v>
      </c>
      <c r="G174" s="81" t="s">
        <v>360</v>
      </c>
      <c r="H174" s="35">
        <v>0</v>
      </c>
      <c r="I174" s="36">
        <v>45580</v>
      </c>
      <c r="J174" s="82" t="s">
        <v>360</v>
      </c>
      <c r="K174" s="37" t="s">
        <v>247</v>
      </c>
      <c r="L174" s="319" t="b">
        <f>+ISNUMBER(PAGOS[[#This Row],[REG]])</f>
        <v>0</v>
      </c>
    </row>
    <row r="175" spans="1:12" x14ac:dyDescent="0.3">
      <c r="A175" s="336">
        <v>161</v>
      </c>
      <c r="B175" s="72">
        <v>5</v>
      </c>
      <c r="C175" s="78" t="s">
        <v>14</v>
      </c>
      <c r="D175" s="291">
        <v>37</v>
      </c>
      <c r="E175" s="35">
        <v>100</v>
      </c>
      <c r="F175" s="36">
        <v>45580</v>
      </c>
      <c r="G175" s="81">
        <v>7</v>
      </c>
      <c r="H175" s="35">
        <v>20</v>
      </c>
      <c r="I175" s="36">
        <v>45580</v>
      </c>
      <c r="J175" s="82">
        <v>7</v>
      </c>
      <c r="K175" s="37" t="s">
        <v>237</v>
      </c>
      <c r="L175" s="319" t="b">
        <f>+ISNUMBER(PAGOS[[#This Row],[REG]])</f>
        <v>1</v>
      </c>
    </row>
    <row r="176" spans="1:12" x14ac:dyDescent="0.3">
      <c r="A176" s="336">
        <v>162</v>
      </c>
      <c r="B176" s="72">
        <v>4</v>
      </c>
      <c r="C176" s="78" t="s">
        <v>12</v>
      </c>
      <c r="D176" s="291">
        <v>49</v>
      </c>
      <c r="E176" s="35">
        <v>50</v>
      </c>
      <c r="F176" s="36">
        <v>45580</v>
      </c>
      <c r="G176" s="81">
        <v>2</v>
      </c>
      <c r="H176" s="35">
        <v>6</v>
      </c>
      <c r="I176" s="36">
        <v>45580</v>
      </c>
      <c r="J176" s="82">
        <v>2</v>
      </c>
      <c r="K176" s="37" t="s">
        <v>234</v>
      </c>
      <c r="L176" s="319" t="b">
        <f>+ISNUMBER(PAGOS[[#This Row],[REG]])</f>
        <v>1</v>
      </c>
    </row>
    <row r="177" spans="1:12" x14ac:dyDescent="0.3">
      <c r="A177" s="336">
        <v>163</v>
      </c>
      <c r="B177" s="72">
        <v>6</v>
      </c>
      <c r="C177" s="78" t="s">
        <v>24</v>
      </c>
      <c r="D177" s="291">
        <v>46</v>
      </c>
      <c r="E177" s="35">
        <v>100</v>
      </c>
      <c r="F177" s="36">
        <v>45580</v>
      </c>
      <c r="G177" s="81">
        <v>3</v>
      </c>
      <c r="H177" s="35">
        <v>10</v>
      </c>
      <c r="I177" s="36">
        <v>45580</v>
      </c>
      <c r="J177" s="82">
        <v>3</v>
      </c>
      <c r="K177" s="37" t="s">
        <v>233</v>
      </c>
      <c r="L177" s="319" t="b">
        <f>+ISNUMBER(PAGOS[[#This Row],[REG]])</f>
        <v>1</v>
      </c>
    </row>
    <row r="178" spans="1:12" x14ac:dyDescent="0.3">
      <c r="A178" s="336">
        <v>164</v>
      </c>
      <c r="B178" s="72">
        <v>12</v>
      </c>
      <c r="C178" s="78" t="s">
        <v>20</v>
      </c>
      <c r="D178" s="291">
        <v>42</v>
      </c>
      <c r="E178" s="35">
        <v>85.71</v>
      </c>
      <c r="F178" s="36">
        <v>45580</v>
      </c>
      <c r="G178" s="81">
        <v>5</v>
      </c>
      <c r="H178" s="35">
        <v>12</v>
      </c>
      <c r="I178" s="36">
        <v>45580</v>
      </c>
      <c r="J178" s="82">
        <v>5</v>
      </c>
      <c r="K178" s="37" t="s">
        <v>238</v>
      </c>
      <c r="L178" s="319" t="b">
        <f>+ISNUMBER(PAGOS[[#This Row],[REG]])</f>
        <v>1</v>
      </c>
    </row>
    <row r="179" spans="1:12" x14ac:dyDescent="0.3">
      <c r="A179" s="336">
        <v>165</v>
      </c>
      <c r="B179" s="34">
        <v>15</v>
      </c>
      <c r="C179" s="78" t="s">
        <v>22</v>
      </c>
      <c r="D179" s="291">
        <v>38</v>
      </c>
      <c r="E179" s="35">
        <v>50</v>
      </c>
      <c r="F179" s="36">
        <v>45580</v>
      </c>
      <c r="G179" s="81">
        <v>7</v>
      </c>
      <c r="H179" s="35">
        <v>12</v>
      </c>
      <c r="I179" s="36">
        <v>45580</v>
      </c>
      <c r="J179" s="82">
        <v>7</v>
      </c>
      <c r="K179" s="37" t="s">
        <v>237</v>
      </c>
      <c r="L179" s="319" t="b">
        <f>+ISNUMBER(PAGOS[[#This Row],[REG]])</f>
        <v>1</v>
      </c>
    </row>
    <row r="180" spans="1:12" x14ac:dyDescent="0.3">
      <c r="A180" s="336">
        <v>166</v>
      </c>
      <c r="B180" s="72">
        <v>16</v>
      </c>
      <c r="C180" s="78" t="s">
        <v>23</v>
      </c>
      <c r="D180" s="291">
        <v>47</v>
      </c>
      <c r="E180" s="35">
        <v>41.67</v>
      </c>
      <c r="F180" s="36">
        <v>45580</v>
      </c>
      <c r="G180" s="81">
        <v>3</v>
      </c>
      <c r="H180" s="35">
        <v>10</v>
      </c>
      <c r="I180" s="36">
        <v>45580</v>
      </c>
      <c r="J180" s="82">
        <v>3</v>
      </c>
      <c r="K180" s="37" t="s">
        <v>233</v>
      </c>
      <c r="L180" s="319" t="b">
        <f>+ISNUMBER(PAGOS[[#This Row],[REG]])</f>
        <v>1</v>
      </c>
    </row>
    <row r="181" spans="1:12" x14ac:dyDescent="0.3">
      <c r="A181" s="336">
        <v>167</v>
      </c>
      <c r="B181" s="72">
        <v>11</v>
      </c>
      <c r="C181" s="78" t="s">
        <v>19</v>
      </c>
      <c r="D181" s="291">
        <v>50</v>
      </c>
      <c r="E181" s="35">
        <v>100</v>
      </c>
      <c r="F181" s="36">
        <v>45580</v>
      </c>
      <c r="G181" s="81">
        <v>1</v>
      </c>
      <c r="H181" s="35">
        <v>8</v>
      </c>
      <c r="I181" s="36">
        <v>45580</v>
      </c>
      <c r="J181" s="82">
        <v>1</v>
      </c>
      <c r="K181" s="37" t="s">
        <v>230</v>
      </c>
      <c r="L181" s="319" t="b">
        <f>+ISNUMBER(PAGOS[[#This Row],[REG]])</f>
        <v>1</v>
      </c>
    </row>
    <row r="182" spans="1:12" x14ac:dyDescent="0.3">
      <c r="A182" s="336">
        <v>168</v>
      </c>
      <c r="B182" s="34">
        <v>9</v>
      </c>
      <c r="C182" s="78" t="s">
        <v>17</v>
      </c>
      <c r="D182" s="291">
        <v>48</v>
      </c>
      <c r="E182" s="35">
        <v>100</v>
      </c>
      <c r="F182" s="36">
        <v>45580</v>
      </c>
      <c r="G182" s="81">
        <v>2</v>
      </c>
      <c r="H182" s="35">
        <v>12</v>
      </c>
      <c r="I182" s="36">
        <v>45580</v>
      </c>
      <c r="J182" s="82">
        <v>2</v>
      </c>
      <c r="K182" s="37" t="s">
        <v>234</v>
      </c>
      <c r="L182" s="319" t="b">
        <f>+ISNUMBER(PAGOS[[#This Row],[REG]])</f>
        <v>1</v>
      </c>
    </row>
    <row r="183" spans="1:12" x14ac:dyDescent="0.3">
      <c r="A183" s="336">
        <v>169</v>
      </c>
      <c r="B183" s="34">
        <v>14</v>
      </c>
      <c r="C183" s="78" t="s">
        <v>21</v>
      </c>
      <c r="D183" s="291">
        <v>44</v>
      </c>
      <c r="E183" s="35">
        <v>280</v>
      </c>
      <c r="F183" s="36">
        <v>45580</v>
      </c>
      <c r="G183" s="81">
        <v>4</v>
      </c>
      <c r="H183" s="35">
        <v>14</v>
      </c>
      <c r="I183" s="36">
        <v>45580</v>
      </c>
      <c r="J183" s="82">
        <v>4</v>
      </c>
      <c r="K183" s="37" t="s">
        <v>241</v>
      </c>
      <c r="L183" s="319" t="b">
        <f>+ISNUMBER(PAGOS[[#This Row],[REG]])</f>
        <v>1</v>
      </c>
    </row>
    <row r="184" spans="1:12" x14ac:dyDescent="0.3">
      <c r="A184" s="340" t="s">
        <v>272</v>
      </c>
      <c r="B184" s="72">
        <v>1</v>
      </c>
      <c r="C184" s="78" t="s">
        <v>14</v>
      </c>
      <c r="D184" s="291" t="s">
        <v>356</v>
      </c>
      <c r="E184" s="35">
        <v>13.35</v>
      </c>
      <c r="F184" s="36">
        <v>45580</v>
      </c>
      <c r="G184" s="81" t="s">
        <v>356</v>
      </c>
      <c r="H184" s="35">
        <v>0</v>
      </c>
      <c r="I184" s="36">
        <v>45580</v>
      </c>
      <c r="J184" s="82" t="s">
        <v>356</v>
      </c>
      <c r="K184" s="37" t="s">
        <v>271</v>
      </c>
      <c r="L184" s="319" t="b">
        <f>+ISNUMBER(PAGOS[[#This Row],[REG]])</f>
        <v>0</v>
      </c>
    </row>
    <row r="185" spans="1:12" x14ac:dyDescent="0.3">
      <c r="A185" s="340" t="s">
        <v>273</v>
      </c>
      <c r="B185" s="34">
        <v>1</v>
      </c>
      <c r="C185" s="78" t="s">
        <v>408</v>
      </c>
      <c r="D185" s="291" t="s">
        <v>356</v>
      </c>
      <c r="E185" s="35">
        <v>13.35</v>
      </c>
      <c r="F185" s="36">
        <v>45580</v>
      </c>
      <c r="G185" s="81" t="s">
        <v>356</v>
      </c>
      <c r="H185" s="35">
        <v>0</v>
      </c>
      <c r="I185" s="36">
        <v>45580</v>
      </c>
      <c r="J185" s="82" t="s">
        <v>356</v>
      </c>
      <c r="K185" s="37" t="s">
        <v>271</v>
      </c>
      <c r="L185" s="319" t="b">
        <f>+ISNUMBER(PAGOS[[#This Row],[REG]])</f>
        <v>0</v>
      </c>
    </row>
    <row r="186" spans="1:12" x14ac:dyDescent="0.3">
      <c r="A186" s="336">
        <v>170</v>
      </c>
      <c r="B186" s="72">
        <v>12</v>
      </c>
      <c r="C186" s="78" t="s">
        <v>20</v>
      </c>
      <c r="D186" s="291">
        <v>42</v>
      </c>
      <c r="E186" s="35">
        <v>85.71</v>
      </c>
      <c r="F186" s="36">
        <v>45611</v>
      </c>
      <c r="G186" s="81">
        <v>7</v>
      </c>
      <c r="H186" s="35">
        <v>0</v>
      </c>
      <c r="I186" s="36">
        <v>45611</v>
      </c>
      <c r="J186" s="82">
        <v>7</v>
      </c>
      <c r="K186" s="37" t="s">
        <v>474</v>
      </c>
      <c r="L186" s="319" t="b">
        <f>+ISNUMBER(PAGOS[[#This Row],[REG]])</f>
        <v>1</v>
      </c>
    </row>
    <row r="187" spans="1:12" x14ac:dyDescent="0.3">
      <c r="A187" s="341" t="s">
        <v>268</v>
      </c>
      <c r="B187" s="72">
        <v>12</v>
      </c>
      <c r="C187" s="78" t="s">
        <v>20</v>
      </c>
      <c r="D187" s="291">
        <v>42</v>
      </c>
      <c r="E187" s="35">
        <v>0</v>
      </c>
      <c r="F187" s="36">
        <v>45611</v>
      </c>
      <c r="G187" s="81">
        <v>7</v>
      </c>
      <c r="H187" s="35">
        <v>12</v>
      </c>
      <c r="I187" s="36">
        <v>45611</v>
      </c>
      <c r="J187" s="82">
        <v>7</v>
      </c>
      <c r="K187" s="37" t="s">
        <v>269</v>
      </c>
      <c r="L187" s="319" t="b">
        <f>+ISNUMBER(PAGOS[[#This Row],[REG]])</f>
        <v>0</v>
      </c>
    </row>
    <row r="188" spans="1:12" x14ac:dyDescent="0.3">
      <c r="A188" s="336">
        <v>171</v>
      </c>
      <c r="B188" s="72">
        <v>15</v>
      </c>
      <c r="C188" s="78" t="s">
        <v>22</v>
      </c>
      <c r="D188" s="291">
        <v>38</v>
      </c>
      <c r="E188" s="35">
        <v>50</v>
      </c>
      <c r="F188" s="36">
        <v>45611</v>
      </c>
      <c r="G188" s="81">
        <v>8</v>
      </c>
      <c r="H188" s="35">
        <v>12</v>
      </c>
      <c r="I188" s="36">
        <v>45611</v>
      </c>
      <c r="J188" s="82">
        <v>8</v>
      </c>
      <c r="K188" s="37" t="s">
        <v>262</v>
      </c>
      <c r="L188" s="319" t="b">
        <f>+ISNUMBER(PAGOS[[#This Row],[REG]])</f>
        <v>1</v>
      </c>
    </row>
    <row r="189" spans="1:12" x14ac:dyDescent="0.3">
      <c r="A189" s="336">
        <v>172</v>
      </c>
      <c r="B189" s="72">
        <v>12</v>
      </c>
      <c r="C189" s="78" t="s">
        <v>20</v>
      </c>
      <c r="D189" s="291">
        <v>42</v>
      </c>
      <c r="E189" s="35">
        <v>85.71</v>
      </c>
      <c r="F189" s="36">
        <v>45611</v>
      </c>
      <c r="G189" s="81">
        <v>6</v>
      </c>
      <c r="H189" s="35">
        <v>12</v>
      </c>
      <c r="I189" s="36">
        <v>45611</v>
      </c>
      <c r="J189" s="82">
        <v>6</v>
      </c>
      <c r="K189" s="37" t="s">
        <v>231</v>
      </c>
      <c r="L189" s="319" t="b">
        <f>+ISNUMBER(PAGOS[[#This Row],[REG]])</f>
        <v>1</v>
      </c>
    </row>
    <row r="190" spans="1:12" x14ac:dyDescent="0.3">
      <c r="A190" s="336">
        <v>173</v>
      </c>
      <c r="B190" s="34">
        <v>16</v>
      </c>
      <c r="C190" s="78" t="s">
        <v>23</v>
      </c>
      <c r="D190" s="291">
        <v>47</v>
      </c>
      <c r="E190" s="35">
        <v>41.67</v>
      </c>
      <c r="F190" s="36">
        <v>45611</v>
      </c>
      <c r="G190" s="81">
        <v>4</v>
      </c>
      <c r="H190" s="35">
        <v>10</v>
      </c>
      <c r="I190" s="36">
        <v>45611</v>
      </c>
      <c r="J190" s="82">
        <v>4</v>
      </c>
      <c r="K190" s="37" t="s">
        <v>232</v>
      </c>
      <c r="L190" s="319" t="b">
        <f>+ISNUMBER(PAGOS[[#This Row],[REG]])</f>
        <v>1</v>
      </c>
    </row>
    <row r="191" spans="1:12" x14ac:dyDescent="0.3">
      <c r="A191" s="336">
        <v>174</v>
      </c>
      <c r="B191" s="34">
        <v>4</v>
      </c>
      <c r="C191" s="78" t="s">
        <v>12</v>
      </c>
      <c r="D191" s="291">
        <v>49</v>
      </c>
      <c r="E191" s="35">
        <v>50</v>
      </c>
      <c r="F191" s="36">
        <v>45611</v>
      </c>
      <c r="G191" s="81">
        <v>3</v>
      </c>
      <c r="H191" s="35">
        <v>6</v>
      </c>
      <c r="I191" s="36">
        <v>45611</v>
      </c>
      <c r="J191" s="82">
        <v>3</v>
      </c>
      <c r="K191" s="37" t="s">
        <v>233</v>
      </c>
      <c r="L191" s="319" t="b">
        <f>+ISNUMBER(PAGOS[[#This Row],[REG]])</f>
        <v>1</v>
      </c>
    </row>
    <row r="192" spans="1:12" x14ac:dyDescent="0.3">
      <c r="A192" s="336">
        <v>175</v>
      </c>
      <c r="B192" s="34">
        <v>11</v>
      </c>
      <c r="C192" s="78" t="s">
        <v>19</v>
      </c>
      <c r="D192" s="291">
        <v>50</v>
      </c>
      <c r="E192" s="35">
        <v>100</v>
      </c>
      <c r="F192" s="36">
        <v>45611</v>
      </c>
      <c r="G192" s="81">
        <v>2</v>
      </c>
      <c r="H192" s="35">
        <v>8</v>
      </c>
      <c r="I192" s="36">
        <v>45611</v>
      </c>
      <c r="J192" s="82">
        <v>50</v>
      </c>
      <c r="K192" s="37" t="s">
        <v>234</v>
      </c>
      <c r="L192" s="319" t="b">
        <f>+ISNUMBER(PAGOS[[#This Row],[REG]])</f>
        <v>1</v>
      </c>
    </row>
    <row r="193" spans="1:12" x14ac:dyDescent="0.3">
      <c r="A193" s="336">
        <v>176</v>
      </c>
      <c r="B193" s="72">
        <v>7</v>
      </c>
      <c r="C193" s="78" t="s">
        <v>15</v>
      </c>
      <c r="D193" s="291">
        <v>51</v>
      </c>
      <c r="E193" s="35">
        <v>62.5</v>
      </c>
      <c r="F193" s="36">
        <v>45611</v>
      </c>
      <c r="G193" s="81">
        <v>1</v>
      </c>
      <c r="H193" s="35">
        <v>5</v>
      </c>
      <c r="I193" s="36">
        <v>45611</v>
      </c>
      <c r="J193" s="82">
        <v>1</v>
      </c>
      <c r="K193" s="37" t="s">
        <v>230</v>
      </c>
      <c r="L193" s="319" t="b">
        <f>+ISNUMBER(PAGOS[[#This Row],[REG]])</f>
        <v>1</v>
      </c>
    </row>
    <row r="194" spans="1:12" x14ac:dyDescent="0.3">
      <c r="A194" s="336">
        <v>177</v>
      </c>
      <c r="B194" s="34">
        <v>8</v>
      </c>
      <c r="C194" s="78" t="s">
        <v>16</v>
      </c>
      <c r="D194" s="291">
        <v>52</v>
      </c>
      <c r="E194" s="35">
        <v>62.5</v>
      </c>
      <c r="F194" s="36">
        <v>45611</v>
      </c>
      <c r="G194" s="81">
        <v>1</v>
      </c>
      <c r="H194" s="35">
        <v>5</v>
      </c>
      <c r="I194" s="36">
        <v>45611</v>
      </c>
      <c r="J194" s="82">
        <v>1</v>
      </c>
      <c r="K194" s="37" t="s">
        <v>230</v>
      </c>
      <c r="L194" s="319" t="b">
        <f>+ISNUMBER(PAGOS[[#This Row],[REG]])</f>
        <v>1</v>
      </c>
    </row>
    <row r="195" spans="1:12" x14ac:dyDescent="0.3">
      <c r="A195" s="336">
        <v>178</v>
      </c>
      <c r="B195" s="72">
        <v>14</v>
      </c>
      <c r="C195" s="78" t="s">
        <v>21</v>
      </c>
      <c r="D195" s="291">
        <v>53</v>
      </c>
      <c r="E195" s="35">
        <v>125</v>
      </c>
      <c r="F195" s="36">
        <v>45611</v>
      </c>
      <c r="G195" s="81">
        <v>1</v>
      </c>
      <c r="H195" s="35">
        <v>10</v>
      </c>
      <c r="I195" s="36">
        <v>45611</v>
      </c>
      <c r="J195" s="82">
        <v>1</v>
      </c>
      <c r="K195" s="37" t="s">
        <v>230</v>
      </c>
      <c r="L195" s="319" t="b">
        <f>+ISNUMBER(PAGOS[[#This Row],[REG]])</f>
        <v>1</v>
      </c>
    </row>
    <row r="196" spans="1:12" x14ac:dyDescent="0.3">
      <c r="A196" s="336">
        <v>179</v>
      </c>
      <c r="B196" s="72">
        <v>5</v>
      </c>
      <c r="C196" s="78" t="s">
        <v>14</v>
      </c>
      <c r="D196" s="291">
        <v>37</v>
      </c>
      <c r="E196" s="35">
        <v>100</v>
      </c>
      <c r="F196" s="36">
        <v>45611</v>
      </c>
      <c r="G196" s="81">
        <v>8</v>
      </c>
      <c r="H196" s="35">
        <v>20</v>
      </c>
      <c r="I196" s="36">
        <v>45611</v>
      </c>
      <c r="J196" s="82">
        <v>8</v>
      </c>
      <c r="K196" s="37" t="s">
        <v>263</v>
      </c>
      <c r="L196" s="319" t="b">
        <f>+ISNUMBER(PAGOS[[#This Row],[REG]])</f>
        <v>1</v>
      </c>
    </row>
    <row r="197" spans="1:12" x14ac:dyDescent="0.3">
      <c r="A197" s="336">
        <v>180</v>
      </c>
      <c r="B197" s="72">
        <v>6</v>
      </c>
      <c r="C197" s="78" t="s">
        <v>24</v>
      </c>
      <c r="D197" s="291">
        <v>46</v>
      </c>
      <c r="E197" s="35">
        <v>100</v>
      </c>
      <c r="F197" s="36">
        <v>45611</v>
      </c>
      <c r="G197" s="81">
        <v>4</v>
      </c>
      <c r="H197" s="35">
        <v>10</v>
      </c>
      <c r="I197" s="36">
        <v>45611</v>
      </c>
      <c r="J197" s="82">
        <v>4</v>
      </c>
      <c r="K197" s="37" t="s">
        <v>232</v>
      </c>
      <c r="L197" s="319" t="b">
        <f>+ISNUMBER(PAGOS[[#This Row],[REG]])</f>
        <v>1</v>
      </c>
    </row>
    <row r="198" spans="1:12" x14ac:dyDescent="0.3">
      <c r="A198" s="340" t="s">
        <v>274</v>
      </c>
      <c r="B198" s="72">
        <v>1</v>
      </c>
      <c r="C198" s="78" t="s">
        <v>13</v>
      </c>
      <c r="D198" s="286" t="s">
        <v>356</v>
      </c>
      <c r="E198" s="35">
        <v>13.35</v>
      </c>
      <c r="F198" s="36">
        <v>45611</v>
      </c>
      <c r="G198" s="81" t="s">
        <v>356</v>
      </c>
      <c r="H198" s="35">
        <v>0</v>
      </c>
      <c r="I198" s="36">
        <v>45611</v>
      </c>
      <c r="J198" s="82" t="s">
        <v>356</v>
      </c>
      <c r="K198" s="37" t="s">
        <v>271</v>
      </c>
      <c r="L198" s="319" t="b">
        <f>+ISNUMBER(PAGOS[[#This Row],[REG]])</f>
        <v>0</v>
      </c>
    </row>
    <row r="199" spans="1:12" x14ac:dyDescent="0.3">
      <c r="A199" s="340" t="s">
        <v>275</v>
      </c>
      <c r="B199" s="71">
        <v>1</v>
      </c>
      <c r="C199" s="54" t="s">
        <v>17</v>
      </c>
      <c r="D199" s="286" t="s">
        <v>356</v>
      </c>
      <c r="E199" s="35">
        <v>13.35</v>
      </c>
      <c r="F199" s="36">
        <v>45611</v>
      </c>
      <c r="G199" s="63" t="s">
        <v>356</v>
      </c>
      <c r="H199" s="35">
        <v>0</v>
      </c>
      <c r="I199" s="36">
        <v>45611</v>
      </c>
      <c r="J199" s="67" t="s">
        <v>356</v>
      </c>
      <c r="K199" s="37" t="s">
        <v>271</v>
      </c>
      <c r="L199" s="319" t="b">
        <f>+ISNUMBER(PAGOS[[#This Row],[REG]])</f>
        <v>0</v>
      </c>
    </row>
    <row r="200" spans="1:12" x14ac:dyDescent="0.3">
      <c r="A200" s="340" t="s">
        <v>276</v>
      </c>
      <c r="B200" s="71">
        <v>1</v>
      </c>
      <c r="C200" s="54" t="s">
        <v>18</v>
      </c>
      <c r="D200" s="286" t="s">
        <v>356</v>
      </c>
      <c r="E200" s="35">
        <v>13.35</v>
      </c>
      <c r="F200" s="36">
        <v>45611</v>
      </c>
      <c r="G200" s="63" t="s">
        <v>356</v>
      </c>
      <c r="H200" s="35">
        <v>0</v>
      </c>
      <c r="I200" s="36">
        <v>45611</v>
      </c>
      <c r="J200" s="67" t="s">
        <v>356</v>
      </c>
      <c r="K200" s="37" t="s">
        <v>271</v>
      </c>
      <c r="L200" s="319" t="b">
        <f>+ISNUMBER(PAGOS[[#This Row],[REG]])</f>
        <v>0</v>
      </c>
    </row>
    <row r="201" spans="1:12" x14ac:dyDescent="0.3">
      <c r="A201" s="340" t="s">
        <v>277</v>
      </c>
      <c r="B201" s="71">
        <v>1</v>
      </c>
      <c r="C201" s="54" t="s">
        <v>19</v>
      </c>
      <c r="D201" s="286" t="s">
        <v>356</v>
      </c>
      <c r="E201" s="35">
        <v>13.35</v>
      </c>
      <c r="F201" s="36">
        <v>45611</v>
      </c>
      <c r="G201" s="63" t="s">
        <v>356</v>
      </c>
      <c r="H201" s="35">
        <v>0</v>
      </c>
      <c r="I201" s="36">
        <v>45611</v>
      </c>
      <c r="J201" s="67" t="s">
        <v>356</v>
      </c>
      <c r="K201" s="37" t="s">
        <v>271</v>
      </c>
      <c r="L201" s="319" t="b">
        <f>+ISNUMBER(PAGOS[[#This Row],[REG]])</f>
        <v>0</v>
      </c>
    </row>
    <row r="202" spans="1:12" x14ac:dyDescent="0.3">
      <c r="A202" s="340" t="s">
        <v>278</v>
      </c>
      <c r="B202" s="71">
        <v>1</v>
      </c>
      <c r="C202" s="54" t="s">
        <v>20</v>
      </c>
      <c r="D202" s="286" t="s">
        <v>356</v>
      </c>
      <c r="E202" s="35">
        <v>13.35</v>
      </c>
      <c r="F202" s="36">
        <v>45611</v>
      </c>
      <c r="G202" s="63" t="s">
        <v>356</v>
      </c>
      <c r="H202" s="35">
        <v>0</v>
      </c>
      <c r="I202" s="36">
        <v>45611</v>
      </c>
      <c r="J202" s="67" t="s">
        <v>356</v>
      </c>
      <c r="K202" s="37" t="s">
        <v>271</v>
      </c>
      <c r="L202" s="319" t="b">
        <f>+ISNUMBER(PAGOS[[#This Row],[REG]])</f>
        <v>0</v>
      </c>
    </row>
    <row r="203" spans="1:12" x14ac:dyDescent="0.3">
      <c r="A203" s="340" t="s">
        <v>279</v>
      </c>
      <c r="B203" s="71">
        <v>1</v>
      </c>
      <c r="C203" s="54" t="s">
        <v>21</v>
      </c>
      <c r="D203" s="286" t="s">
        <v>356</v>
      </c>
      <c r="E203" s="35">
        <v>13.35</v>
      </c>
      <c r="F203" s="36">
        <v>45611</v>
      </c>
      <c r="G203" s="63" t="s">
        <v>356</v>
      </c>
      <c r="H203" s="35">
        <v>0</v>
      </c>
      <c r="I203" s="36">
        <v>45611</v>
      </c>
      <c r="J203" s="67" t="s">
        <v>356</v>
      </c>
      <c r="K203" s="37" t="s">
        <v>271</v>
      </c>
      <c r="L203" s="319" t="b">
        <f>+ISNUMBER(PAGOS[[#This Row],[REG]])</f>
        <v>0</v>
      </c>
    </row>
    <row r="204" spans="1:12" x14ac:dyDescent="0.3">
      <c r="A204" s="340" t="s">
        <v>280</v>
      </c>
      <c r="B204" s="71">
        <v>1</v>
      </c>
      <c r="C204" s="54" t="s">
        <v>22</v>
      </c>
      <c r="D204" s="286" t="s">
        <v>356</v>
      </c>
      <c r="E204" s="35">
        <v>13.35</v>
      </c>
      <c r="F204" s="36">
        <v>45611</v>
      </c>
      <c r="G204" s="63" t="s">
        <v>356</v>
      </c>
      <c r="H204" s="35">
        <v>0</v>
      </c>
      <c r="I204" s="36">
        <v>45611</v>
      </c>
      <c r="J204" s="67" t="s">
        <v>356</v>
      </c>
      <c r="K204" s="37" t="s">
        <v>271</v>
      </c>
      <c r="L204" s="319" t="b">
        <f>+ISNUMBER(PAGOS[[#This Row],[REG]])</f>
        <v>0</v>
      </c>
    </row>
    <row r="205" spans="1:12" x14ac:dyDescent="0.3">
      <c r="A205" s="340" t="s">
        <v>281</v>
      </c>
      <c r="B205" s="71">
        <v>1</v>
      </c>
      <c r="C205" s="54" t="s">
        <v>23</v>
      </c>
      <c r="D205" s="286" t="s">
        <v>356</v>
      </c>
      <c r="E205" s="35">
        <v>13.35</v>
      </c>
      <c r="F205" s="36">
        <v>45611</v>
      </c>
      <c r="G205" s="63" t="s">
        <v>356</v>
      </c>
      <c r="H205" s="35">
        <v>0</v>
      </c>
      <c r="I205" s="36">
        <v>45611</v>
      </c>
      <c r="J205" s="67" t="s">
        <v>356</v>
      </c>
      <c r="K205" s="37" t="s">
        <v>271</v>
      </c>
      <c r="L205" s="319" t="b">
        <f>+ISNUMBER(PAGOS[[#This Row],[REG]])</f>
        <v>0</v>
      </c>
    </row>
    <row r="206" spans="1:12" x14ac:dyDescent="0.3">
      <c r="A206" s="336">
        <v>181</v>
      </c>
      <c r="B206" s="34">
        <v>9</v>
      </c>
      <c r="C206" s="78" t="s">
        <v>17</v>
      </c>
      <c r="D206" s="291">
        <v>48</v>
      </c>
      <c r="E206" s="35">
        <v>100</v>
      </c>
      <c r="F206" s="36">
        <v>45611</v>
      </c>
      <c r="G206" s="81">
        <v>3</v>
      </c>
      <c r="H206" s="35">
        <v>12</v>
      </c>
      <c r="I206" s="36">
        <v>45611</v>
      </c>
      <c r="J206" s="82">
        <v>3</v>
      </c>
      <c r="K206" s="37" t="s">
        <v>233</v>
      </c>
      <c r="L206" s="319" t="b">
        <f>+ISNUMBER(PAGOS[[#This Row],[REG]])</f>
        <v>1</v>
      </c>
    </row>
    <row r="207" spans="1:12" x14ac:dyDescent="0.3">
      <c r="A207" s="336">
        <v>182</v>
      </c>
      <c r="B207" s="34">
        <v>6</v>
      </c>
      <c r="C207" s="78" t="s">
        <v>24</v>
      </c>
      <c r="D207" s="291">
        <v>46</v>
      </c>
      <c r="E207" s="35">
        <v>100</v>
      </c>
      <c r="F207" s="36">
        <v>45641</v>
      </c>
      <c r="G207" s="81">
        <v>5</v>
      </c>
      <c r="H207" s="35">
        <v>0</v>
      </c>
      <c r="I207" s="36">
        <v>45641</v>
      </c>
      <c r="J207" s="82">
        <v>5</v>
      </c>
      <c r="K207" s="37" t="s">
        <v>287</v>
      </c>
      <c r="L207" s="319" t="b">
        <f>+ISNUMBER(PAGOS[[#This Row],[REG]])</f>
        <v>1</v>
      </c>
    </row>
    <row r="208" spans="1:12" x14ac:dyDescent="0.3">
      <c r="A208" s="341" t="s">
        <v>303</v>
      </c>
      <c r="B208" s="34">
        <v>6</v>
      </c>
      <c r="C208" s="78" t="s">
        <v>24</v>
      </c>
      <c r="D208" s="291">
        <v>46</v>
      </c>
      <c r="E208" s="35">
        <v>0</v>
      </c>
      <c r="F208" s="36">
        <v>45641</v>
      </c>
      <c r="G208" s="81">
        <v>5</v>
      </c>
      <c r="H208" s="35">
        <v>10</v>
      </c>
      <c r="I208" s="36">
        <v>45641</v>
      </c>
      <c r="J208" s="82">
        <v>5</v>
      </c>
      <c r="K208" s="37" t="s">
        <v>269</v>
      </c>
      <c r="L208" s="319" t="b">
        <f>+ISNUMBER(PAGOS[[#This Row],[REG]])</f>
        <v>0</v>
      </c>
    </row>
    <row r="209" spans="1:12" x14ac:dyDescent="0.3">
      <c r="A209" s="336">
        <v>183</v>
      </c>
      <c r="B209" s="34">
        <v>11</v>
      </c>
      <c r="C209" s="78" t="s">
        <v>19</v>
      </c>
      <c r="D209" s="291">
        <v>50</v>
      </c>
      <c r="E209" s="35">
        <v>100</v>
      </c>
      <c r="F209" s="36">
        <v>45641</v>
      </c>
      <c r="G209" s="81">
        <v>4</v>
      </c>
      <c r="H209" s="35">
        <v>0</v>
      </c>
      <c r="I209" s="36">
        <v>45641</v>
      </c>
      <c r="J209" s="82">
        <v>4</v>
      </c>
      <c r="K209" s="37" t="s">
        <v>460</v>
      </c>
      <c r="L209" s="319" t="b">
        <f>+ISNUMBER(PAGOS[[#This Row],[REG]])</f>
        <v>1</v>
      </c>
    </row>
    <row r="210" spans="1:12" x14ac:dyDescent="0.3">
      <c r="A210" s="341" t="s">
        <v>307</v>
      </c>
      <c r="B210" s="34">
        <v>11</v>
      </c>
      <c r="C210" s="78" t="s">
        <v>19</v>
      </c>
      <c r="D210" s="291">
        <v>50</v>
      </c>
      <c r="E210" s="35">
        <v>0</v>
      </c>
      <c r="F210" s="36">
        <v>45641</v>
      </c>
      <c r="G210" s="81">
        <v>4</v>
      </c>
      <c r="H210" s="35">
        <v>8</v>
      </c>
      <c r="I210" s="36">
        <v>45641</v>
      </c>
      <c r="J210" s="82">
        <v>4</v>
      </c>
      <c r="K210" s="37" t="s">
        <v>291</v>
      </c>
      <c r="L210" s="319" t="b">
        <f>+ISNUMBER(PAGOS[[#This Row],[REG]])</f>
        <v>0</v>
      </c>
    </row>
    <row r="211" spans="1:12" x14ac:dyDescent="0.3">
      <c r="A211" s="336">
        <v>184</v>
      </c>
      <c r="B211" s="34">
        <v>15</v>
      </c>
      <c r="C211" s="78" t="s">
        <v>22</v>
      </c>
      <c r="D211" s="291">
        <v>38</v>
      </c>
      <c r="E211" s="35">
        <v>50</v>
      </c>
      <c r="F211" s="36">
        <v>45641</v>
      </c>
      <c r="G211" s="81">
        <v>9</v>
      </c>
      <c r="H211" s="35">
        <v>12</v>
      </c>
      <c r="I211" s="36">
        <v>45641</v>
      </c>
      <c r="J211" s="82">
        <v>9</v>
      </c>
      <c r="K211" s="37" t="s">
        <v>282</v>
      </c>
      <c r="L211" s="319" t="b">
        <f>+ISNUMBER(PAGOS[[#This Row],[REG]])</f>
        <v>1</v>
      </c>
    </row>
    <row r="212" spans="1:12" x14ac:dyDescent="0.3">
      <c r="A212" s="336">
        <v>185</v>
      </c>
      <c r="B212" s="72">
        <v>5</v>
      </c>
      <c r="C212" s="78" t="s">
        <v>14</v>
      </c>
      <c r="D212" s="291">
        <v>37</v>
      </c>
      <c r="E212" s="35">
        <v>100</v>
      </c>
      <c r="F212" s="36">
        <v>45641</v>
      </c>
      <c r="G212" s="81">
        <v>9</v>
      </c>
      <c r="H212" s="35">
        <v>20</v>
      </c>
      <c r="I212" s="36">
        <v>45641</v>
      </c>
      <c r="J212" s="82">
        <v>9</v>
      </c>
      <c r="K212" s="37" t="s">
        <v>282</v>
      </c>
      <c r="L212" s="319" t="b">
        <f>+ISNUMBER(PAGOS[[#This Row],[REG]])</f>
        <v>1</v>
      </c>
    </row>
    <row r="213" spans="1:12" x14ac:dyDescent="0.3">
      <c r="A213" s="336">
        <v>186</v>
      </c>
      <c r="B213" s="34">
        <v>12</v>
      </c>
      <c r="C213" s="78" t="s">
        <v>20</v>
      </c>
      <c r="D213" s="291">
        <v>55</v>
      </c>
      <c r="E213" s="35">
        <v>100</v>
      </c>
      <c r="F213" s="36">
        <v>45641</v>
      </c>
      <c r="G213" s="81">
        <v>1</v>
      </c>
      <c r="H213" s="35">
        <v>20</v>
      </c>
      <c r="I213" s="36">
        <v>45641</v>
      </c>
      <c r="J213" s="82">
        <v>1</v>
      </c>
      <c r="K213" s="37" t="s">
        <v>230</v>
      </c>
      <c r="L213" s="319" t="b">
        <f>+ISNUMBER(PAGOS[[#This Row],[REG]])</f>
        <v>1</v>
      </c>
    </row>
    <row r="214" spans="1:12" x14ac:dyDescent="0.3">
      <c r="A214" s="336">
        <v>187</v>
      </c>
      <c r="B214" s="34">
        <v>16</v>
      </c>
      <c r="C214" s="78" t="s">
        <v>23</v>
      </c>
      <c r="D214" s="291">
        <v>47</v>
      </c>
      <c r="E214" s="35">
        <v>41.67</v>
      </c>
      <c r="F214" s="36">
        <v>45641</v>
      </c>
      <c r="G214" s="81">
        <v>5</v>
      </c>
      <c r="H214" s="35">
        <v>10</v>
      </c>
      <c r="I214" s="36">
        <v>45641</v>
      </c>
      <c r="J214" s="82">
        <v>5</v>
      </c>
      <c r="K214" s="37" t="s">
        <v>238</v>
      </c>
      <c r="L214" s="319" t="b">
        <f>+ISNUMBER(PAGOS[[#This Row],[REG]])</f>
        <v>1</v>
      </c>
    </row>
    <row r="215" spans="1:12" x14ac:dyDescent="0.3">
      <c r="A215" s="336">
        <v>188</v>
      </c>
      <c r="B215" s="34">
        <v>9</v>
      </c>
      <c r="C215" s="78" t="s">
        <v>17</v>
      </c>
      <c r="D215" s="291">
        <v>48</v>
      </c>
      <c r="E215" s="35">
        <v>100</v>
      </c>
      <c r="F215" s="36">
        <v>45641</v>
      </c>
      <c r="G215" s="81">
        <v>4</v>
      </c>
      <c r="H215" s="35">
        <v>12</v>
      </c>
      <c r="I215" s="36">
        <v>45641</v>
      </c>
      <c r="J215" s="82">
        <v>4</v>
      </c>
      <c r="K215" s="37" t="s">
        <v>232</v>
      </c>
      <c r="L215" s="319" t="b">
        <f>+ISNUMBER(PAGOS[[#This Row],[REG]])</f>
        <v>1</v>
      </c>
    </row>
    <row r="216" spans="1:12" x14ac:dyDescent="0.3">
      <c r="A216" s="336">
        <v>189</v>
      </c>
      <c r="B216" s="34">
        <v>4</v>
      </c>
      <c r="C216" s="78" t="s">
        <v>12</v>
      </c>
      <c r="D216" s="291">
        <v>49</v>
      </c>
      <c r="E216" s="35">
        <v>50</v>
      </c>
      <c r="F216" s="36">
        <v>45641</v>
      </c>
      <c r="G216" s="81">
        <v>4</v>
      </c>
      <c r="H216" s="35">
        <v>6</v>
      </c>
      <c r="I216" s="36">
        <v>45641</v>
      </c>
      <c r="J216" s="82">
        <v>4</v>
      </c>
      <c r="K216" s="37" t="s">
        <v>232</v>
      </c>
      <c r="L216" s="319" t="b">
        <f>+ISNUMBER(PAGOS[[#This Row],[REG]])</f>
        <v>1</v>
      </c>
    </row>
    <row r="217" spans="1:12" x14ac:dyDescent="0.3">
      <c r="A217" s="336">
        <v>190</v>
      </c>
      <c r="B217" s="34">
        <v>11</v>
      </c>
      <c r="C217" s="78" t="s">
        <v>19</v>
      </c>
      <c r="D217" s="291">
        <v>50</v>
      </c>
      <c r="E217" s="35">
        <v>100</v>
      </c>
      <c r="F217" s="36">
        <v>45641</v>
      </c>
      <c r="G217" s="81">
        <v>3</v>
      </c>
      <c r="H217" s="35">
        <v>8</v>
      </c>
      <c r="I217" s="36">
        <v>45641</v>
      </c>
      <c r="J217" s="82">
        <v>3</v>
      </c>
      <c r="K217" s="37" t="s">
        <v>233</v>
      </c>
      <c r="L217" s="319" t="b">
        <f>+ISNUMBER(PAGOS[[#This Row],[REG]])</f>
        <v>1</v>
      </c>
    </row>
    <row r="218" spans="1:12" x14ac:dyDescent="0.3">
      <c r="A218" s="336">
        <v>191</v>
      </c>
      <c r="B218" s="34">
        <v>7</v>
      </c>
      <c r="C218" s="78" t="s">
        <v>15</v>
      </c>
      <c r="D218" s="291">
        <v>51</v>
      </c>
      <c r="E218" s="35">
        <v>62.5</v>
      </c>
      <c r="F218" s="36">
        <v>45641</v>
      </c>
      <c r="G218" s="81">
        <v>2</v>
      </c>
      <c r="H218" s="35">
        <v>5</v>
      </c>
      <c r="I218" s="36">
        <v>45641</v>
      </c>
      <c r="J218" s="82">
        <v>2</v>
      </c>
      <c r="K218" s="37" t="s">
        <v>234</v>
      </c>
      <c r="L218" s="319" t="b">
        <f>+ISNUMBER(PAGOS[[#This Row],[REG]])</f>
        <v>1</v>
      </c>
    </row>
    <row r="219" spans="1:12" x14ac:dyDescent="0.3">
      <c r="A219" s="336">
        <v>192</v>
      </c>
      <c r="B219" s="34">
        <v>8</v>
      </c>
      <c r="C219" s="78" t="s">
        <v>16</v>
      </c>
      <c r="D219" s="291">
        <v>52</v>
      </c>
      <c r="E219" s="35">
        <v>62.5</v>
      </c>
      <c r="F219" s="36">
        <v>45641</v>
      </c>
      <c r="G219" s="81">
        <v>2</v>
      </c>
      <c r="H219" s="35">
        <v>5</v>
      </c>
      <c r="I219" s="36">
        <v>45641</v>
      </c>
      <c r="J219" s="82">
        <v>2</v>
      </c>
      <c r="K219" s="37" t="s">
        <v>234</v>
      </c>
      <c r="L219" s="319" t="b">
        <f>+ISNUMBER(PAGOS[[#This Row],[REG]])</f>
        <v>1</v>
      </c>
    </row>
    <row r="220" spans="1:12" x14ac:dyDescent="0.3">
      <c r="A220" s="336">
        <v>193</v>
      </c>
      <c r="B220" s="72">
        <v>14</v>
      </c>
      <c r="C220" s="78" t="s">
        <v>21</v>
      </c>
      <c r="D220" s="291">
        <v>53</v>
      </c>
      <c r="E220" s="35">
        <v>125</v>
      </c>
      <c r="F220" s="36">
        <v>45641</v>
      </c>
      <c r="G220" s="81">
        <v>2</v>
      </c>
      <c r="H220" s="35">
        <v>10</v>
      </c>
      <c r="I220" s="36">
        <v>45641</v>
      </c>
      <c r="J220" s="82">
        <v>2</v>
      </c>
      <c r="K220" s="37" t="s">
        <v>234</v>
      </c>
      <c r="L220" s="319" t="b">
        <f>+ISNUMBER(PAGOS[[#This Row],[REG]])</f>
        <v>1</v>
      </c>
    </row>
    <row r="221" spans="1:12" x14ac:dyDescent="0.3">
      <c r="A221" s="336">
        <v>194</v>
      </c>
      <c r="B221" s="34">
        <v>10</v>
      </c>
      <c r="C221" s="78" t="s">
        <v>18</v>
      </c>
      <c r="D221" s="291">
        <v>56</v>
      </c>
      <c r="E221" s="35">
        <v>40</v>
      </c>
      <c r="F221" s="36">
        <v>45641</v>
      </c>
      <c r="G221" s="81">
        <v>1</v>
      </c>
      <c r="H221" s="35">
        <v>4</v>
      </c>
      <c r="I221" s="36">
        <v>45641</v>
      </c>
      <c r="J221" s="82">
        <v>1</v>
      </c>
      <c r="K221" s="37" t="s">
        <v>230</v>
      </c>
      <c r="L221" s="319" t="b">
        <f>+ISNUMBER(PAGOS[[#This Row],[REG]])</f>
        <v>1</v>
      </c>
    </row>
    <row r="222" spans="1:12" x14ac:dyDescent="0.3">
      <c r="A222" s="340" t="s">
        <v>283</v>
      </c>
      <c r="B222" s="34">
        <v>1</v>
      </c>
      <c r="C222" s="78" t="s">
        <v>24</v>
      </c>
      <c r="D222" s="291" t="s">
        <v>356</v>
      </c>
      <c r="E222" s="35">
        <v>13.35</v>
      </c>
      <c r="F222" s="36">
        <v>45641</v>
      </c>
      <c r="G222" s="81" t="s">
        <v>356</v>
      </c>
      <c r="H222" s="35">
        <v>0</v>
      </c>
      <c r="I222" s="36">
        <v>45641</v>
      </c>
      <c r="J222" s="82" t="s">
        <v>356</v>
      </c>
      <c r="K222" s="37" t="s">
        <v>271</v>
      </c>
      <c r="L222" s="319" t="b">
        <f>+ISNUMBER(PAGOS[[#This Row],[REG]])</f>
        <v>0</v>
      </c>
    </row>
    <row r="223" spans="1:12" x14ac:dyDescent="0.3">
      <c r="A223" s="340" t="s">
        <v>284</v>
      </c>
      <c r="B223" s="34">
        <v>1</v>
      </c>
      <c r="C223" s="78" t="s">
        <v>409</v>
      </c>
      <c r="D223" s="291" t="s">
        <v>356</v>
      </c>
      <c r="E223" s="35">
        <v>13.35</v>
      </c>
      <c r="F223" s="36">
        <v>45641</v>
      </c>
      <c r="G223" s="81" t="s">
        <v>356</v>
      </c>
      <c r="H223" s="35">
        <v>0</v>
      </c>
      <c r="I223" s="36">
        <v>45641</v>
      </c>
      <c r="J223" s="82" t="s">
        <v>356</v>
      </c>
      <c r="K223" s="37" t="s">
        <v>271</v>
      </c>
      <c r="L223" s="319" t="b">
        <f>+ISNUMBER(PAGOS[[#This Row],[REG]])</f>
        <v>0</v>
      </c>
    </row>
    <row r="224" spans="1:12" x14ac:dyDescent="0.3">
      <c r="A224" s="336">
        <v>195</v>
      </c>
      <c r="B224" s="34">
        <v>3</v>
      </c>
      <c r="C224" s="78" t="s">
        <v>13</v>
      </c>
      <c r="D224" s="291">
        <v>54</v>
      </c>
      <c r="E224" s="35">
        <v>166.67</v>
      </c>
      <c r="F224" s="36">
        <v>45641</v>
      </c>
      <c r="G224" s="81">
        <v>1</v>
      </c>
      <c r="H224" s="35">
        <v>10</v>
      </c>
      <c r="I224" s="36">
        <v>45641</v>
      </c>
      <c r="J224" s="82">
        <v>1</v>
      </c>
      <c r="K224" s="37" t="s">
        <v>230</v>
      </c>
      <c r="L224" s="319" t="b">
        <f>+ISNUMBER(PAGOS[[#This Row],[REG]])</f>
        <v>1</v>
      </c>
    </row>
    <row r="225" spans="1:12" x14ac:dyDescent="0.3">
      <c r="A225" s="336">
        <v>196</v>
      </c>
      <c r="B225" s="34">
        <v>10</v>
      </c>
      <c r="C225" s="78" t="s">
        <v>18</v>
      </c>
      <c r="D225" s="291">
        <v>56</v>
      </c>
      <c r="E225" s="35">
        <v>40</v>
      </c>
      <c r="F225" s="332">
        <v>45672</v>
      </c>
      <c r="G225" s="81">
        <v>2</v>
      </c>
      <c r="H225" s="35">
        <v>0</v>
      </c>
      <c r="I225" s="332">
        <v>45672</v>
      </c>
      <c r="J225" s="333">
        <v>2</v>
      </c>
      <c r="K225" s="37" t="s">
        <v>461</v>
      </c>
      <c r="L225" s="331" t="b">
        <f>+ISNUMBER(PAGOS[[#This Row],[REG]])</f>
        <v>1</v>
      </c>
    </row>
    <row r="226" spans="1:12" x14ac:dyDescent="0.3">
      <c r="A226" s="343" t="s">
        <v>288</v>
      </c>
      <c r="B226" s="34">
        <v>10</v>
      </c>
      <c r="C226" s="78" t="s">
        <v>18</v>
      </c>
      <c r="D226" s="291">
        <v>56</v>
      </c>
      <c r="E226" s="35">
        <v>0</v>
      </c>
      <c r="F226" s="332">
        <v>45672</v>
      </c>
      <c r="G226" s="81">
        <v>2</v>
      </c>
      <c r="H226" s="35">
        <v>4</v>
      </c>
      <c r="I226" s="332">
        <v>45672</v>
      </c>
      <c r="J226" s="333">
        <v>2</v>
      </c>
      <c r="K226" s="37" t="s">
        <v>462</v>
      </c>
      <c r="L226" s="331" t="b">
        <f>+ISNUMBER(PAGOS[[#This Row],[REG]])</f>
        <v>0</v>
      </c>
    </row>
    <row r="227" spans="1:12" x14ac:dyDescent="0.3">
      <c r="A227" s="336">
        <v>197</v>
      </c>
      <c r="B227" s="34">
        <v>9</v>
      </c>
      <c r="C227" s="78" t="s">
        <v>17</v>
      </c>
      <c r="D227" s="291">
        <v>48</v>
      </c>
      <c r="E227" s="35">
        <v>100</v>
      </c>
      <c r="F227" s="332">
        <v>45672</v>
      </c>
      <c r="G227" s="81">
        <v>5</v>
      </c>
      <c r="H227" s="35">
        <v>0</v>
      </c>
      <c r="I227" s="332">
        <v>45672</v>
      </c>
      <c r="J227" s="333">
        <v>5</v>
      </c>
      <c r="K227" s="37" t="s">
        <v>335</v>
      </c>
      <c r="L227" s="331" t="b">
        <f>+ISNUMBER(PAGOS[[#This Row],[REG]])</f>
        <v>1</v>
      </c>
    </row>
    <row r="228" spans="1:12" x14ac:dyDescent="0.3">
      <c r="A228" s="341" t="s">
        <v>400</v>
      </c>
      <c r="B228" s="34">
        <v>9</v>
      </c>
      <c r="C228" s="78" t="s">
        <v>17</v>
      </c>
      <c r="D228" s="291">
        <v>48</v>
      </c>
      <c r="E228" s="35">
        <v>0</v>
      </c>
      <c r="F228" s="332">
        <v>45672</v>
      </c>
      <c r="G228" s="81">
        <v>5</v>
      </c>
      <c r="H228" s="35">
        <v>12</v>
      </c>
      <c r="I228" s="332">
        <v>45672</v>
      </c>
      <c r="J228" s="333">
        <v>5</v>
      </c>
      <c r="K228" s="37" t="s">
        <v>463</v>
      </c>
      <c r="L228" s="331" t="b">
        <f>+ISNUMBER(PAGOS[[#This Row],[REG]])</f>
        <v>0</v>
      </c>
    </row>
    <row r="229" spans="1:12" x14ac:dyDescent="0.3">
      <c r="A229" s="336">
        <v>198</v>
      </c>
      <c r="B229" s="72">
        <v>9</v>
      </c>
      <c r="C229" s="78" t="s">
        <v>17</v>
      </c>
      <c r="D229" s="291">
        <v>48</v>
      </c>
      <c r="E229" s="35">
        <v>100</v>
      </c>
      <c r="F229" s="36">
        <v>45672</v>
      </c>
      <c r="G229" s="81">
        <v>6</v>
      </c>
      <c r="H229" s="35">
        <v>0</v>
      </c>
      <c r="I229" s="36">
        <v>45672</v>
      </c>
      <c r="J229" s="82">
        <v>6</v>
      </c>
      <c r="K229" s="37" t="s">
        <v>475</v>
      </c>
      <c r="L229" s="319" t="b">
        <f>+ISNUMBER(PAGOS[[#This Row],[REG]])</f>
        <v>1</v>
      </c>
    </row>
    <row r="230" spans="1:12" x14ac:dyDescent="0.3">
      <c r="A230" s="341" t="s">
        <v>337</v>
      </c>
      <c r="B230" s="34">
        <v>9</v>
      </c>
      <c r="C230" s="78" t="s">
        <v>17</v>
      </c>
      <c r="D230" s="291">
        <v>48</v>
      </c>
      <c r="E230" s="35">
        <v>0</v>
      </c>
      <c r="F230" s="36">
        <v>45672</v>
      </c>
      <c r="G230" s="81">
        <v>6</v>
      </c>
      <c r="H230" s="35">
        <v>12</v>
      </c>
      <c r="I230" s="36">
        <v>45672</v>
      </c>
      <c r="J230" s="82">
        <v>6</v>
      </c>
      <c r="K230" s="37" t="s">
        <v>476</v>
      </c>
      <c r="L230" s="319" t="b">
        <f>+ISNUMBER(PAGOS[[#This Row],[REG]])</f>
        <v>0</v>
      </c>
    </row>
    <row r="231" spans="1:12" x14ac:dyDescent="0.3">
      <c r="A231" s="336">
        <v>199</v>
      </c>
      <c r="B231" s="34">
        <v>3</v>
      </c>
      <c r="C231" s="78" t="s">
        <v>13</v>
      </c>
      <c r="D231" s="291">
        <v>54</v>
      </c>
      <c r="E231" s="35">
        <v>22.1</v>
      </c>
      <c r="F231" s="36">
        <v>45672</v>
      </c>
      <c r="G231" s="81">
        <v>2</v>
      </c>
      <c r="H231" s="35">
        <v>0</v>
      </c>
      <c r="I231" s="36">
        <v>45672</v>
      </c>
      <c r="J231" s="82">
        <v>2</v>
      </c>
      <c r="K231" s="37" t="s">
        <v>477</v>
      </c>
      <c r="L231" s="319" t="b">
        <f>+ISNUMBER(PAGOS[[#This Row],[REG]])</f>
        <v>1</v>
      </c>
    </row>
    <row r="232" spans="1:12" x14ac:dyDescent="0.3">
      <c r="A232" s="336">
        <v>200</v>
      </c>
      <c r="B232" s="34">
        <v>14</v>
      </c>
      <c r="C232" s="78" t="s">
        <v>21</v>
      </c>
      <c r="D232" s="291">
        <v>53</v>
      </c>
      <c r="E232" s="35">
        <v>125</v>
      </c>
      <c r="F232" s="36">
        <v>45672</v>
      </c>
      <c r="G232" s="81">
        <v>4</v>
      </c>
      <c r="H232" s="35">
        <v>0</v>
      </c>
      <c r="I232" s="36">
        <v>45672</v>
      </c>
      <c r="J232" s="82">
        <v>4</v>
      </c>
      <c r="K232" s="37" t="s">
        <v>478</v>
      </c>
      <c r="L232" s="319" t="b">
        <f>+ISNUMBER(PAGOS[[#This Row],[REG]])</f>
        <v>1</v>
      </c>
    </row>
    <row r="233" spans="1:12" x14ac:dyDescent="0.3">
      <c r="A233" s="341" t="s">
        <v>353</v>
      </c>
      <c r="B233" s="34">
        <v>14</v>
      </c>
      <c r="C233" s="78" t="s">
        <v>21</v>
      </c>
      <c r="D233" s="291">
        <v>53</v>
      </c>
      <c r="E233" s="35">
        <v>0</v>
      </c>
      <c r="F233" s="36">
        <v>45672</v>
      </c>
      <c r="G233" s="81">
        <v>4</v>
      </c>
      <c r="H233" s="35">
        <v>10</v>
      </c>
      <c r="I233" s="36">
        <v>45672</v>
      </c>
      <c r="J233" s="82">
        <v>4</v>
      </c>
      <c r="K233" s="37" t="s">
        <v>476</v>
      </c>
      <c r="L233" s="319" t="b">
        <f>+ISNUMBER(PAGOS[[#This Row],[REG]])</f>
        <v>0</v>
      </c>
    </row>
    <row r="234" spans="1:12" x14ac:dyDescent="0.3">
      <c r="A234" s="336">
        <v>201</v>
      </c>
      <c r="B234" s="34">
        <v>15</v>
      </c>
      <c r="C234" s="78" t="s">
        <v>22</v>
      </c>
      <c r="D234" s="291">
        <v>38</v>
      </c>
      <c r="E234" s="35">
        <v>50</v>
      </c>
      <c r="F234" s="36">
        <v>45672</v>
      </c>
      <c r="G234" s="81">
        <v>10</v>
      </c>
      <c r="H234" s="35">
        <v>12</v>
      </c>
      <c r="I234" s="36">
        <v>45672</v>
      </c>
      <c r="J234" s="82">
        <v>10</v>
      </c>
      <c r="K234" s="37" t="s">
        <v>402</v>
      </c>
      <c r="L234" s="319" t="b">
        <f>+ISNUMBER(PAGOS[[#This Row],[REG]])</f>
        <v>1</v>
      </c>
    </row>
    <row r="235" spans="1:12" x14ac:dyDescent="0.3">
      <c r="A235" s="336">
        <v>202</v>
      </c>
      <c r="B235" s="34">
        <v>16</v>
      </c>
      <c r="C235" s="78" t="s">
        <v>23</v>
      </c>
      <c r="D235" s="291">
        <v>47</v>
      </c>
      <c r="E235" s="35">
        <v>41.67</v>
      </c>
      <c r="F235" s="36">
        <v>45672</v>
      </c>
      <c r="G235" s="81">
        <v>6</v>
      </c>
      <c r="H235" s="35">
        <v>10</v>
      </c>
      <c r="I235" s="36">
        <v>45672</v>
      </c>
      <c r="J235" s="82">
        <v>6</v>
      </c>
      <c r="K235" s="37" t="s">
        <v>204</v>
      </c>
      <c r="L235" s="319" t="b">
        <f>+ISNUMBER(PAGOS[[#This Row],[REG]])</f>
        <v>1</v>
      </c>
    </row>
    <row r="236" spans="1:12" x14ac:dyDescent="0.3">
      <c r="A236" s="336">
        <v>203</v>
      </c>
      <c r="B236" s="34">
        <v>4</v>
      </c>
      <c r="C236" s="78" t="s">
        <v>12</v>
      </c>
      <c r="D236" s="291">
        <v>49</v>
      </c>
      <c r="E236" s="35">
        <v>50</v>
      </c>
      <c r="F236" s="36">
        <v>45672</v>
      </c>
      <c r="G236" s="81">
        <v>5</v>
      </c>
      <c r="H236" s="35">
        <v>6</v>
      </c>
      <c r="I236" s="36">
        <v>45672</v>
      </c>
      <c r="J236" s="82">
        <v>5</v>
      </c>
      <c r="K236" s="37" t="s">
        <v>193</v>
      </c>
      <c r="L236" s="319" t="b">
        <f>+ISNUMBER(PAGOS[[#This Row],[REG]])</f>
        <v>1</v>
      </c>
    </row>
    <row r="237" spans="1:12" x14ac:dyDescent="0.3">
      <c r="A237" s="336">
        <v>204</v>
      </c>
      <c r="B237" s="34">
        <v>7</v>
      </c>
      <c r="C237" s="78" t="s">
        <v>15</v>
      </c>
      <c r="D237" s="291">
        <v>51</v>
      </c>
      <c r="E237" s="35">
        <v>62.5</v>
      </c>
      <c r="F237" s="36">
        <v>45672</v>
      </c>
      <c r="G237" s="81">
        <v>3</v>
      </c>
      <c r="H237" s="35">
        <v>5</v>
      </c>
      <c r="I237" s="36">
        <v>45672</v>
      </c>
      <c r="J237" s="82">
        <v>3</v>
      </c>
      <c r="K237" s="37" t="s">
        <v>299</v>
      </c>
      <c r="L237" s="319" t="b">
        <f>+ISNUMBER(PAGOS[[#This Row],[REG]])</f>
        <v>1</v>
      </c>
    </row>
    <row r="238" spans="1:12" x14ac:dyDescent="0.3">
      <c r="A238" s="336">
        <v>205</v>
      </c>
      <c r="B238" s="34">
        <v>8</v>
      </c>
      <c r="C238" s="78" t="s">
        <v>16</v>
      </c>
      <c r="D238" s="291">
        <v>52</v>
      </c>
      <c r="E238" s="35">
        <v>62.5</v>
      </c>
      <c r="F238" s="36">
        <v>45672</v>
      </c>
      <c r="G238" s="81">
        <v>3</v>
      </c>
      <c r="H238" s="35">
        <v>5</v>
      </c>
      <c r="I238" s="36">
        <v>45672</v>
      </c>
      <c r="J238" s="82">
        <v>3</v>
      </c>
      <c r="K238" s="37" t="s">
        <v>80</v>
      </c>
      <c r="L238" s="319" t="b">
        <f>+ISNUMBER(PAGOS[[#This Row],[REG]])</f>
        <v>1</v>
      </c>
    </row>
    <row r="239" spans="1:12" x14ac:dyDescent="0.3">
      <c r="A239" s="336">
        <v>206</v>
      </c>
      <c r="B239" s="34">
        <v>14</v>
      </c>
      <c r="C239" s="78" t="s">
        <v>21</v>
      </c>
      <c r="D239" s="291">
        <v>53</v>
      </c>
      <c r="E239" s="35">
        <v>125</v>
      </c>
      <c r="F239" s="36">
        <v>45672</v>
      </c>
      <c r="G239" s="81">
        <v>3</v>
      </c>
      <c r="H239" s="35">
        <v>10</v>
      </c>
      <c r="I239" s="36">
        <v>45672</v>
      </c>
      <c r="J239" s="82">
        <v>3</v>
      </c>
      <c r="K239" s="37" t="s">
        <v>80</v>
      </c>
      <c r="L239" s="319" t="b">
        <f>+ISNUMBER(PAGOS[[#This Row],[REG]])</f>
        <v>1</v>
      </c>
    </row>
    <row r="240" spans="1:12" x14ac:dyDescent="0.3">
      <c r="A240" s="336">
        <v>207</v>
      </c>
      <c r="B240" s="34">
        <v>12</v>
      </c>
      <c r="C240" s="78" t="s">
        <v>20</v>
      </c>
      <c r="D240" s="291">
        <v>55</v>
      </c>
      <c r="E240" s="35">
        <v>100</v>
      </c>
      <c r="F240" s="36">
        <v>45672</v>
      </c>
      <c r="G240" s="81">
        <v>2</v>
      </c>
      <c r="H240" s="35">
        <v>20</v>
      </c>
      <c r="I240" s="36">
        <v>45672</v>
      </c>
      <c r="J240" s="82">
        <v>2</v>
      </c>
      <c r="K240" s="37" t="s">
        <v>300</v>
      </c>
      <c r="L240" s="319" t="b">
        <f>+ISNUMBER(PAGOS[[#This Row],[REG]])</f>
        <v>1</v>
      </c>
    </row>
    <row r="241" spans="1:12" x14ac:dyDescent="0.3">
      <c r="A241" s="336">
        <v>208</v>
      </c>
      <c r="B241" s="72">
        <v>6</v>
      </c>
      <c r="C241" s="78" t="s">
        <v>24</v>
      </c>
      <c r="D241" s="291">
        <v>57</v>
      </c>
      <c r="E241" s="35">
        <v>100</v>
      </c>
      <c r="F241" s="36">
        <v>45672</v>
      </c>
      <c r="G241" s="81">
        <v>1</v>
      </c>
      <c r="H241" s="35">
        <v>20</v>
      </c>
      <c r="I241" s="36">
        <v>45672</v>
      </c>
      <c r="J241" s="82">
        <v>1</v>
      </c>
      <c r="K241" s="37" t="s">
        <v>230</v>
      </c>
      <c r="L241" s="319" t="b">
        <f>+ISNUMBER(PAGOS[[#This Row],[REG]])</f>
        <v>1</v>
      </c>
    </row>
    <row r="242" spans="1:12" x14ac:dyDescent="0.3">
      <c r="A242" s="336">
        <v>209</v>
      </c>
      <c r="B242" s="72">
        <v>11</v>
      </c>
      <c r="C242" s="78" t="s">
        <v>19</v>
      </c>
      <c r="D242" s="291">
        <v>58</v>
      </c>
      <c r="E242" s="35">
        <v>100</v>
      </c>
      <c r="F242" s="36">
        <v>45672</v>
      </c>
      <c r="G242" s="81">
        <v>1</v>
      </c>
      <c r="H242" s="35">
        <v>10</v>
      </c>
      <c r="I242" s="36">
        <v>45672</v>
      </c>
      <c r="J242" s="82">
        <v>1</v>
      </c>
      <c r="K242" s="37" t="s">
        <v>301</v>
      </c>
      <c r="L242" s="319" t="b">
        <f>+ISNUMBER(PAGOS[[#This Row],[REG]])</f>
        <v>1</v>
      </c>
    </row>
    <row r="243" spans="1:12" x14ac:dyDescent="0.3">
      <c r="A243" s="336">
        <v>210</v>
      </c>
      <c r="B243" s="34">
        <v>5</v>
      </c>
      <c r="C243" s="78" t="s">
        <v>14</v>
      </c>
      <c r="D243" s="291">
        <v>37</v>
      </c>
      <c r="E243" s="35">
        <v>100</v>
      </c>
      <c r="F243" s="36">
        <v>45672</v>
      </c>
      <c r="G243" s="81">
        <v>10</v>
      </c>
      <c r="H243" s="35">
        <v>20</v>
      </c>
      <c r="I243" s="36">
        <v>45672</v>
      </c>
      <c r="J243" s="82">
        <v>10</v>
      </c>
      <c r="K243" s="37" t="s">
        <v>302</v>
      </c>
      <c r="L243" s="319" t="b">
        <f>+ISNUMBER(PAGOS[[#This Row],[REG]])</f>
        <v>1</v>
      </c>
    </row>
    <row r="244" spans="1:12" x14ac:dyDescent="0.3">
      <c r="A244" s="336">
        <v>211</v>
      </c>
      <c r="B244" s="34">
        <v>3</v>
      </c>
      <c r="C244" s="78" t="s">
        <v>13</v>
      </c>
      <c r="D244" s="291">
        <v>54</v>
      </c>
      <c r="E244" s="35">
        <v>144.57</v>
      </c>
      <c r="F244" s="36">
        <v>45672</v>
      </c>
      <c r="G244" s="81">
        <v>2</v>
      </c>
      <c r="H244" s="35">
        <v>10</v>
      </c>
      <c r="I244" s="36">
        <v>45672</v>
      </c>
      <c r="J244" s="82">
        <v>2</v>
      </c>
      <c r="K244" s="37" t="s">
        <v>304</v>
      </c>
      <c r="L244" s="319" t="b">
        <f>+ISNUMBER(PAGOS[[#This Row],[REG]])</f>
        <v>1</v>
      </c>
    </row>
    <row r="245" spans="1:12" x14ac:dyDescent="0.3">
      <c r="A245" s="335">
        <v>212</v>
      </c>
      <c r="B245" s="34">
        <v>16</v>
      </c>
      <c r="C245" s="54" t="s">
        <v>23</v>
      </c>
      <c r="D245" s="286">
        <v>59</v>
      </c>
      <c r="E245" s="33">
        <v>80</v>
      </c>
      <c r="F245" s="55">
        <v>45672</v>
      </c>
      <c r="G245" s="63">
        <v>1</v>
      </c>
      <c r="H245" s="33">
        <v>1.6</v>
      </c>
      <c r="I245" s="55">
        <v>45672</v>
      </c>
      <c r="J245" s="67">
        <v>1</v>
      </c>
      <c r="K245" s="39" t="s">
        <v>310</v>
      </c>
      <c r="L245" s="319" t="b">
        <f>+ISNUMBER(PAGOS[[#This Row],[REG]])</f>
        <v>1</v>
      </c>
    </row>
    <row r="246" spans="1:12" x14ac:dyDescent="0.3">
      <c r="A246" s="335">
        <v>213</v>
      </c>
      <c r="B246" s="34">
        <v>15</v>
      </c>
      <c r="C246" s="78" t="s">
        <v>22</v>
      </c>
      <c r="D246" s="291">
        <v>38</v>
      </c>
      <c r="E246" s="35">
        <v>50</v>
      </c>
      <c r="F246" s="36">
        <v>45704</v>
      </c>
      <c r="G246" s="81">
        <v>11</v>
      </c>
      <c r="H246" s="35">
        <v>12</v>
      </c>
      <c r="I246" s="36">
        <v>45704</v>
      </c>
      <c r="J246" s="82">
        <v>11</v>
      </c>
      <c r="K246" s="37" t="s">
        <v>403</v>
      </c>
      <c r="L246" s="319" t="b">
        <f>+ISNUMBER(PAGOS[[#This Row],[REG]])</f>
        <v>1</v>
      </c>
    </row>
    <row r="247" spans="1:12" x14ac:dyDescent="0.3">
      <c r="A247" s="335">
        <v>214</v>
      </c>
      <c r="B247" s="34">
        <v>16</v>
      </c>
      <c r="C247" s="78" t="s">
        <v>23</v>
      </c>
      <c r="D247" s="291">
        <v>47</v>
      </c>
      <c r="E247" s="35">
        <v>41.67</v>
      </c>
      <c r="F247" s="36">
        <v>45704</v>
      </c>
      <c r="G247" s="81">
        <v>7</v>
      </c>
      <c r="H247" s="35">
        <v>10</v>
      </c>
      <c r="I247" s="36">
        <v>45704</v>
      </c>
      <c r="J247" s="82">
        <v>7</v>
      </c>
      <c r="K247" s="37" t="s">
        <v>237</v>
      </c>
      <c r="L247" s="319" t="b">
        <f>+ISNUMBER(PAGOS[[#This Row],[REG]])</f>
        <v>1</v>
      </c>
    </row>
    <row r="248" spans="1:12" x14ac:dyDescent="0.3">
      <c r="A248" s="335">
        <v>215</v>
      </c>
      <c r="B248" s="72">
        <v>4</v>
      </c>
      <c r="C248" s="78" t="s">
        <v>12</v>
      </c>
      <c r="D248" s="291">
        <v>49</v>
      </c>
      <c r="E248" s="35">
        <v>50</v>
      </c>
      <c r="F248" s="36">
        <v>45704</v>
      </c>
      <c r="G248" s="81">
        <v>6</v>
      </c>
      <c r="H248" s="35">
        <v>6</v>
      </c>
      <c r="I248" s="36">
        <v>45704</v>
      </c>
      <c r="J248" s="82">
        <v>6</v>
      </c>
      <c r="K248" s="37" t="s">
        <v>313</v>
      </c>
      <c r="L248" s="319" t="b">
        <f>+ISNUMBER(PAGOS[[#This Row],[REG]])</f>
        <v>1</v>
      </c>
    </row>
    <row r="249" spans="1:12" x14ac:dyDescent="0.3">
      <c r="A249" s="335">
        <v>216</v>
      </c>
      <c r="B249" s="34">
        <v>7</v>
      </c>
      <c r="C249" s="78" t="s">
        <v>15</v>
      </c>
      <c r="D249" s="291">
        <v>51</v>
      </c>
      <c r="E249" s="35">
        <v>62.5</v>
      </c>
      <c r="F249" s="36">
        <v>45704</v>
      </c>
      <c r="G249" s="81">
        <v>4</v>
      </c>
      <c r="H249" s="35">
        <v>5</v>
      </c>
      <c r="I249" s="36">
        <v>45704</v>
      </c>
      <c r="J249" s="82">
        <v>4</v>
      </c>
      <c r="K249" s="37" t="s">
        <v>314</v>
      </c>
      <c r="L249" s="319" t="b">
        <f>+ISNUMBER(PAGOS[[#This Row],[REG]])</f>
        <v>1</v>
      </c>
    </row>
    <row r="250" spans="1:12" x14ac:dyDescent="0.3">
      <c r="A250" s="335">
        <v>217</v>
      </c>
      <c r="B250" s="34">
        <v>8</v>
      </c>
      <c r="C250" s="78" t="s">
        <v>16</v>
      </c>
      <c r="D250" s="291">
        <v>52</v>
      </c>
      <c r="E250" s="35">
        <v>62.5</v>
      </c>
      <c r="F250" s="36">
        <v>45704</v>
      </c>
      <c r="G250" s="81">
        <v>4</v>
      </c>
      <c r="H250" s="35">
        <v>5</v>
      </c>
      <c r="I250" s="36">
        <v>45704</v>
      </c>
      <c r="J250" s="82">
        <v>4</v>
      </c>
      <c r="K250" s="37" t="s">
        <v>315</v>
      </c>
      <c r="L250" s="319" t="b">
        <f>+ISNUMBER(PAGOS[[#This Row],[REG]])</f>
        <v>1</v>
      </c>
    </row>
    <row r="251" spans="1:12" x14ac:dyDescent="0.3">
      <c r="A251" s="335">
        <v>218</v>
      </c>
      <c r="B251" s="72">
        <v>3</v>
      </c>
      <c r="C251" s="78" t="s">
        <v>13</v>
      </c>
      <c r="D251" s="291">
        <v>54</v>
      </c>
      <c r="E251" s="35">
        <v>166.67</v>
      </c>
      <c r="F251" s="36">
        <v>45704</v>
      </c>
      <c r="G251" s="81">
        <v>3</v>
      </c>
      <c r="H251" s="35">
        <v>10</v>
      </c>
      <c r="I251" s="36">
        <v>45704</v>
      </c>
      <c r="J251" s="82">
        <v>3</v>
      </c>
      <c r="K251" s="37" t="s">
        <v>316</v>
      </c>
      <c r="L251" s="319" t="b">
        <f>+ISNUMBER(PAGOS[[#This Row],[REG]])</f>
        <v>1</v>
      </c>
    </row>
    <row r="252" spans="1:12" x14ac:dyDescent="0.3">
      <c r="A252" s="335">
        <v>219</v>
      </c>
      <c r="B252" s="34">
        <v>12</v>
      </c>
      <c r="C252" s="78" t="s">
        <v>20</v>
      </c>
      <c r="D252" s="291">
        <v>55</v>
      </c>
      <c r="E252" s="35">
        <v>100</v>
      </c>
      <c r="F252" s="36">
        <v>45704</v>
      </c>
      <c r="G252" s="81">
        <v>3</v>
      </c>
      <c r="H252" s="35">
        <v>20</v>
      </c>
      <c r="I252" s="36">
        <v>45704</v>
      </c>
      <c r="J252" s="82">
        <v>3</v>
      </c>
      <c r="K252" s="37" t="s">
        <v>233</v>
      </c>
      <c r="L252" s="319" t="b">
        <f>+ISNUMBER(PAGOS[[#This Row],[REG]])</f>
        <v>1</v>
      </c>
    </row>
    <row r="253" spans="1:12" x14ac:dyDescent="0.3">
      <c r="A253" s="335">
        <v>220</v>
      </c>
      <c r="B253" s="34">
        <v>10</v>
      </c>
      <c r="C253" s="78" t="s">
        <v>18</v>
      </c>
      <c r="D253" s="291">
        <v>56</v>
      </c>
      <c r="E253" s="35">
        <v>40</v>
      </c>
      <c r="F253" s="36">
        <v>45704</v>
      </c>
      <c r="G253" s="81">
        <v>3</v>
      </c>
      <c r="H253" s="35">
        <v>4</v>
      </c>
      <c r="I253" s="36">
        <v>45704</v>
      </c>
      <c r="J253" s="82">
        <v>3</v>
      </c>
      <c r="K253" s="37" t="s">
        <v>233</v>
      </c>
      <c r="L253" s="319" t="b">
        <f>+ISNUMBER(PAGOS[[#This Row],[REG]])</f>
        <v>1</v>
      </c>
    </row>
    <row r="254" spans="1:12" x14ac:dyDescent="0.3">
      <c r="A254" s="335">
        <v>221</v>
      </c>
      <c r="B254" s="34">
        <v>6</v>
      </c>
      <c r="C254" s="78" t="s">
        <v>24</v>
      </c>
      <c r="D254" s="291">
        <v>57</v>
      </c>
      <c r="E254" s="35">
        <v>100</v>
      </c>
      <c r="F254" s="36">
        <v>45704</v>
      </c>
      <c r="G254" s="81">
        <v>2</v>
      </c>
      <c r="H254" s="35">
        <v>20</v>
      </c>
      <c r="I254" s="36">
        <v>45704</v>
      </c>
      <c r="J254" s="82">
        <v>2</v>
      </c>
      <c r="K254" s="37" t="s">
        <v>234</v>
      </c>
      <c r="L254" s="319" t="b">
        <f>+ISNUMBER(PAGOS[[#This Row],[REG]])</f>
        <v>1</v>
      </c>
    </row>
    <row r="255" spans="1:12" x14ac:dyDescent="0.3">
      <c r="A255" s="335">
        <v>222</v>
      </c>
      <c r="B255" s="34">
        <v>11</v>
      </c>
      <c r="C255" s="78" t="s">
        <v>19</v>
      </c>
      <c r="D255" s="291">
        <v>58</v>
      </c>
      <c r="E255" s="35">
        <v>100</v>
      </c>
      <c r="F255" s="36">
        <v>45704</v>
      </c>
      <c r="G255" s="81">
        <v>2</v>
      </c>
      <c r="H255" s="35">
        <v>10</v>
      </c>
      <c r="I255" s="36">
        <v>45704</v>
      </c>
      <c r="J255" s="82">
        <v>2</v>
      </c>
      <c r="K255" s="37" t="s">
        <v>234</v>
      </c>
      <c r="L255" s="319" t="b">
        <f>+ISNUMBER(PAGOS[[#This Row],[REG]])</f>
        <v>1</v>
      </c>
    </row>
    <row r="256" spans="1:12" x14ac:dyDescent="0.3">
      <c r="A256" s="335">
        <v>223</v>
      </c>
      <c r="B256" s="34">
        <v>9</v>
      </c>
      <c r="C256" s="78" t="s">
        <v>17</v>
      </c>
      <c r="D256" s="291">
        <v>60</v>
      </c>
      <c r="E256" s="35">
        <v>100</v>
      </c>
      <c r="F256" s="36">
        <v>45704</v>
      </c>
      <c r="G256" s="81">
        <v>1</v>
      </c>
      <c r="H256" s="35">
        <v>14</v>
      </c>
      <c r="I256" s="36">
        <v>45704</v>
      </c>
      <c r="J256" s="82">
        <v>1</v>
      </c>
      <c r="K256" s="37" t="s">
        <v>230</v>
      </c>
      <c r="L256" s="319" t="b">
        <f>+ISNUMBER(PAGOS[[#This Row],[REG]])</f>
        <v>1</v>
      </c>
    </row>
    <row r="257" spans="1:12" x14ac:dyDescent="0.3">
      <c r="A257" s="335">
        <v>224</v>
      </c>
      <c r="B257" s="34">
        <v>14</v>
      </c>
      <c r="C257" s="78" t="s">
        <v>21</v>
      </c>
      <c r="D257" s="291">
        <v>61</v>
      </c>
      <c r="E257" s="35">
        <v>100</v>
      </c>
      <c r="F257" s="36">
        <v>45704</v>
      </c>
      <c r="G257" s="81">
        <v>1</v>
      </c>
      <c r="H257" s="35">
        <v>14</v>
      </c>
      <c r="I257" s="36">
        <v>45704</v>
      </c>
      <c r="J257" s="82">
        <v>1</v>
      </c>
      <c r="K257" s="37" t="s">
        <v>230</v>
      </c>
      <c r="L257" s="319" t="b">
        <f>+ISNUMBER(PAGOS[[#This Row],[REG]])</f>
        <v>1</v>
      </c>
    </row>
    <row r="258" spans="1:12" x14ac:dyDescent="0.3">
      <c r="A258" s="340" t="s">
        <v>317</v>
      </c>
      <c r="B258" s="351">
        <v>1</v>
      </c>
      <c r="C258" s="78" t="s">
        <v>70</v>
      </c>
      <c r="D258" s="291" t="s">
        <v>355</v>
      </c>
      <c r="E258" s="35">
        <v>0</v>
      </c>
      <c r="F258" s="36">
        <v>45704</v>
      </c>
      <c r="G258" s="81" t="s">
        <v>355</v>
      </c>
      <c r="H258" s="35">
        <v>1</v>
      </c>
      <c r="I258" s="36">
        <v>45704</v>
      </c>
      <c r="J258" s="82" t="s">
        <v>355</v>
      </c>
      <c r="K258" s="37" t="s">
        <v>318</v>
      </c>
      <c r="L258" s="319" t="b">
        <f>+ISNUMBER(PAGOS[[#This Row],[REG]])</f>
        <v>0</v>
      </c>
    </row>
    <row r="259" spans="1:12" x14ac:dyDescent="0.3">
      <c r="A259" s="336">
        <v>225</v>
      </c>
      <c r="B259" s="34">
        <v>16</v>
      </c>
      <c r="C259" s="78" t="s">
        <v>23</v>
      </c>
      <c r="D259" s="291">
        <v>62</v>
      </c>
      <c r="E259" s="35">
        <v>75</v>
      </c>
      <c r="F259" s="36">
        <v>45708</v>
      </c>
      <c r="G259" s="81">
        <v>1</v>
      </c>
      <c r="H259" s="35">
        <v>3</v>
      </c>
      <c r="I259" s="36">
        <v>45723</v>
      </c>
      <c r="J259" s="82">
        <v>1</v>
      </c>
      <c r="K259" s="37" t="s">
        <v>76</v>
      </c>
      <c r="L259" s="319" t="b">
        <f>+ISNUMBER(PAGOS[[#This Row],[REG]])</f>
        <v>1</v>
      </c>
    </row>
    <row r="260" spans="1:12" x14ac:dyDescent="0.3">
      <c r="A260" s="336">
        <v>226</v>
      </c>
      <c r="B260" s="34">
        <v>15</v>
      </c>
      <c r="C260" s="78" t="s">
        <v>22</v>
      </c>
      <c r="D260" s="291">
        <v>38</v>
      </c>
      <c r="E260" s="35">
        <v>50</v>
      </c>
      <c r="F260" s="36">
        <v>45731</v>
      </c>
      <c r="G260" s="81">
        <v>11</v>
      </c>
      <c r="H260" s="35">
        <v>12</v>
      </c>
      <c r="I260" s="36">
        <v>45731</v>
      </c>
      <c r="J260" s="82">
        <v>11</v>
      </c>
      <c r="K260" s="37" t="s">
        <v>401</v>
      </c>
      <c r="L260" s="319" t="b">
        <f>+ISNUMBER(PAGOS[[#This Row],[REG]])</f>
        <v>1</v>
      </c>
    </row>
    <row r="261" spans="1:12" x14ac:dyDescent="0.3">
      <c r="A261" s="336">
        <v>227</v>
      </c>
      <c r="B261" s="34">
        <v>16</v>
      </c>
      <c r="C261" s="78" t="s">
        <v>23</v>
      </c>
      <c r="D261" s="291">
        <v>47</v>
      </c>
      <c r="E261" s="35">
        <v>41.67</v>
      </c>
      <c r="F261" s="36">
        <v>45731</v>
      </c>
      <c r="G261" s="81">
        <v>7</v>
      </c>
      <c r="H261" s="35">
        <v>10</v>
      </c>
      <c r="I261" s="36">
        <v>45731</v>
      </c>
      <c r="J261" s="82">
        <v>7</v>
      </c>
      <c r="K261" s="37" t="s">
        <v>208</v>
      </c>
      <c r="L261" s="319" t="b">
        <f>+ISNUMBER(PAGOS[[#This Row],[REG]])</f>
        <v>1</v>
      </c>
    </row>
    <row r="262" spans="1:12" x14ac:dyDescent="0.3">
      <c r="A262" s="336">
        <v>228</v>
      </c>
      <c r="B262" s="34">
        <v>12</v>
      </c>
      <c r="C262" s="78" t="s">
        <v>20</v>
      </c>
      <c r="D262" s="291">
        <v>55</v>
      </c>
      <c r="E262" s="35">
        <v>100</v>
      </c>
      <c r="F262" s="36">
        <v>45731</v>
      </c>
      <c r="G262" s="81">
        <v>4</v>
      </c>
      <c r="H262" s="35">
        <v>20</v>
      </c>
      <c r="I262" s="36">
        <v>45731</v>
      </c>
      <c r="J262" s="82">
        <v>4</v>
      </c>
      <c r="K262" s="37" t="s">
        <v>232</v>
      </c>
      <c r="L262" s="319" t="b">
        <f>+ISNUMBER(PAGOS[[#This Row],[REG]])</f>
        <v>1</v>
      </c>
    </row>
    <row r="263" spans="1:12" x14ac:dyDescent="0.3">
      <c r="A263" s="336">
        <v>229</v>
      </c>
      <c r="B263" s="34">
        <v>6</v>
      </c>
      <c r="C263" s="78" t="s">
        <v>24</v>
      </c>
      <c r="D263" s="291">
        <v>57</v>
      </c>
      <c r="E263" s="35">
        <v>100</v>
      </c>
      <c r="F263" s="36">
        <v>45731</v>
      </c>
      <c r="G263" s="81">
        <v>2</v>
      </c>
      <c r="H263" s="35">
        <v>20</v>
      </c>
      <c r="I263" s="36">
        <v>45731</v>
      </c>
      <c r="J263" s="82">
        <v>2</v>
      </c>
      <c r="K263" s="37" t="s">
        <v>77</v>
      </c>
      <c r="L263" s="319" t="b">
        <f>+ISNUMBER(PAGOS[[#This Row],[REG]])</f>
        <v>1</v>
      </c>
    </row>
    <row r="264" spans="1:12" x14ac:dyDescent="0.3">
      <c r="A264" s="336">
        <v>230</v>
      </c>
      <c r="B264" s="34">
        <v>11</v>
      </c>
      <c r="C264" s="78" t="s">
        <v>19</v>
      </c>
      <c r="D264" s="291">
        <v>58</v>
      </c>
      <c r="E264" s="35">
        <v>100</v>
      </c>
      <c r="F264" s="36">
        <v>45731</v>
      </c>
      <c r="G264" s="81">
        <v>2</v>
      </c>
      <c r="H264" s="35">
        <v>10</v>
      </c>
      <c r="I264" s="36">
        <v>45731</v>
      </c>
      <c r="J264" s="82">
        <v>2</v>
      </c>
      <c r="K264" s="37" t="s">
        <v>77</v>
      </c>
      <c r="L264" s="319" t="b">
        <f>+ISNUMBER(PAGOS[[#This Row],[REG]])</f>
        <v>1</v>
      </c>
    </row>
    <row r="265" spans="1:12" x14ac:dyDescent="0.3">
      <c r="A265" s="336">
        <v>231</v>
      </c>
      <c r="B265" s="34">
        <v>14</v>
      </c>
      <c r="C265" s="78" t="s">
        <v>21</v>
      </c>
      <c r="D265" s="291">
        <v>61</v>
      </c>
      <c r="E265" s="35">
        <v>100</v>
      </c>
      <c r="F265" s="36">
        <v>45731</v>
      </c>
      <c r="G265" s="81">
        <v>2</v>
      </c>
      <c r="H265" s="35">
        <v>14</v>
      </c>
      <c r="I265" s="36">
        <v>45731</v>
      </c>
      <c r="J265" s="82">
        <v>2</v>
      </c>
      <c r="K265" s="37" t="s">
        <v>77</v>
      </c>
      <c r="L265" s="319" t="b">
        <f>+ISNUMBER(PAGOS[[#This Row],[REG]])</f>
        <v>1</v>
      </c>
    </row>
    <row r="266" spans="1:12" x14ac:dyDescent="0.3">
      <c r="A266" s="336">
        <v>232</v>
      </c>
      <c r="B266" s="34">
        <v>5</v>
      </c>
      <c r="C266" s="78" t="s">
        <v>14</v>
      </c>
      <c r="D266" s="291">
        <v>63</v>
      </c>
      <c r="E266" s="35">
        <v>100</v>
      </c>
      <c r="F266" s="36">
        <v>45731</v>
      </c>
      <c r="G266" s="81">
        <v>1</v>
      </c>
      <c r="H266" s="35">
        <v>10</v>
      </c>
      <c r="I266" s="36">
        <v>45731</v>
      </c>
      <c r="J266" s="82">
        <v>1</v>
      </c>
      <c r="K266" s="37" t="s">
        <v>230</v>
      </c>
      <c r="L266" s="319" t="b">
        <f>+ISNUMBER(PAGOS[[#This Row],[REG]])</f>
        <v>1</v>
      </c>
    </row>
    <row r="267" spans="1:12" x14ac:dyDescent="0.3">
      <c r="A267" s="336">
        <v>233</v>
      </c>
      <c r="B267" s="34">
        <v>8</v>
      </c>
      <c r="C267" s="78" t="s">
        <v>16</v>
      </c>
      <c r="D267" s="291">
        <v>64</v>
      </c>
      <c r="E267" s="35">
        <v>100</v>
      </c>
      <c r="F267" s="36">
        <v>45731</v>
      </c>
      <c r="G267" s="81">
        <v>1</v>
      </c>
      <c r="H267" s="35">
        <v>6</v>
      </c>
      <c r="I267" s="36">
        <v>45731</v>
      </c>
      <c r="J267" s="82">
        <v>1</v>
      </c>
      <c r="K267" s="37" t="s">
        <v>234</v>
      </c>
      <c r="L267" s="319" t="b">
        <f>+ISNUMBER(PAGOS[[#This Row],[REG]])</f>
        <v>1</v>
      </c>
    </row>
    <row r="268" spans="1:12" x14ac:dyDescent="0.3">
      <c r="A268" s="336">
        <v>234</v>
      </c>
      <c r="B268" s="34">
        <v>16</v>
      </c>
      <c r="C268" s="78" t="s">
        <v>23</v>
      </c>
      <c r="D268" s="291">
        <v>62</v>
      </c>
      <c r="E268" s="35">
        <v>75</v>
      </c>
      <c r="F268" s="36">
        <v>45736</v>
      </c>
      <c r="G268" s="81">
        <v>2</v>
      </c>
      <c r="H268" s="35">
        <v>3</v>
      </c>
      <c r="I268" s="36">
        <v>45736</v>
      </c>
      <c r="J268" s="82">
        <v>2</v>
      </c>
      <c r="K268" s="37" t="s">
        <v>77</v>
      </c>
      <c r="L268" s="319" t="b">
        <f>+ISNUMBER(PAGOS[[#This Row],[REG]])</f>
        <v>1</v>
      </c>
    </row>
    <row r="269" spans="1:12" x14ac:dyDescent="0.3">
      <c r="A269" s="336">
        <v>235</v>
      </c>
      <c r="B269" s="34">
        <v>16</v>
      </c>
      <c r="C269" s="78" t="s">
        <v>23</v>
      </c>
      <c r="D269" s="291">
        <v>65</v>
      </c>
      <c r="E269" s="35">
        <v>400</v>
      </c>
      <c r="F269" s="36">
        <v>45736</v>
      </c>
      <c r="G269" s="81">
        <v>1</v>
      </c>
      <c r="H269" s="35">
        <v>8</v>
      </c>
      <c r="I269" s="36">
        <v>45736</v>
      </c>
      <c r="J269" s="82">
        <v>1</v>
      </c>
      <c r="K269" s="37" t="s">
        <v>330</v>
      </c>
      <c r="L269" s="319" t="b">
        <f>+ISNUMBER(PAGOS[[#This Row],[REG]])</f>
        <v>1</v>
      </c>
    </row>
    <row r="270" spans="1:12" x14ac:dyDescent="0.3">
      <c r="A270" s="336">
        <v>236</v>
      </c>
      <c r="B270" s="34">
        <v>10</v>
      </c>
      <c r="C270" s="78" t="s">
        <v>18</v>
      </c>
      <c r="D270" s="291">
        <v>56</v>
      </c>
      <c r="E270" s="35">
        <v>40</v>
      </c>
      <c r="F270" s="36">
        <v>45746</v>
      </c>
      <c r="G270" s="81">
        <v>4</v>
      </c>
      <c r="H270" s="35">
        <v>4</v>
      </c>
      <c r="I270" s="36">
        <v>45746</v>
      </c>
      <c r="J270" s="82">
        <v>4</v>
      </c>
      <c r="K270" s="37" t="s">
        <v>80</v>
      </c>
      <c r="L270" s="319" t="b">
        <f>+ISNUMBER(PAGOS[[#This Row],[REG]])</f>
        <v>1</v>
      </c>
    </row>
    <row r="271" spans="1:12" x14ac:dyDescent="0.3">
      <c r="A271" s="336">
        <v>237</v>
      </c>
      <c r="B271" s="34">
        <v>9</v>
      </c>
      <c r="C271" s="78" t="s">
        <v>17</v>
      </c>
      <c r="D271" s="291">
        <v>60</v>
      </c>
      <c r="E271" s="35">
        <v>100</v>
      </c>
      <c r="F271" s="36">
        <v>45746</v>
      </c>
      <c r="G271" s="81">
        <v>2</v>
      </c>
      <c r="H271" s="35">
        <v>14</v>
      </c>
      <c r="I271" s="36">
        <v>45746</v>
      </c>
      <c r="J271" s="82">
        <v>2</v>
      </c>
      <c r="K271" s="37" t="s">
        <v>331</v>
      </c>
      <c r="L271" s="319" t="b">
        <f>+ISNUMBER(PAGOS[[#This Row],[REG]])</f>
        <v>1</v>
      </c>
    </row>
    <row r="272" spans="1:12" x14ac:dyDescent="0.3">
      <c r="A272" s="336">
        <v>238</v>
      </c>
      <c r="B272" s="34">
        <v>10</v>
      </c>
      <c r="C272" s="78" t="s">
        <v>18</v>
      </c>
      <c r="D272" s="291">
        <v>56</v>
      </c>
      <c r="E272" s="35">
        <v>40</v>
      </c>
      <c r="F272" s="36">
        <v>45762</v>
      </c>
      <c r="G272" s="81">
        <v>5</v>
      </c>
      <c r="H272" s="35">
        <v>0</v>
      </c>
      <c r="I272" s="36">
        <v>45762</v>
      </c>
      <c r="J272" s="82">
        <v>0</v>
      </c>
      <c r="K272" s="37" t="s">
        <v>335</v>
      </c>
      <c r="L272" s="319" t="b">
        <f>+ISNUMBER(PAGOS[[#This Row],[REG]])</f>
        <v>1</v>
      </c>
    </row>
    <row r="273" spans="1:12" x14ac:dyDescent="0.3">
      <c r="A273" s="341" t="s">
        <v>392</v>
      </c>
      <c r="B273" s="34">
        <v>10</v>
      </c>
      <c r="C273" s="78" t="s">
        <v>18</v>
      </c>
      <c r="D273" s="291">
        <v>56</v>
      </c>
      <c r="E273" s="35">
        <v>0</v>
      </c>
      <c r="F273" s="36">
        <v>45762</v>
      </c>
      <c r="G273" s="81">
        <v>5</v>
      </c>
      <c r="H273" s="35">
        <v>4</v>
      </c>
      <c r="I273" s="36">
        <v>45762</v>
      </c>
      <c r="J273" s="82">
        <v>5</v>
      </c>
      <c r="K273" s="37" t="s">
        <v>336</v>
      </c>
      <c r="L273" s="319" t="b">
        <f>+ISNUMBER(PAGOS[[#This Row],[REG]])</f>
        <v>0</v>
      </c>
    </row>
    <row r="274" spans="1:12" x14ac:dyDescent="0.3">
      <c r="A274" s="336">
        <v>239</v>
      </c>
      <c r="B274" s="34">
        <v>12</v>
      </c>
      <c r="C274" s="78" t="s">
        <v>20</v>
      </c>
      <c r="D274" s="291">
        <v>55</v>
      </c>
      <c r="E274" s="35">
        <v>100</v>
      </c>
      <c r="F274" s="36">
        <v>45762</v>
      </c>
      <c r="G274" s="81">
        <v>5</v>
      </c>
      <c r="H274" s="35">
        <v>20</v>
      </c>
      <c r="I274" s="36">
        <v>45762</v>
      </c>
      <c r="J274" s="82">
        <v>5</v>
      </c>
      <c r="K274" s="37" t="s">
        <v>238</v>
      </c>
      <c r="L274" s="319" t="b">
        <f>+ISNUMBER(PAGOS[[#This Row],[REG]])</f>
        <v>1</v>
      </c>
    </row>
    <row r="275" spans="1:12" x14ac:dyDescent="0.3">
      <c r="A275" s="336">
        <v>240</v>
      </c>
      <c r="B275" s="34">
        <v>6</v>
      </c>
      <c r="C275" s="78" t="s">
        <v>24</v>
      </c>
      <c r="D275" s="291">
        <v>57</v>
      </c>
      <c r="E275" s="35">
        <v>100</v>
      </c>
      <c r="F275" s="36">
        <v>45762</v>
      </c>
      <c r="G275" s="81">
        <v>4</v>
      </c>
      <c r="H275" s="35">
        <v>20</v>
      </c>
      <c r="I275" s="36">
        <v>45762</v>
      </c>
      <c r="J275" s="82">
        <v>4</v>
      </c>
      <c r="K275" s="37" t="s">
        <v>232</v>
      </c>
      <c r="L275" s="319" t="b">
        <f>+ISNUMBER(PAGOS[[#This Row],[REG]])</f>
        <v>1</v>
      </c>
    </row>
    <row r="276" spans="1:12" x14ac:dyDescent="0.3">
      <c r="A276" s="336">
        <v>241</v>
      </c>
      <c r="B276" s="34">
        <v>11</v>
      </c>
      <c r="C276" s="78" t="s">
        <v>19</v>
      </c>
      <c r="D276" s="291">
        <v>58</v>
      </c>
      <c r="E276" s="35">
        <v>100</v>
      </c>
      <c r="F276" s="36">
        <v>45762</v>
      </c>
      <c r="G276" s="81">
        <v>4</v>
      </c>
      <c r="H276" s="35">
        <v>10</v>
      </c>
      <c r="I276" s="36">
        <v>45762</v>
      </c>
      <c r="J276" s="82">
        <v>4</v>
      </c>
      <c r="K276" s="37" t="s">
        <v>232</v>
      </c>
      <c r="L276" s="319" t="b">
        <f>+ISNUMBER(PAGOS[[#This Row],[REG]])</f>
        <v>1</v>
      </c>
    </row>
    <row r="277" spans="1:12" x14ac:dyDescent="0.3">
      <c r="A277" s="336">
        <v>242</v>
      </c>
      <c r="B277" s="34">
        <v>14</v>
      </c>
      <c r="C277" s="78" t="s">
        <v>21</v>
      </c>
      <c r="D277" s="291">
        <v>61</v>
      </c>
      <c r="E277" s="35">
        <v>100</v>
      </c>
      <c r="F277" s="36">
        <v>45762</v>
      </c>
      <c r="G277" s="81">
        <v>3</v>
      </c>
      <c r="H277" s="35">
        <v>14</v>
      </c>
      <c r="I277" s="36">
        <v>45762</v>
      </c>
      <c r="J277" s="82">
        <v>3</v>
      </c>
      <c r="K277" s="37" t="s">
        <v>233</v>
      </c>
      <c r="L277" s="319" t="b">
        <f>+ISNUMBER(PAGOS[[#This Row],[REG]])</f>
        <v>1</v>
      </c>
    </row>
    <row r="278" spans="1:12" x14ac:dyDescent="0.3">
      <c r="A278" s="336">
        <v>243</v>
      </c>
      <c r="B278" s="34">
        <v>5</v>
      </c>
      <c r="C278" s="78" t="s">
        <v>14</v>
      </c>
      <c r="D278" s="291">
        <v>63</v>
      </c>
      <c r="E278" s="35">
        <v>100</v>
      </c>
      <c r="F278" s="36">
        <v>45762</v>
      </c>
      <c r="G278" s="81">
        <v>2</v>
      </c>
      <c r="H278" s="35">
        <v>10</v>
      </c>
      <c r="I278" s="36">
        <v>45762</v>
      </c>
      <c r="J278" s="82">
        <v>2</v>
      </c>
      <c r="K278" s="37" t="s">
        <v>234</v>
      </c>
      <c r="L278" s="319" t="b">
        <f>+ISNUMBER(PAGOS[[#This Row],[REG]])</f>
        <v>1</v>
      </c>
    </row>
    <row r="279" spans="1:12" x14ac:dyDescent="0.3">
      <c r="A279" s="336">
        <v>244</v>
      </c>
      <c r="B279" s="34">
        <v>8</v>
      </c>
      <c r="C279" s="78" t="s">
        <v>16</v>
      </c>
      <c r="D279" s="291">
        <v>64</v>
      </c>
      <c r="E279" s="35">
        <v>100</v>
      </c>
      <c r="F279" s="36">
        <v>45762</v>
      </c>
      <c r="G279" s="81">
        <v>2</v>
      </c>
      <c r="H279" s="35">
        <v>6</v>
      </c>
      <c r="I279" s="36">
        <v>45762</v>
      </c>
      <c r="J279" s="82">
        <v>2</v>
      </c>
      <c r="K279" s="37" t="s">
        <v>234</v>
      </c>
      <c r="L279" s="319" t="b">
        <f>+ISNUMBER(PAGOS[[#This Row],[REG]])</f>
        <v>1</v>
      </c>
    </row>
    <row r="280" spans="1:12" x14ac:dyDescent="0.3">
      <c r="A280" s="336">
        <v>245</v>
      </c>
      <c r="B280" s="34">
        <v>8</v>
      </c>
      <c r="C280" s="78" t="s">
        <v>16</v>
      </c>
      <c r="D280" s="291">
        <v>64</v>
      </c>
      <c r="E280" s="35">
        <v>100</v>
      </c>
      <c r="F280" s="36">
        <v>45764</v>
      </c>
      <c r="G280" s="81">
        <v>3</v>
      </c>
      <c r="H280" s="35">
        <v>0</v>
      </c>
      <c r="I280" s="36">
        <v>45764</v>
      </c>
      <c r="J280" s="82">
        <v>3</v>
      </c>
      <c r="K280" s="37" t="s">
        <v>351</v>
      </c>
      <c r="L280" s="319" t="b">
        <f>+ISNUMBER(PAGOS[[#This Row],[REG]])</f>
        <v>1</v>
      </c>
    </row>
    <row r="281" spans="1:12" x14ac:dyDescent="0.3">
      <c r="A281" s="341" t="s">
        <v>393</v>
      </c>
      <c r="B281" s="34">
        <v>8</v>
      </c>
      <c r="C281" s="78" t="s">
        <v>16</v>
      </c>
      <c r="D281" s="291">
        <v>64</v>
      </c>
      <c r="E281" s="35">
        <v>0</v>
      </c>
      <c r="F281" s="36">
        <v>45764</v>
      </c>
      <c r="G281" s="81">
        <v>3</v>
      </c>
      <c r="H281" s="35">
        <v>6</v>
      </c>
      <c r="I281" s="36">
        <v>45764</v>
      </c>
      <c r="J281" s="82">
        <v>3</v>
      </c>
      <c r="K281" s="37" t="s">
        <v>352</v>
      </c>
      <c r="L281" s="319" t="b">
        <f>+ISNUMBER(PAGOS[[#This Row],[REG]])</f>
        <v>0</v>
      </c>
    </row>
    <row r="282" spans="1:12" x14ac:dyDescent="0.3">
      <c r="A282" s="336">
        <v>246</v>
      </c>
      <c r="B282" s="34">
        <v>16</v>
      </c>
      <c r="C282" s="78" t="s">
        <v>23</v>
      </c>
      <c r="D282" s="291">
        <v>47</v>
      </c>
      <c r="E282" s="35">
        <v>41.67</v>
      </c>
      <c r="F282" s="36">
        <v>45764</v>
      </c>
      <c r="G282" s="81">
        <v>9</v>
      </c>
      <c r="H282" s="35">
        <v>10</v>
      </c>
      <c r="I282" s="36">
        <v>45764</v>
      </c>
      <c r="J282" s="82">
        <v>9</v>
      </c>
      <c r="K282" s="37" t="s">
        <v>354</v>
      </c>
      <c r="L282" s="319" t="b">
        <f>+ISNUMBER(PAGOS[[#This Row],[REG]])</f>
        <v>1</v>
      </c>
    </row>
    <row r="283" spans="1:12" x14ac:dyDescent="0.3">
      <c r="A283" s="336">
        <v>247</v>
      </c>
      <c r="B283" s="34">
        <v>9</v>
      </c>
      <c r="C283" s="78" t="s">
        <v>17</v>
      </c>
      <c r="D283" s="291">
        <v>60</v>
      </c>
      <c r="E283" s="35">
        <v>100</v>
      </c>
      <c r="F283" s="36">
        <v>45764</v>
      </c>
      <c r="G283" s="81">
        <v>3</v>
      </c>
      <c r="H283" s="35">
        <v>14</v>
      </c>
      <c r="I283" s="36">
        <v>45764</v>
      </c>
      <c r="J283" s="82">
        <v>3</v>
      </c>
      <c r="K283" s="37" t="s">
        <v>233</v>
      </c>
      <c r="L283" s="319" t="b">
        <f>+ISNUMBER(PAGOS[[#This Row],[REG]])</f>
        <v>1</v>
      </c>
    </row>
    <row r="284" spans="1:12" x14ac:dyDescent="0.3">
      <c r="A284" s="336" t="s">
        <v>346</v>
      </c>
      <c r="B284" s="46">
        <v>17</v>
      </c>
      <c r="C284" s="78" t="s">
        <v>339</v>
      </c>
      <c r="D284" s="291" t="s">
        <v>97</v>
      </c>
      <c r="E284" s="35">
        <v>0</v>
      </c>
      <c r="F284" s="36">
        <v>45764</v>
      </c>
      <c r="G284" s="81" t="s">
        <v>97</v>
      </c>
      <c r="H284" s="35">
        <v>0</v>
      </c>
      <c r="I284" s="36">
        <v>45764</v>
      </c>
      <c r="J284" s="82" t="s">
        <v>97</v>
      </c>
      <c r="K284" s="37" t="s">
        <v>359</v>
      </c>
      <c r="L284" s="319" t="b">
        <f>+ISNUMBER(PAGOS[[#This Row],[REG]])</f>
        <v>0</v>
      </c>
    </row>
    <row r="285" spans="1:12" x14ac:dyDescent="0.3">
      <c r="A285" s="335" t="s">
        <v>348</v>
      </c>
      <c r="B285" s="46">
        <v>18</v>
      </c>
      <c r="C285" s="78" t="s">
        <v>340</v>
      </c>
      <c r="D285" s="291" t="s">
        <v>97</v>
      </c>
      <c r="E285" s="33">
        <v>0</v>
      </c>
      <c r="F285" s="36">
        <v>45764</v>
      </c>
      <c r="G285" s="81" t="s">
        <v>97</v>
      </c>
      <c r="H285" s="33">
        <v>0</v>
      </c>
      <c r="I285" s="36">
        <v>45764</v>
      </c>
      <c r="J285" s="82" t="s">
        <v>97</v>
      </c>
      <c r="K285" s="37" t="s">
        <v>359</v>
      </c>
      <c r="L285" s="319" t="b">
        <f>+ISNUMBER(PAGOS[[#This Row],[REG]])</f>
        <v>0</v>
      </c>
    </row>
    <row r="286" spans="1:12" x14ac:dyDescent="0.3">
      <c r="A286" s="335" t="s">
        <v>361</v>
      </c>
      <c r="B286" s="46">
        <v>13</v>
      </c>
      <c r="C286" s="78" t="s">
        <v>341</v>
      </c>
      <c r="D286" s="291" t="s">
        <v>97</v>
      </c>
      <c r="E286" s="33">
        <v>0</v>
      </c>
      <c r="F286" s="36">
        <v>45764</v>
      </c>
      <c r="G286" s="81" t="s">
        <v>97</v>
      </c>
      <c r="H286" s="33">
        <v>0</v>
      </c>
      <c r="I286" s="36">
        <v>45764</v>
      </c>
      <c r="J286" s="82" t="s">
        <v>97</v>
      </c>
      <c r="K286" s="37" t="s">
        <v>359</v>
      </c>
      <c r="L286" s="319" t="b">
        <f>+ISNUMBER(PAGOS[[#This Row],[REG]])</f>
        <v>0</v>
      </c>
    </row>
    <row r="287" spans="1:12" x14ac:dyDescent="0.3">
      <c r="A287" s="336">
        <v>248</v>
      </c>
      <c r="B287" s="34">
        <v>7</v>
      </c>
      <c r="C287" s="78" t="s">
        <v>15</v>
      </c>
      <c r="D287" s="291">
        <v>67</v>
      </c>
      <c r="E287" s="35">
        <v>1200</v>
      </c>
      <c r="F287" s="36">
        <v>45788</v>
      </c>
      <c r="G287" s="81">
        <v>1</v>
      </c>
      <c r="H287" s="35">
        <v>24</v>
      </c>
      <c r="I287" s="36">
        <v>45788</v>
      </c>
      <c r="J287" s="82">
        <v>1</v>
      </c>
      <c r="K287" s="37" t="s">
        <v>362</v>
      </c>
      <c r="L287" s="319" t="b">
        <f>+ISNUMBER(PAGOS[[#This Row],[REG]])</f>
        <v>1</v>
      </c>
    </row>
    <row r="288" spans="1:12" x14ac:dyDescent="0.3">
      <c r="A288" s="336">
        <v>249</v>
      </c>
      <c r="B288" s="34">
        <v>5</v>
      </c>
      <c r="C288" s="78" t="s">
        <v>14</v>
      </c>
      <c r="D288" s="291">
        <v>63</v>
      </c>
      <c r="E288" s="35">
        <v>100</v>
      </c>
      <c r="F288" s="36">
        <v>45792</v>
      </c>
      <c r="G288" s="81">
        <v>4</v>
      </c>
      <c r="H288" s="35">
        <v>0</v>
      </c>
      <c r="I288" s="36">
        <v>45792</v>
      </c>
      <c r="J288" s="82">
        <v>4</v>
      </c>
      <c r="K288" s="37" t="s">
        <v>369</v>
      </c>
      <c r="L288" s="319" t="b">
        <f>+ISNUMBER(PAGOS[[#This Row],[REG]])</f>
        <v>1</v>
      </c>
    </row>
    <row r="289" spans="1:12" x14ac:dyDescent="0.3">
      <c r="A289" s="336">
        <v>250</v>
      </c>
      <c r="B289" s="34">
        <v>5</v>
      </c>
      <c r="C289" s="78" t="s">
        <v>14</v>
      </c>
      <c r="D289" s="291">
        <v>63</v>
      </c>
      <c r="E289" s="35">
        <v>100</v>
      </c>
      <c r="F289" s="36">
        <v>45792</v>
      </c>
      <c r="G289" s="81">
        <v>5</v>
      </c>
      <c r="H289" s="35">
        <v>0</v>
      </c>
      <c r="I289" s="36">
        <v>45792</v>
      </c>
      <c r="J289" s="82">
        <v>5</v>
      </c>
      <c r="K289" s="37" t="s">
        <v>370</v>
      </c>
      <c r="L289" s="319" t="b">
        <f>+ISNUMBER(PAGOS[[#This Row],[REG]])</f>
        <v>1</v>
      </c>
    </row>
    <row r="290" spans="1:12" x14ac:dyDescent="0.3">
      <c r="A290" s="341" t="s">
        <v>394</v>
      </c>
      <c r="B290" s="34">
        <v>5</v>
      </c>
      <c r="C290" s="78" t="s">
        <v>14</v>
      </c>
      <c r="D290" s="291">
        <v>63</v>
      </c>
      <c r="E290" s="35">
        <v>0</v>
      </c>
      <c r="F290" s="36">
        <v>45792</v>
      </c>
      <c r="G290" s="81">
        <v>4</v>
      </c>
      <c r="H290" s="35">
        <v>10</v>
      </c>
      <c r="I290" s="36">
        <v>45792</v>
      </c>
      <c r="J290" s="82">
        <v>4</v>
      </c>
      <c r="K290" s="37" t="s">
        <v>371</v>
      </c>
      <c r="L290" s="319" t="b">
        <f>+ISNUMBER(PAGOS[[#This Row],[REG]])</f>
        <v>0</v>
      </c>
    </row>
    <row r="291" spans="1:12" x14ac:dyDescent="0.3">
      <c r="A291" s="341" t="s">
        <v>395</v>
      </c>
      <c r="B291" s="34">
        <v>5</v>
      </c>
      <c r="C291" s="78" t="s">
        <v>14</v>
      </c>
      <c r="D291" s="291">
        <v>63</v>
      </c>
      <c r="E291" s="35">
        <v>0</v>
      </c>
      <c r="F291" s="36">
        <v>45792</v>
      </c>
      <c r="G291" s="81">
        <v>5</v>
      </c>
      <c r="H291" s="35">
        <v>10</v>
      </c>
      <c r="I291" s="36">
        <v>45792</v>
      </c>
      <c r="J291" s="82">
        <v>5</v>
      </c>
      <c r="K291" s="37" t="s">
        <v>372</v>
      </c>
      <c r="L291" s="319" t="b">
        <f>+ISNUMBER(PAGOS[[#This Row],[REG]])</f>
        <v>0</v>
      </c>
    </row>
    <row r="292" spans="1:12" x14ac:dyDescent="0.3">
      <c r="A292" s="336">
        <v>251</v>
      </c>
      <c r="B292" s="34">
        <v>16</v>
      </c>
      <c r="C292" s="78" t="s">
        <v>23</v>
      </c>
      <c r="D292" s="291">
        <v>47</v>
      </c>
      <c r="E292" s="35">
        <v>41.67</v>
      </c>
      <c r="F292" s="36">
        <v>45792</v>
      </c>
      <c r="G292" s="81">
        <v>10</v>
      </c>
      <c r="H292" s="35">
        <v>10</v>
      </c>
      <c r="I292" s="36">
        <v>45792</v>
      </c>
      <c r="J292" s="82">
        <v>10</v>
      </c>
      <c r="K292" s="37" t="s">
        <v>298</v>
      </c>
      <c r="L292" s="319" t="b">
        <f>+ISNUMBER(PAGOS[[#This Row],[REG]])</f>
        <v>1</v>
      </c>
    </row>
    <row r="293" spans="1:12" x14ac:dyDescent="0.3">
      <c r="A293" s="336">
        <v>252</v>
      </c>
      <c r="B293" s="34">
        <v>6</v>
      </c>
      <c r="C293" s="78" t="s">
        <v>24</v>
      </c>
      <c r="D293" s="291">
        <v>57</v>
      </c>
      <c r="E293" s="35">
        <v>100</v>
      </c>
      <c r="F293" s="36">
        <v>45792</v>
      </c>
      <c r="G293" s="81">
        <v>5</v>
      </c>
      <c r="H293" s="35">
        <v>20</v>
      </c>
      <c r="I293" s="36">
        <v>45792</v>
      </c>
      <c r="J293" s="82">
        <v>5</v>
      </c>
      <c r="K293" s="37" t="s">
        <v>238</v>
      </c>
      <c r="L293" s="319" t="b">
        <f>+ISNUMBER(PAGOS[[#This Row],[REG]])</f>
        <v>1</v>
      </c>
    </row>
    <row r="294" spans="1:12" x14ac:dyDescent="0.3">
      <c r="A294" s="336">
        <v>253</v>
      </c>
      <c r="B294" s="34">
        <v>11</v>
      </c>
      <c r="C294" s="78" t="s">
        <v>19</v>
      </c>
      <c r="D294" s="291">
        <v>58</v>
      </c>
      <c r="E294" s="35">
        <v>100</v>
      </c>
      <c r="F294" s="36">
        <v>45792</v>
      </c>
      <c r="G294" s="81">
        <v>5</v>
      </c>
      <c r="H294" s="35">
        <v>10</v>
      </c>
      <c r="I294" s="36">
        <v>45792</v>
      </c>
      <c r="J294" s="82">
        <v>5</v>
      </c>
      <c r="K294" s="37" t="s">
        <v>363</v>
      </c>
      <c r="L294" s="319" t="b">
        <f>+ISNUMBER(PAGOS[[#This Row],[REG]])</f>
        <v>1</v>
      </c>
    </row>
    <row r="295" spans="1:12" x14ac:dyDescent="0.3">
      <c r="A295" s="336">
        <v>254</v>
      </c>
      <c r="B295" s="34">
        <v>9</v>
      </c>
      <c r="C295" s="78" t="s">
        <v>17</v>
      </c>
      <c r="D295" s="291">
        <v>60</v>
      </c>
      <c r="E295" s="35">
        <v>100</v>
      </c>
      <c r="F295" s="36">
        <v>45792</v>
      </c>
      <c r="G295" s="81">
        <v>4</v>
      </c>
      <c r="H295" s="35">
        <v>14</v>
      </c>
      <c r="I295" s="36">
        <v>45792</v>
      </c>
      <c r="J295" s="82">
        <v>4</v>
      </c>
      <c r="K295" s="37" t="s">
        <v>232</v>
      </c>
      <c r="L295" s="319" t="b">
        <f>+ISNUMBER(PAGOS[[#This Row],[REG]])</f>
        <v>1</v>
      </c>
    </row>
    <row r="296" spans="1:12" x14ac:dyDescent="0.3">
      <c r="A296" s="336">
        <v>255</v>
      </c>
      <c r="B296" s="34">
        <v>14</v>
      </c>
      <c r="C296" s="78" t="s">
        <v>21</v>
      </c>
      <c r="D296" s="291">
        <v>61</v>
      </c>
      <c r="E296" s="35">
        <v>100</v>
      </c>
      <c r="F296" s="36">
        <v>45792</v>
      </c>
      <c r="G296" s="81">
        <v>4</v>
      </c>
      <c r="H296" s="35">
        <v>14</v>
      </c>
      <c r="I296" s="36">
        <v>45792</v>
      </c>
      <c r="J296" s="82">
        <v>4</v>
      </c>
      <c r="K296" s="37" t="s">
        <v>232</v>
      </c>
      <c r="L296" s="319" t="b">
        <f>+ISNUMBER(PAGOS[[#This Row],[REG]])</f>
        <v>1</v>
      </c>
    </row>
    <row r="297" spans="1:12" x14ac:dyDescent="0.3">
      <c r="A297" s="336">
        <v>256</v>
      </c>
      <c r="B297" s="72">
        <v>5</v>
      </c>
      <c r="C297" s="78" t="s">
        <v>14</v>
      </c>
      <c r="D297" s="291">
        <v>63</v>
      </c>
      <c r="E297" s="35">
        <v>100</v>
      </c>
      <c r="F297" s="36">
        <v>45792</v>
      </c>
      <c r="G297" s="81">
        <v>3</v>
      </c>
      <c r="H297" s="35">
        <v>10</v>
      </c>
      <c r="I297" s="36">
        <v>45792</v>
      </c>
      <c r="J297" s="82">
        <v>3</v>
      </c>
      <c r="K297" s="37" t="s">
        <v>233</v>
      </c>
      <c r="L297" s="319" t="b">
        <f>+ISNUMBER(PAGOS[[#This Row],[REG]])</f>
        <v>1</v>
      </c>
    </row>
    <row r="298" spans="1:12" x14ac:dyDescent="0.3">
      <c r="A298" s="336">
        <v>257</v>
      </c>
      <c r="B298" s="72">
        <v>10</v>
      </c>
      <c r="C298" s="78" t="s">
        <v>18</v>
      </c>
      <c r="D298" s="291">
        <v>68</v>
      </c>
      <c r="E298" s="35">
        <v>40</v>
      </c>
      <c r="F298" s="36">
        <v>45792</v>
      </c>
      <c r="G298" s="81">
        <v>1</v>
      </c>
      <c r="H298" s="35">
        <v>4</v>
      </c>
      <c r="I298" s="36">
        <v>45792</v>
      </c>
      <c r="J298" s="82">
        <v>1</v>
      </c>
      <c r="K298" s="37" t="s">
        <v>121</v>
      </c>
      <c r="L298" s="319" t="b">
        <f>+ISNUMBER(PAGOS[[#This Row],[REG]])</f>
        <v>1</v>
      </c>
    </row>
    <row r="299" spans="1:12" x14ac:dyDescent="0.3">
      <c r="A299" s="336">
        <v>258</v>
      </c>
      <c r="B299" s="34">
        <v>8</v>
      </c>
      <c r="C299" s="78" t="s">
        <v>16</v>
      </c>
      <c r="D299" s="291">
        <v>70</v>
      </c>
      <c r="E299" s="35">
        <v>100</v>
      </c>
      <c r="F299" s="36">
        <v>45792</v>
      </c>
      <c r="G299" s="81">
        <v>1</v>
      </c>
      <c r="H299" s="35">
        <v>10</v>
      </c>
      <c r="I299" s="36">
        <v>45792</v>
      </c>
      <c r="J299" s="82">
        <v>1</v>
      </c>
      <c r="K299" s="37" t="s">
        <v>230</v>
      </c>
      <c r="L299" s="319" t="b">
        <f>+ISNUMBER(PAGOS[[#This Row],[REG]])</f>
        <v>1</v>
      </c>
    </row>
    <row r="300" spans="1:12" x14ac:dyDescent="0.3">
      <c r="A300" s="336">
        <v>259</v>
      </c>
      <c r="B300" s="34">
        <v>12</v>
      </c>
      <c r="C300" s="78" t="s">
        <v>20</v>
      </c>
      <c r="D300" s="291">
        <v>55</v>
      </c>
      <c r="E300" s="35">
        <v>100</v>
      </c>
      <c r="F300" s="36">
        <v>45792</v>
      </c>
      <c r="G300" s="81">
        <v>6</v>
      </c>
      <c r="H300" s="35">
        <v>20</v>
      </c>
      <c r="I300" s="36">
        <v>45792</v>
      </c>
      <c r="J300" s="82">
        <v>6</v>
      </c>
      <c r="K300" s="37" t="s">
        <v>231</v>
      </c>
      <c r="L300" s="319" t="b">
        <f>+ISNUMBER(PAGOS[[#This Row],[REG]])</f>
        <v>1</v>
      </c>
    </row>
    <row r="301" spans="1:12" x14ac:dyDescent="0.3">
      <c r="A301" s="336">
        <v>260</v>
      </c>
      <c r="B301" s="34">
        <v>4</v>
      </c>
      <c r="C301" s="78" t="s">
        <v>12</v>
      </c>
      <c r="D301" s="291">
        <v>66</v>
      </c>
      <c r="E301" s="35">
        <v>233.33</v>
      </c>
      <c r="F301" s="36">
        <v>45792</v>
      </c>
      <c r="G301" s="81">
        <v>1</v>
      </c>
      <c r="H301" s="35">
        <v>14</v>
      </c>
      <c r="I301" s="36">
        <v>45792</v>
      </c>
      <c r="J301" s="82">
        <v>1</v>
      </c>
      <c r="K301" s="37" t="s">
        <v>364</v>
      </c>
      <c r="L301" s="319" t="b">
        <f>+ISNUMBER(PAGOS[[#This Row],[REG]])</f>
        <v>1</v>
      </c>
    </row>
    <row r="302" spans="1:12" x14ac:dyDescent="0.3">
      <c r="A302" s="336">
        <v>261</v>
      </c>
      <c r="B302" s="34">
        <v>3</v>
      </c>
      <c r="C302" s="78" t="s">
        <v>13</v>
      </c>
      <c r="D302" s="291">
        <v>69</v>
      </c>
      <c r="E302" s="35">
        <v>200</v>
      </c>
      <c r="F302" s="36">
        <v>45792</v>
      </c>
      <c r="G302" s="81">
        <v>1</v>
      </c>
      <c r="H302" s="35">
        <v>12</v>
      </c>
      <c r="I302" s="36">
        <v>45792</v>
      </c>
      <c r="J302" s="82">
        <v>1</v>
      </c>
      <c r="K302" s="37" t="s">
        <v>230</v>
      </c>
      <c r="L302" s="319" t="b">
        <f>+ISNUMBER(PAGOS[[#This Row],[REG]])</f>
        <v>1</v>
      </c>
    </row>
    <row r="303" spans="1:12" x14ac:dyDescent="0.3">
      <c r="A303" s="336">
        <v>262</v>
      </c>
      <c r="B303" s="34">
        <v>16</v>
      </c>
      <c r="C303" s="78" t="s">
        <v>23</v>
      </c>
      <c r="D303" s="291">
        <v>74</v>
      </c>
      <c r="E303" s="35">
        <v>40</v>
      </c>
      <c r="F303" s="36">
        <v>45823</v>
      </c>
      <c r="G303" s="81">
        <v>1</v>
      </c>
      <c r="H303" s="35">
        <v>0.8</v>
      </c>
      <c r="I303" s="36">
        <v>45823</v>
      </c>
      <c r="J303" s="82">
        <v>1</v>
      </c>
      <c r="K303" s="37" t="s">
        <v>376</v>
      </c>
      <c r="L303" s="319" t="b">
        <f>+ISNUMBER(PAGOS[[#This Row],[REG]])</f>
        <v>1</v>
      </c>
    </row>
    <row r="304" spans="1:12" x14ac:dyDescent="0.3">
      <c r="A304" s="336">
        <v>263</v>
      </c>
      <c r="B304" s="34">
        <v>12</v>
      </c>
      <c r="C304" s="78" t="s">
        <v>20</v>
      </c>
      <c r="D304" s="291">
        <v>55</v>
      </c>
      <c r="E304" s="35">
        <v>100</v>
      </c>
      <c r="F304" s="36">
        <v>45823</v>
      </c>
      <c r="G304" s="81">
        <v>6</v>
      </c>
      <c r="H304" s="35">
        <v>20</v>
      </c>
      <c r="I304" s="36">
        <v>45823</v>
      </c>
      <c r="J304" s="82">
        <v>6</v>
      </c>
      <c r="K304" s="37" t="s">
        <v>237</v>
      </c>
      <c r="L304" s="319" t="b">
        <f>+ISNUMBER(PAGOS[[#This Row],[REG]])</f>
        <v>1</v>
      </c>
    </row>
    <row r="305" spans="1:12" x14ac:dyDescent="0.3">
      <c r="A305" s="336">
        <v>264</v>
      </c>
      <c r="B305" s="34">
        <v>6</v>
      </c>
      <c r="C305" s="78" t="s">
        <v>24</v>
      </c>
      <c r="D305" s="291">
        <v>57</v>
      </c>
      <c r="E305" s="35">
        <v>100</v>
      </c>
      <c r="F305" s="36">
        <v>45823</v>
      </c>
      <c r="G305" s="81">
        <v>6</v>
      </c>
      <c r="H305" s="35">
        <v>20</v>
      </c>
      <c r="I305" s="36">
        <v>45823</v>
      </c>
      <c r="J305" s="82">
        <v>6</v>
      </c>
      <c r="K305" s="37" t="s">
        <v>231</v>
      </c>
      <c r="L305" s="319" t="b">
        <f>+ISNUMBER(PAGOS[[#This Row],[REG]])</f>
        <v>1</v>
      </c>
    </row>
    <row r="306" spans="1:12" x14ac:dyDescent="0.3">
      <c r="A306" s="336">
        <v>265</v>
      </c>
      <c r="B306" s="34">
        <v>9</v>
      </c>
      <c r="C306" s="78" t="s">
        <v>17</v>
      </c>
      <c r="D306" s="291">
        <v>60</v>
      </c>
      <c r="E306" s="35">
        <v>100</v>
      </c>
      <c r="F306" s="36">
        <v>45823</v>
      </c>
      <c r="G306" s="81">
        <v>5</v>
      </c>
      <c r="H306" s="35">
        <v>14</v>
      </c>
      <c r="I306" s="36">
        <v>45823</v>
      </c>
      <c r="J306" s="82">
        <v>5</v>
      </c>
      <c r="K306" s="37" t="s">
        <v>238</v>
      </c>
      <c r="L306" s="319" t="b">
        <f>+ISNUMBER(PAGOS[[#This Row],[REG]])</f>
        <v>1</v>
      </c>
    </row>
    <row r="307" spans="1:12" x14ac:dyDescent="0.3">
      <c r="A307" s="336">
        <v>266</v>
      </c>
      <c r="B307" s="34">
        <v>14</v>
      </c>
      <c r="C307" s="78" t="s">
        <v>21</v>
      </c>
      <c r="D307" s="291">
        <v>61</v>
      </c>
      <c r="E307" s="35">
        <v>100</v>
      </c>
      <c r="F307" s="36">
        <v>45823</v>
      </c>
      <c r="G307" s="81">
        <v>5</v>
      </c>
      <c r="H307" s="35">
        <v>14</v>
      </c>
      <c r="I307" s="36">
        <v>45823</v>
      </c>
      <c r="J307" s="82">
        <v>5</v>
      </c>
      <c r="K307" s="37" t="s">
        <v>238</v>
      </c>
      <c r="L307" s="319" t="b">
        <f>+ISNUMBER(PAGOS[[#This Row],[REG]])</f>
        <v>1</v>
      </c>
    </row>
    <row r="308" spans="1:12" x14ac:dyDescent="0.3">
      <c r="A308" s="336">
        <v>267</v>
      </c>
      <c r="B308" s="34">
        <v>10</v>
      </c>
      <c r="C308" s="78" t="s">
        <v>18</v>
      </c>
      <c r="D308" s="291">
        <v>68</v>
      </c>
      <c r="E308" s="35">
        <v>40</v>
      </c>
      <c r="F308" s="36">
        <v>45823</v>
      </c>
      <c r="G308" s="81">
        <v>2</v>
      </c>
      <c r="H308" s="35">
        <v>4</v>
      </c>
      <c r="I308" s="36">
        <v>45823</v>
      </c>
      <c r="J308" s="82">
        <v>2</v>
      </c>
      <c r="K308" s="37" t="s">
        <v>234</v>
      </c>
      <c r="L308" s="319" t="b">
        <f>+ISNUMBER(PAGOS[[#This Row],[REG]])</f>
        <v>1</v>
      </c>
    </row>
    <row r="309" spans="1:12" x14ac:dyDescent="0.3">
      <c r="A309" s="336">
        <v>268</v>
      </c>
      <c r="B309" s="34">
        <v>8</v>
      </c>
      <c r="C309" s="78" t="s">
        <v>16</v>
      </c>
      <c r="D309" s="291">
        <v>70</v>
      </c>
      <c r="E309" s="35">
        <v>100</v>
      </c>
      <c r="F309" s="36">
        <v>45823</v>
      </c>
      <c r="G309" s="81">
        <v>2</v>
      </c>
      <c r="H309" s="35">
        <v>10</v>
      </c>
      <c r="I309" s="36">
        <v>45823</v>
      </c>
      <c r="J309" s="82">
        <v>2</v>
      </c>
      <c r="K309" s="37" t="s">
        <v>234</v>
      </c>
      <c r="L309" s="319" t="b">
        <f>+ISNUMBER(PAGOS[[#This Row],[REG]])</f>
        <v>1</v>
      </c>
    </row>
    <row r="310" spans="1:12" x14ac:dyDescent="0.3">
      <c r="A310" s="336">
        <v>269</v>
      </c>
      <c r="B310" s="34">
        <v>5</v>
      </c>
      <c r="C310" s="78" t="s">
        <v>14</v>
      </c>
      <c r="D310" s="291">
        <v>71</v>
      </c>
      <c r="E310" s="35">
        <v>100</v>
      </c>
      <c r="F310" s="36">
        <v>45823</v>
      </c>
      <c r="G310" s="81">
        <v>1</v>
      </c>
      <c r="H310" s="35">
        <v>24</v>
      </c>
      <c r="I310" s="36">
        <v>45823</v>
      </c>
      <c r="J310" s="82">
        <v>1</v>
      </c>
      <c r="K310" s="37" t="s">
        <v>230</v>
      </c>
      <c r="L310" s="319" t="b">
        <f>+ISNUMBER(PAGOS[[#This Row],[REG]])</f>
        <v>1</v>
      </c>
    </row>
    <row r="311" spans="1:12" x14ac:dyDescent="0.3">
      <c r="A311" s="336">
        <v>270</v>
      </c>
      <c r="B311" s="46">
        <v>17</v>
      </c>
      <c r="C311" s="78" t="s">
        <v>339</v>
      </c>
      <c r="D311" s="291">
        <v>72</v>
      </c>
      <c r="E311" s="35">
        <v>166.67</v>
      </c>
      <c r="F311" s="36">
        <v>45823</v>
      </c>
      <c r="G311" s="81">
        <v>1</v>
      </c>
      <c r="H311" s="35">
        <v>40</v>
      </c>
      <c r="I311" s="36">
        <v>45823</v>
      </c>
      <c r="J311" s="82">
        <v>1</v>
      </c>
      <c r="K311" s="37" t="s">
        <v>230</v>
      </c>
      <c r="L311" s="319" t="b">
        <f>+ISNUMBER(PAGOS[[#This Row],[REG]])</f>
        <v>1</v>
      </c>
    </row>
    <row r="312" spans="1:12" x14ac:dyDescent="0.3">
      <c r="A312" s="336">
        <v>271</v>
      </c>
      <c r="B312" s="72">
        <v>3</v>
      </c>
      <c r="C312" s="78" t="s">
        <v>13</v>
      </c>
      <c r="D312" s="291">
        <v>69</v>
      </c>
      <c r="E312" s="35">
        <v>200</v>
      </c>
      <c r="F312" s="36">
        <v>45823</v>
      </c>
      <c r="G312" s="81">
        <v>2</v>
      </c>
      <c r="H312" s="35">
        <v>12</v>
      </c>
      <c r="I312" s="36">
        <v>45823</v>
      </c>
      <c r="J312" s="82">
        <v>2</v>
      </c>
      <c r="K312" s="37" t="s">
        <v>233</v>
      </c>
      <c r="L312" s="319" t="b">
        <f>+ISNUMBER(PAGOS[[#This Row],[REG]])</f>
        <v>1</v>
      </c>
    </row>
    <row r="313" spans="1:12" x14ac:dyDescent="0.3">
      <c r="A313" s="336">
        <v>272</v>
      </c>
      <c r="B313" s="72">
        <v>4</v>
      </c>
      <c r="C313" s="78" t="s">
        <v>12</v>
      </c>
      <c r="D313" s="291">
        <v>66</v>
      </c>
      <c r="E313" s="35">
        <f>233.33</f>
        <v>233.33</v>
      </c>
      <c r="F313" s="36">
        <v>45823</v>
      </c>
      <c r="G313" s="81">
        <v>2</v>
      </c>
      <c r="H313" s="35">
        <v>14</v>
      </c>
      <c r="I313" s="36">
        <v>45823</v>
      </c>
      <c r="J313" s="82">
        <v>2</v>
      </c>
      <c r="K313" s="37" t="s">
        <v>234</v>
      </c>
      <c r="L313" s="319" t="b">
        <f>+ISNUMBER(PAGOS[[#This Row],[REG]])</f>
        <v>1</v>
      </c>
    </row>
    <row r="314" spans="1:12" x14ac:dyDescent="0.3">
      <c r="A314" s="336">
        <v>273</v>
      </c>
      <c r="B314" s="34">
        <v>16</v>
      </c>
      <c r="C314" s="78" t="s">
        <v>23</v>
      </c>
      <c r="D314" s="291">
        <v>47</v>
      </c>
      <c r="E314" s="35">
        <v>41.67</v>
      </c>
      <c r="F314" s="36">
        <v>45823</v>
      </c>
      <c r="G314" s="81">
        <v>11</v>
      </c>
      <c r="H314" s="35">
        <v>10</v>
      </c>
      <c r="I314" s="36">
        <v>45823</v>
      </c>
      <c r="J314" s="82">
        <v>11</v>
      </c>
      <c r="K314" s="37" t="s">
        <v>325</v>
      </c>
      <c r="L314" s="319" t="b">
        <f>+ISNUMBER(PAGOS[[#This Row],[REG]])</f>
        <v>1</v>
      </c>
    </row>
    <row r="315" spans="1:12" x14ac:dyDescent="0.3">
      <c r="A315" s="336">
        <v>274</v>
      </c>
      <c r="B315" s="34">
        <v>11</v>
      </c>
      <c r="C315" s="78" t="s">
        <v>19</v>
      </c>
      <c r="D315" s="291">
        <v>73</v>
      </c>
      <c r="E315" s="35">
        <v>100</v>
      </c>
      <c r="F315" s="36">
        <v>45823</v>
      </c>
      <c r="G315" s="81">
        <v>1</v>
      </c>
      <c r="H315" s="35">
        <v>6</v>
      </c>
      <c r="I315" s="36">
        <v>45823</v>
      </c>
      <c r="J315" s="82">
        <v>1</v>
      </c>
      <c r="K315" s="37" t="s">
        <v>230</v>
      </c>
      <c r="L315" s="319" t="b">
        <f>+ISNUMBER(PAGOS[[#This Row],[REG]])</f>
        <v>1</v>
      </c>
    </row>
    <row r="316" spans="1:12" x14ac:dyDescent="0.3">
      <c r="A316" s="336">
        <v>275</v>
      </c>
      <c r="B316" s="34">
        <v>12</v>
      </c>
      <c r="C316" s="78" t="s">
        <v>20</v>
      </c>
      <c r="D316" s="291">
        <v>55</v>
      </c>
      <c r="E316" s="35">
        <v>100</v>
      </c>
      <c r="F316" s="36">
        <v>45853</v>
      </c>
      <c r="G316" s="81">
        <v>8</v>
      </c>
      <c r="H316" s="35">
        <v>20</v>
      </c>
      <c r="I316" s="36">
        <v>45853</v>
      </c>
      <c r="J316" s="82">
        <v>8</v>
      </c>
      <c r="K316" s="37" t="s">
        <v>263</v>
      </c>
      <c r="L316" s="319" t="b">
        <f>+ISNUMBER(PAGOS[[#This Row],[REG]])</f>
        <v>1</v>
      </c>
    </row>
    <row r="317" spans="1:12" x14ac:dyDescent="0.3">
      <c r="A317" s="336">
        <v>276</v>
      </c>
      <c r="B317" s="34">
        <v>6</v>
      </c>
      <c r="C317" s="78" t="s">
        <v>24</v>
      </c>
      <c r="D317" s="291">
        <v>57</v>
      </c>
      <c r="E317" s="35">
        <v>100</v>
      </c>
      <c r="F317" s="36">
        <v>45853</v>
      </c>
      <c r="G317" s="81">
        <v>7</v>
      </c>
      <c r="H317" s="35">
        <v>20</v>
      </c>
      <c r="I317" s="36">
        <v>45853</v>
      </c>
      <c r="J317" s="82">
        <v>7</v>
      </c>
      <c r="K317" s="37" t="s">
        <v>237</v>
      </c>
      <c r="L317" s="319" t="b">
        <f>+ISNUMBER(PAGOS[[#This Row],[REG]])</f>
        <v>1</v>
      </c>
    </row>
    <row r="318" spans="1:12" x14ac:dyDescent="0.3">
      <c r="A318" s="336">
        <v>277</v>
      </c>
      <c r="B318" s="34">
        <v>9</v>
      </c>
      <c r="C318" s="78" t="s">
        <v>17</v>
      </c>
      <c r="D318" s="291">
        <v>60</v>
      </c>
      <c r="E318" s="35">
        <v>100</v>
      </c>
      <c r="F318" s="36">
        <v>45853</v>
      </c>
      <c r="G318" s="81">
        <v>6</v>
      </c>
      <c r="H318" s="35">
        <v>14</v>
      </c>
      <c r="I318" s="36">
        <v>45853</v>
      </c>
      <c r="J318" s="82">
        <v>6</v>
      </c>
      <c r="K318" s="37" t="s">
        <v>231</v>
      </c>
      <c r="L318" s="319" t="b">
        <f>+ISNUMBER(PAGOS[[#This Row],[REG]])</f>
        <v>1</v>
      </c>
    </row>
    <row r="319" spans="1:12" x14ac:dyDescent="0.3">
      <c r="A319" s="336">
        <v>278</v>
      </c>
      <c r="B319" s="34">
        <v>14</v>
      </c>
      <c r="C319" s="78" t="s">
        <v>21</v>
      </c>
      <c r="D319" s="291">
        <v>61</v>
      </c>
      <c r="E319" s="35">
        <v>100</v>
      </c>
      <c r="F319" s="36">
        <v>45853</v>
      </c>
      <c r="G319" s="81">
        <v>6</v>
      </c>
      <c r="H319" s="35">
        <v>14</v>
      </c>
      <c r="I319" s="36">
        <v>45853</v>
      </c>
      <c r="J319" s="82">
        <v>6</v>
      </c>
      <c r="K319" s="37" t="s">
        <v>231</v>
      </c>
      <c r="L319" s="319" t="b">
        <f>+ISNUMBER(PAGOS[[#This Row],[REG]])</f>
        <v>1</v>
      </c>
    </row>
    <row r="320" spans="1:12" x14ac:dyDescent="0.3">
      <c r="A320" s="336">
        <v>279</v>
      </c>
      <c r="B320" s="34">
        <v>10</v>
      </c>
      <c r="C320" s="78" t="s">
        <v>18</v>
      </c>
      <c r="D320" s="291">
        <v>68</v>
      </c>
      <c r="E320" s="35">
        <v>40</v>
      </c>
      <c r="F320" s="36">
        <v>45853</v>
      </c>
      <c r="G320" s="81">
        <v>3</v>
      </c>
      <c r="H320" s="35">
        <v>4</v>
      </c>
      <c r="I320" s="36">
        <v>45853</v>
      </c>
      <c r="J320" s="82">
        <v>3</v>
      </c>
      <c r="K320" s="37" t="s">
        <v>233</v>
      </c>
      <c r="L320" s="319" t="b">
        <f>+ISNUMBER(PAGOS[[#This Row],[REG]])</f>
        <v>1</v>
      </c>
    </row>
    <row r="321" spans="1:12" x14ac:dyDescent="0.3">
      <c r="A321" s="336">
        <v>280</v>
      </c>
      <c r="B321" s="34">
        <v>8</v>
      </c>
      <c r="C321" s="78" t="s">
        <v>16</v>
      </c>
      <c r="D321" s="291">
        <v>70</v>
      </c>
      <c r="E321" s="35">
        <v>100</v>
      </c>
      <c r="F321" s="36">
        <v>45853</v>
      </c>
      <c r="G321" s="81">
        <v>3</v>
      </c>
      <c r="H321" s="35">
        <v>10</v>
      </c>
      <c r="I321" s="36">
        <v>45853</v>
      </c>
      <c r="J321" s="82">
        <v>3</v>
      </c>
      <c r="K321" s="37" t="s">
        <v>233</v>
      </c>
      <c r="L321" s="319" t="b">
        <f>+ISNUMBER(PAGOS[[#This Row],[REG]])</f>
        <v>1</v>
      </c>
    </row>
    <row r="322" spans="1:12" x14ac:dyDescent="0.3">
      <c r="A322" s="336">
        <v>281</v>
      </c>
      <c r="B322" s="34">
        <v>5</v>
      </c>
      <c r="C322" s="78" t="s">
        <v>14</v>
      </c>
      <c r="D322" s="291">
        <v>71</v>
      </c>
      <c r="E322" s="35">
        <v>100</v>
      </c>
      <c r="F322" s="36">
        <v>45853</v>
      </c>
      <c r="G322" s="81">
        <v>2</v>
      </c>
      <c r="H322" s="35">
        <v>24</v>
      </c>
      <c r="I322" s="36">
        <v>45853</v>
      </c>
      <c r="J322" s="82">
        <v>2</v>
      </c>
      <c r="K322" s="37" t="s">
        <v>234</v>
      </c>
      <c r="L322" s="319" t="b">
        <f>+ISNUMBER(PAGOS[[#This Row],[REG]])</f>
        <v>1</v>
      </c>
    </row>
    <row r="323" spans="1:12" x14ac:dyDescent="0.3">
      <c r="A323" s="336">
        <v>282</v>
      </c>
      <c r="B323" s="46">
        <v>17</v>
      </c>
      <c r="C323" s="78" t="s">
        <v>339</v>
      </c>
      <c r="D323" s="291">
        <v>72</v>
      </c>
      <c r="E323" s="35">
        <v>166.67</v>
      </c>
      <c r="F323" s="36">
        <v>45853</v>
      </c>
      <c r="G323" s="81">
        <v>2</v>
      </c>
      <c r="H323" s="35">
        <v>40</v>
      </c>
      <c r="I323" s="36">
        <v>45853</v>
      </c>
      <c r="J323" s="82">
        <v>2</v>
      </c>
      <c r="K323" s="37" t="s">
        <v>234</v>
      </c>
      <c r="L323" s="319" t="b">
        <f>+ISNUMBER(PAGOS[[#This Row],[REG]])</f>
        <v>1</v>
      </c>
    </row>
    <row r="324" spans="1:12" x14ac:dyDescent="0.3">
      <c r="A324" s="336">
        <v>283</v>
      </c>
      <c r="B324" s="72">
        <v>4</v>
      </c>
      <c r="C324" s="78" t="s">
        <v>12</v>
      </c>
      <c r="D324" s="291">
        <v>66</v>
      </c>
      <c r="E324" s="35">
        <v>233.34</v>
      </c>
      <c r="F324" s="36">
        <v>45853</v>
      </c>
      <c r="G324" s="81">
        <v>3</v>
      </c>
      <c r="H324" s="35">
        <v>14</v>
      </c>
      <c r="I324" s="36">
        <v>45853</v>
      </c>
      <c r="J324" s="82">
        <v>3</v>
      </c>
      <c r="K324" s="37" t="s">
        <v>233</v>
      </c>
      <c r="L324" s="319" t="b">
        <f>+ISNUMBER(PAGOS[[#This Row],[REG]])</f>
        <v>1</v>
      </c>
    </row>
    <row r="325" spans="1:12" x14ac:dyDescent="0.3">
      <c r="A325" s="336">
        <v>284</v>
      </c>
      <c r="B325" s="72">
        <v>3</v>
      </c>
      <c r="C325" s="78" t="s">
        <v>13</v>
      </c>
      <c r="D325" s="291">
        <v>69</v>
      </c>
      <c r="E325" s="35">
        <f>200</f>
        <v>200</v>
      </c>
      <c r="F325" s="36">
        <v>45853</v>
      </c>
      <c r="G325" s="81">
        <v>3</v>
      </c>
      <c r="H325" s="35">
        <v>12</v>
      </c>
      <c r="I325" s="36">
        <v>45853</v>
      </c>
      <c r="J325" s="82">
        <v>3</v>
      </c>
      <c r="K325" s="37" t="s">
        <v>233</v>
      </c>
      <c r="L325" s="319" t="b">
        <f>+ISNUMBER(PAGOS[[#This Row],[REG]])</f>
        <v>1</v>
      </c>
    </row>
    <row r="326" spans="1:12" x14ac:dyDescent="0.3">
      <c r="A326" s="336">
        <v>285</v>
      </c>
      <c r="B326" s="34">
        <v>16</v>
      </c>
      <c r="C326" s="78" t="s">
        <v>23</v>
      </c>
      <c r="D326" s="291">
        <v>47</v>
      </c>
      <c r="E326" s="35">
        <v>41.67</v>
      </c>
      <c r="F326" s="36">
        <v>45853</v>
      </c>
      <c r="G326" s="81">
        <v>12</v>
      </c>
      <c r="H326" s="35">
        <v>10</v>
      </c>
      <c r="I326" s="36">
        <v>45853</v>
      </c>
      <c r="J326" s="82">
        <v>12</v>
      </c>
      <c r="K326" s="37" t="s">
        <v>377</v>
      </c>
      <c r="L326" s="319" t="b">
        <f>+ISNUMBER(PAGOS[[#This Row],[REG]])</f>
        <v>1</v>
      </c>
    </row>
    <row r="327" spans="1:12" x14ac:dyDescent="0.3">
      <c r="A327" s="336">
        <v>286</v>
      </c>
      <c r="B327" s="34">
        <v>11</v>
      </c>
      <c r="C327" s="78" t="s">
        <v>19</v>
      </c>
      <c r="D327" s="291">
        <v>73</v>
      </c>
      <c r="E327" s="35">
        <v>100</v>
      </c>
      <c r="F327" s="36">
        <v>45853</v>
      </c>
      <c r="G327" s="81">
        <v>2</v>
      </c>
      <c r="H327" s="35">
        <v>6</v>
      </c>
      <c r="I327" s="36">
        <v>45853</v>
      </c>
      <c r="J327" s="82">
        <v>2</v>
      </c>
      <c r="K327" s="37" t="s">
        <v>378</v>
      </c>
      <c r="L327" s="319" t="b">
        <f>+ISNUMBER(PAGOS[[#This Row],[REG]])</f>
        <v>1</v>
      </c>
    </row>
    <row r="328" spans="1:12" x14ac:dyDescent="0.3">
      <c r="A328" s="335">
        <v>287</v>
      </c>
      <c r="B328" s="71">
        <v>16</v>
      </c>
      <c r="C328" s="54" t="s">
        <v>23</v>
      </c>
      <c r="D328" s="291">
        <v>75</v>
      </c>
      <c r="E328" s="33">
        <v>100</v>
      </c>
      <c r="F328" s="55">
        <v>45876</v>
      </c>
      <c r="G328" s="63">
        <v>0</v>
      </c>
      <c r="H328" s="33">
        <v>2</v>
      </c>
      <c r="I328" s="55">
        <v>45876</v>
      </c>
      <c r="J328" s="67">
        <v>0</v>
      </c>
      <c r="K328" s="39" t="s">
        <v>426</v>
      </c>
      <c r="L328" s="319" t="b">
        <f>+ISNUMBER(PAGOS[[#This Row],[REG]])</f>
        <v>1</v>
      </c>
    </row>
    <row r="329" spans="1:12" x14ac:dyDescent="0.3">
      <c r="A329" s="340" t="s">
        <v>430</v>
      </c>
      <c r="B329" s="71">
        <v>1</v>
      </c>
      <c r="C329" s="54" t="s">
        <v>70</v>
      </c>
      <c r="D329" s="291" t="s">
        <v>355</v>
      </c>
      <c r="E329" s="33">
        <v>0</v>
      </c>
      <c r="F329" s="55">
        <v>45884</v>
      </c>
      <c r="G329" s="63" t="s">
        <v>355</v>
      </c>
      <c r="H329" s="33">
        <v>10</v>
      </c>
      <c r="I329" s="55">
        <v>45884</v>
      </c>
      <c r="J329" s="67" t="s">
        <v>355</v>
      </c>
      <c r="K329" s="39" t="s">
        <v>431</v>
      </c>
      <c r="L329" s="319" t="b">
        <f>+ISNUMBER(PAGOS[[#This Row],[REG]])</f>
        <v>0</v>
      </c>
    </row>
    <row r="330" spans="1:12" x14ac:dyDescent="0.3">
      <c r="A330" s="335">
        <v>288</v>
      </c>
      <c r="B330" s="71">
        <v>12</v>
      </c>
      <c r="C330" s="54" t="s">
        <v>20</v>
      </c>
      <c r="D330" s="291">
        <v>55</v>
      </c>
      <c r="E330" s="33">
        <v>100</v>
      </c>
      <c r="F330" s="55">
        <v>45884</v>
      </c>
      <c r="G330" s="63">
        <v>9</v>
      </c>
      <c r="H330" s="350">
        <v>20</v>
      </c>
      <c r="I330" s="55">
        <v>45884</v>
      </c>
      <c r="J330" s="67">
        <v>9</v>
      </c>
      <c r="K330" s="39" t="s">
        <v>433</v>
      </c>
      <c r="L330" s="319" t="b">
        <f>+ISNUMBER(PAGOS[[#This Row],[REG]])</f>
        <v>1</v>
      </c>
    </row>
    <row r="331" spans="1:12" x14ac:dyDescent="0.3">
      <c r="A331" s="335">
        <v>289</v>
      </c>
      <c r="B331" s="71">
        <v>6</v>
      </c>
      <c r="C331" s="54" t="s">
        <v>24</v>
      </c>
      <c r="D331" s="291">
        <v>57</v>
      </c>
      <c r="E331" s="33">
        <v>100</v>
      </c>
      <c r="F331" s="55">
        <v>45884</v>
      </c>
      <c r="G331" s="63">
        <v>8</v>
      </c>
      <c r="H331" s="33">
        <v>20</v>
      </c>
      <c r="I331" s="55">
        <v>45884</v>
      </c>
      <c r="J331" s="67">
        <v>8</v>
      </c>
      <c r="K331" s="39" t="s">
        <v>434</v>
      </c>
      <c r="L331" s="319" t="b">
        <f>+ISNUMBER(PAGOS[[#This Row],[REG]])</f>
        <v>1</v>
      </c>
    </row>
    <row r="332" spans="1:12" x14ac:dyDescent="0.3">
      <c r="A332" s="335">
        <v>290</v>
      </c>
      <c r="B332" s="71">
        <v>9</v>
      </c>
      <c r="C332" s="54" t="s">
        <v>17</v>
      </c>
      <c r="D332" s="291">
        <v>60</v>
      </c>
      <c r="E332" s="33">
        <v>100</v>
      </c>
      <c r="F332" s="55">
        <v>45884</v>
      </c>
      <c r="G332" s="63">
        <v>7</v>
      </c>
      <c r="H332" s="33">
        <v>14</v>
      </c>
      <c r="I332" s="55">
        <v>45884</v>
      </c>
      <c r="J332" s="67">
        <v>7</v>
      </c>
      <c r="K332" s="39" t="s">
        <v>435</v>
      </c>
      <c r="L332" s="319" t="b">
        <f>+ISNUMBER(PAGOS[[#This Row],[REG]])</f>
        <v>1</v>
      </c>
    </row>
    <row r="333" spans="1:12" x14ac:dyDescent="0.3">
      <c r="A333" s="335">
        <v>291</v>
      </c>
      <c r="B333" s="71">
        <v>14</v>
      </c>
      <c r="C333" s="54" t="s">
        <v>21</v>
      </c>
      <c r="D333" s="291">
        <v>61</v>
      </c>
      <c r="E333" s="33">
        <v>100</v>
      </c>
      <c r="F333" s="55">
        <v>45884</v>
      </c>
      <c r="G333" s="63">
        <v>7</v>
      </c>
      <c r="H333" s="33">
        <v>14</v>
      </c>
      <c r="I333" s="55">
        <v>45884</v>
      </c>
      <c r="J333" s="67">
        <v>7</v>
      </c>
      <c r="K333" s="39" t="s">
        <v>452</v>
      </c>
      <c r="L333" s="319" t="b">
        <f>+ISNUMBER(PAGOS[[#This Row],[REG]])</f>
        <v>1</v>
      </c>
    </row>
    <row r="334" spans="1:12" x14ac:dyDescent="0.3">
      <c r="A334" s="335">
        <v>292</v>
      </c>
      <c r="B334" s="71">
        <v>10</v>
      </c>
      <c r="C334" s="54" t="s">
        <v>18</v>
      </c>
      <c r="D334" s="291">
        <v>68</v>
      </c>
      <c r="E334" s="33">
        <v>40</v>
      </c>
      <c r="F334" s="55">
        <v>45884</v>
      </c>
      <c r="G334" s="63">
        <v>4</v>
      </c>
      <c r="H334" s="33">
        <v>4</v>
      </c>
      <c r="I334" s="55">
        <v>45884</v>
      </c>
      <c r="J334" s="67">
        <v>4</v>
      </c>
      <c r="K334" s="39" t="s">
        <v>436</v>
      </c>
      <c r="L334" s="319" t="b">
        <f>+ISNUMBER(PAGOS[[#This Row],[REG]])</f>
        <v>1</v>
      </c>
    </row>
    <row r="335" spans="1:12" x14ac:dyDescent="0.3">
      <c r="A335" s="335">
        <v>293</v>
      </c>
      <c r="B335" s="71">
        <v>8</v>
      </c>
      <c r="C335" s="54" t="s">
        <v>16</v>
      </c>
      <c r="D335" s="291">
        <v>70</v>
      </c>
      <c r="E335" s="33">
        <v>100</v>
      </c>
      <c r="F335" s="55">
        <v>45884</v>
      </c>
      <c r="G335" s="63">
        <v>4</v>
      </c>
      <c r="H335" s="33">
        <v>10</v>
      </c>
      <c r="I335" s="55">
        <v>45884</v>
      </c>
      <c r="J335" s="67">
        <v>4</v>
      </c>
      <c r="K335" s="39" t="s">
        <v>436</v>
      </c>
      <c r="L335" s="319" t="b">
        <f>+ISNUMBER(PAGOS[[#This Row],[REG]])</f>
        <v>1</v>
      </c>
    </row>
    <row r="336" spans="1:12" x14ac:dyDescent="0.3">
      <c r="A336" s="335">
        <v>294</v>
      </c>
      <c r="B336" s="71">
        <v>5</v>
      </c>
      <c r="C336" s="54" t="s">
        <v>14</v>
      </c>
      <c r="D336" s="291">
        <v>71</v>
      </c>
      <c r="E336" s="33">
        <v>100</v>
      </c>
      <c r="F336" s="55">
        <v>45884</v>
      </c>
      <c r="G336" s="63">
        <v>3</v>
      </c>
      <c r="H336" s="33">
        <v>24</v>
      </c>
      <c r="I336" s="55">
        <v>45884</v>
      </c>
      <c r="J336" s="67">
        <v>3</v>
      </c>
      <c r="K336" s="39" t="s">
        <v>437</v>
      </c>
      <c r="L336" s="319" t="b">
        <f>+ISNUMBER(PAGOS[[#This Row],[REG]])</f>
        <v>1</v>
      </c>
    </row>
    <row r="337" spans="1:12" x14ac:dyDescent="0.3">
      <c r="A337" s="335">
        <v>295</v>
      </c>
      <c r="B337" s="71">
        <v>11</v>
      </c>
      <c r="C337" s="54" t="s">
        <v>19</v>
      </c>
      <c r="D337" s="291">
        <v>73</v>
      </c>
      <c r="E337" s="33">
        <v>100</v>
      </c>
      <c r="F337" s="55">
        <v>45884</v>
      </c>
      <c r="G337" s="63">
        <v>3</v>
      </c>
      <c r="H337" s="33">
        <v>6</v>
      </c>
      <c r="I337" s="55">
        <v>45884</v>
      </c>
      <c r="J337" s="67">
        <v>3</v>
      </c>
      <c r="K337" s="39" t="s">
        <v>457</v>
      </c>
      <c r="L337" s="319" t="b">
        <f>+ISNUMBER(PAGOS[[#This Row],[REG]])</f>
        <v>1</v>
      </c>
    </row>
    <row r="338" spans="1:12" x14ac:dyDescent="0.3">
      <c r="A338" s="335">
        <v>296</v>
      </c>
      <c r="B338" s="71">
        <v>6</v>
      </c>
      <c r="C338" s="54" t="s">
        <v>24</v>
      </c>
      <c r="D338" s="291">
        <v>57</v>
      </c>
      <c r="E338" s="33">
        <v>100</v>
      </c>
      <c r="F338" s="55">
        <v>45884</v>
      </c>
      <c r="G338" s="63">
        <v>9</v>
      </c>
      <c r="H338" s="33">
        <v>0</v>
      </c>
      <c r="I338" s="55">
        <v>45884</v>
      </c>
      <c r="J338" s="67">
        <v>9</v>
      </c>
      <c r="K338" s="39" t="s">
        <v>453</v>
      </c>
      <c r="L338" s="319" t="b">
        <f>+ISNUMBER(PAGOS[[#This Row],[REG]])</f>
        <v>1</v>
      </c>
    </row>
    <row r="339" spans="1:12" x14ac:dyDescent="0.3">
      <c r="A339" s="338" t="s">
        <v>464</v>
      </c>
      <c r="B339" s="71">
        <v>6</v>
      </c>
      <c r="C339" s="54" t="s">
        <v>24</v>
      </c>
      <c r="D339" s="291">
        <v>57</v>
      </c>
      <c r="E339" s="33">
        <v>0</v>
      </c>
      <c r="F339" s="55">
        <v>45884</v>
      </c>
      <c r="G339" s="63">
        <v>9</v>
      </c>
      <c r="H339" s="33">
        <v>20</v>
      </c>
      <c r="I339" s="55">
        <v>45884</v>
      </c>
      <c r="J339" s="67">
        <v>9</v>
      </c>
      <c r="K339" s="39" t="s">
        <v>454</v>
      </c>
      <c r="L339" s="319" t="b">
        <f>+ISNUMBER(PAGOS[[#This Row],[REG]])</f>
        <v>0</v>
      </c>
    </row>
    <row r="340" spans="1:12" x14ac:dyDescent="0.3">
      <c r="A340" s="335">
        <v>297</v>
      </c>
      <c r="B340" s="71">
        <v>6</v>
      </c>
      <c r="C340" s="54" t="s">
        <v>24</v>
      </c>
      <c r="D340" s="291">
        <v>57</v>
      </c>
      <c r="E340" s="33">
        <v>100</v>
      </c>
      <c r="F340" s="55">
        <v>45884</v>
      </c>
      <c r="G340" s="63">
        <v>10</v>
      </c>
      <c r="H340" s="33">
        <v>0</v>
      </c>
      <c r="I340" s="55">
        <v>45884</v>
      </c>
      <c r="J340" s="67">
        <v>10</v>
      </c>
      <c r="K340" s="39" t="s">
        <v>455</v>
      </c>
      <c r="L340" s="319" t="b">
        <f>+ISNUMBER(PAGOS[[#This Row],[REG]])</f>
        <v>1</v>
      </c>
    </row>
    <row r="341" spans="1:12" x14ac:dyDescent="0.3">
      <c r="A341" s="338" t="s">
        <v>465</v>
      </c>
      <c r="B341" s="71">
        <v>6</v>
      </c>
      <c r="C341" s="54" t="s">
        <v>24</v>
      </c>
      <c r="D341" s="291">
        <v>57</v>
      </c>
      <c r="E341" s="33">
        <v>0</v>
      </c>
      <c r="F341" s="55">
        <v>45884</v>
      </c>
      <c r="G341" s="63">
        <v>10</v>
      </c>
      <c r="H341" s="33">
        <v>20</v>
      </c>
      <c r="I341" s="55">
        <v>45884</v>
      </c>
      <c r="J341" s="67">
        <v>10</v>
      </c>
      <c r="K341" s="39" t="s">
        <v>456</v>
      </c>
      <c r="L341" s="319" t="b">
        <f>+ISNUMBER(PAGOS[[#This Row],[REG]])</f>
        <v>0</v>
      </c>
    </row>
    <row r="342" spans="1:12" x14ac:dyDescent="0.3">
      <c r="A342" s="335">
        <v>298</v>
      </c>
      <c r="B342" s="71">
        <v>17</v>
      </c>
      <c r="C342" s="54" t="s">
        <v>339</v>
      </c>
      <c r="D342" s="291">
        <v>72</v>
      </c>
      <c r="E342" s="33">
        <v>166.67</v>
      </c>
      <c r="F342" s="55">
        <v>45884</v>
      </c>
      <c r="G342" s="63">
        <v>3</v>
      </c>
      <c r="H342" s="33">
        <v>40</v>
      </c>
      <c r="I342" s="55">
        <v>45884</v>
      </c>
      <c r="J342" s="67">
        <v>3</v>
      </c>
      <c r="K342" s="39" t="s">
        <v>437</v>
      </c>
      <c r="L342" s="319" t="b">
        <f>+ISNUMBER(PAGOS[[#This Row],[REG]])</f>
        <v>1</v>
      </c>
    </row>
    <row r="343" spans="1:12" x14ac:dyDescent="0.3">
      <c r="A343" s="335">
        <v>299</v>
      </c>
      <c r="B343" s="71">
        <v>12</v>
      </c>
      <c r="C343" s="54" t="s">
        <v>20</v>
      </c>
      <c r="D343" s="291">
        <v>55</v>
      </c>
      <c r="E343" s="33">
        <v>100</v>
      </c>
      <c r="F343" s="55">
        <v>45884</v>
      </c>
      <c r="G343" s="63">
        <v>9</v>
      </c>
      <c r="H343" s="33">
        <v>0</v>
      </c>
      <c r="I343" s="55">
        <v>45884</v>
      </c>
      <c r="J343" s="67">
        <v>9</v>
      </c>
      <c r="K343" s="39" t="s">
        <v>484</v>
      </c>
      <c r="L343" s="319" t="b">
        <f>+ISNUMBER(PAGOS[[#This Row],[REG]])</f>
        <v>1</v>
      </c>
    </row>
    <row r="344" spans="1:12" x14ac:dyDescent="0.3">
      <c r="A344" s="341" t="s">
        <v>466</v>
      </c>
      <c r="B344" s="71">
        <v>12</v>
      </c>
      <c r="C344" s="54" t="s">
        <v>20</v>
      </c>
      <c r="D344" s="291">
        <v>55</v>
      </c>
      <c r="E344" s="35">
        <v>0</v>
      </c>
      <c r="F344" s="55">
        <v>45884</v>
      </c>
      <c r="G344" s="63">
        <v>9</v>
      </c>
      <c r="H344" s="35">
        <v>20</v>
      </c>
      <c r="I344" s="55">
        <v>45884</v>
      </c>
      <c r="J344" s="67">
        <v>9</v>
      </c>
      <c r="K344" s="39" t="s">
        <v>483</v>
      </c>
      <c r="L344" s="319" t="b">
        <f>+ISNUMBER(PAGOS[[#This Row],[REG]])</f>
        <v>0</v>
      </c>
    </row>
    <row r="345" spans="1:12" x14ac:dyDescent="0.3">
      <c r="A345" s="335">
        <v>300</v>
      </c>
      <c r="B345" s="71">
        <v>16</v>
      </c>
      <c r="C345" s="54" t="s">
        <v>23</v>
      </c>
      <c r="D345" s="291">
        <v>76</v>
      </c>
      <c r="E345" s="33">
        <v>200</v>
      </c>
      <c r="F345" s="55">
        <v>45897</v>
      </c>
      <c r="G345" s="63">
        <v>0</v>
      </c>
      <c r="H345" s="33">
        <v>4</v>
      </c>
      <c r="I345" s="55">
        <v>45897</v>
      </c>
      <c r="J345" s="67">
        <v>0</v>
      </c>
      <c r="K345" s="39" t="s">
        <v>485</v>
      </c>
      <c r="L345" s="319" t="b">
        <f>+ISNUMBER(PAGOS[[#This Row],[REG]])</f>
        <v>1</v>
      </c>
    </row>
    <row r="346" spans="1:12" x14ac:dyDescent="0.3">
      <c r="A346" s="335">
        <v>301</v>
      </c>
      <c r="B346" s="71">
        <v>7</v>
      </c>
      <c r="C346" s="54" t="s">
        <v>408</v>
      </c>
      <c r="D346" s="291">
        <v>83</v>
      </c>
      <c r="E346" s="33">
        <v>200</v>
      </c>
      <c r="F346" s="55">
        <v>45901</v>
      </c>
      <c r="G346" s="63">
        <v>1</v>
      </c>
      <c r="H346" s="33">
        <v>0</v>
      </c>
      <c r="I346" s="55">
        <v>45901</v>
      </c>
      <c r="J346" s="67">
        <v>1</v>
      </c>
      <c r="K346" s="39" t="s">
        <v>491</v>
      </c>
      <c r="L346" s="319" t="b">
        <f>+ISNUMBER(PAGOS[[#This Row],[REG]])</f>
        <v>1</v>
      </c>
    </row>
    <row r="347" spans="1:12" x14ac:dyDescent="0.3">
      <c r="A347" s="335">
        <v>302</v>
      </c>
      <c r="B347" s="71">
        <v>7</v>
      </c>
      <c r="C347" s="54" t="s">
        <v>408</v>
      </c>
      <c r="D347" s="291">
        <v>84</v>
      </c>
      <c r="E347" s="33">
        <v>100</v>
      </c>
      <c r="F347" s="55">
        <v>45901</v>
      </c>
      <c r="G347" s="63">
        <v>1</v>
      </c>
      <c r="H347" s="33">
        <v>0</v>
      </c>
      <c r="I347" s="55">
        <v>45901</v>
      </c>
      <c r="J347" s="67">
        <v>1</v>
      </c>
      <c r="K347" s="39" t="s">
        <v>491</v>
      </c>
      <c r="L347" s="319" t="b">
        <f>+ISNUMBER(PAGOS[[#This Row],[REG]])</f>
        <v>1</v>
      </c>
    </row>
    <row r="348" spans="1:12" x14ac:dyDescent="0.3">
      <c r="A348" s="335">
        <v>303</v>
      </c>
      <c r="B348" s="71">
        <v>16</v>
      </c>
      <c r="C348" s="54" t="s">
        <v>23</v>
      </c>
      <c r="D348" s="291">
        <v>85</v>
      </c>
      <c r="E348" s="33">
        <v>40</v>
      </c>
      <c r="F348" s="55">
        <v>45901</v>
      </c>
      <c r="G348" s="63">
        <v>1</v>
      </c>
      <c r="H348" s="33">
        <v>0.8</v>
      </c>
      <c r="I348" s="55">
        <v>45901</v>
      </c>
      <c r="J348" s="67">
        <v>1</v>
      </c>
      <c r="K348" s="39" t="s">
        <v>485</v>
      </c>
      <c r="L348" s="319" t="b">
        <f>+ISNUMBER(PAGOS[[#This Row],[REG]])</f>
        <v>1</v>
      </c>
    </row>
    <row r="349" spans="1:12" x14ac:dyDescent="0.3">
      <c r="A349" s="335" t="s">
        <v>499</v>
      </c>
      <c r="B349" s="71">
        <v>1</v>
      </c>
      <c r="C349" s="54" t="s">
        <v>24</v>
      </c>
      <c r="D349" s="291">
        <v>0</v>
      </c>
      <c r="E349" s="33">
        <v>5</v>
      </c>
      <c r="F349" s="55">
        <v>45915</v>
      </c>
      <c r="G349" s="63">
        <v>0</v>
      </c>
      <c r="H349" s="33">
        <v>0</v>
      </c>
      <c r="I349" s="55">
        <v>45915</v>
      </c>
      <c r="J349" s="67">
        <v>0</v>
      </c>
      <c r="K349" s="39" t="s">
        <v>500</v>
      </c>
      <c r="L349" s="319" t="b">
        <f>+ISNUMBER(PAGOS[[#This Row],[REG]])</f>
        <v>0</v>
      </c>
    </row>
    <row r="350" spans="1:12" x14ac:dyDescent="0.3">
      <c r="A350" s="335">
        <v>304</v>
      </c>
      <c r="B350" s="71">
        <v>5</v>
      </c>
      <c r="C350" s="54" t="s">
        <v>14</v>
      </c>
      <c r="D350" s="291">
        <v>71</v>
      </c>
      <c r="E350" s="33">
        <v>100</v>
      </c>
      <c r="F350" s="55">
        <v>45915</v>
      </c>
      <c r="G350" s="63">
        <v>4</v>
      </c>
      <c r="H350" s="33">
        <v>24</v>
      </c>
      <c r="I350" s="55">
        <v>45915</v>
      </c>
      <c r="J350" s="67">
        <v>4</v>
      </c>
      <c r="K350" s="39" t="s">
        <v>436</v>
      </c>
      <c r="L350" s="319" t="b">
        <f>+ISNUMBER(PAGOS[[#This Row],[REG]])</f>
        <v>1</v>
      </c>
    </row>
    <row r="351" spans="1:12" x14ac:dyDescent="0.3">
      <c r="A351" s="335">
        <v>305</v>
      </c>
      <c r="B351" s="71">
        <v>17</v>
      </c>
      <c r="C351" s="54" t="s">
        <v>339</v>
      </c>
      <c r="D351" s="291">
        <v>72</v>
      </c>
      <c r="E351" s="33">
        <v>166.67</v>
      </c>
      <c r="F351" s="55">
        <v>45915</v>
      </c>
      <c r="G351" s="63">
        <v>4</v>
      </c>
      <c r="H351" s="33">
        <v>40</v>
      </c>
      <c r="I351" s="55">
        <v>45915</v>
      </c>
      <c r="J351" s="67">
        <v>4</v>
      </c>
      <c r="K351" s="39" t="s">
        <v>436</v>
      </c>
      <c r="L351" s="319" t="b">
        <f>+ISNUMBER(PAGOS[[#This Row],[REG]])</f>
        <v>1</v>
      </c>
    </row>
    <row r="352" spans="1:12" x14ac:dyDescent="0.3">
      <c r="A352" s="335">
        <v>306</v>
      </c>
      <c r="B352" s="71">
        <v>6</v>
      </c>
      <c r="C352" s="54" t="s">
        <v>24</v>
      </c>
      <c r="D352" s="291">
        <v>77</v>
      </c>
      <c r="E352" s="33">
        <v>100</v>
      </c>
      <c r="F352" s="55">
        <v>45915</v>
      </c>
      <c r="G352" s="63">
        <v>1</v>
      </c>
      <c r="H352" s="33">
        <v>24</v>
      </c>
      <c r="I352" s="55">
        <v>45915</v>
      </c>
      <c r="J352" s="67">
        <v>1</v>
      </c>
      <c r="K352" s="39" t="s">
        <v>501</v>
      </c>
      <c r="L352" s="319" t="b">
        <f>+ISNUMBER(PAGOS[[#This Row],[REG]])</f>
        <v>1</v>
      </c>
    </row>
    <row r="353" spans="1:12" x14ac:dyDescent="0.3">
      <c r="A353" s="335">
        <v>307</v>
      </c>
      <c r="B353" s="71">
        <v>15</v>
      </c>
      <c r="C353" s="54" t="s">
        <v>22</v>
      </c>
      <c r="D353" s="291">
        <v>78</v>
      </c>
      <c r="E353" s="33">
        <v>100</v>
      </c>
      <c r="F353" s="55">
        <v>45915</v>
      </c>
      <c r="G353" s="63">
        <v>1</v>
      </c>
      <c r="H353" s="33">
        <v>14</v>
      </c>
      <c r="I353" s="55">
        <v>45915</v>
      </c>
      <c r="J353" s="67">
        <v>1</v>
      </c>
      <c r="K353" s="39" t="s">
        <v>485</v>
      </c>
      <c r="L353" s="319" t="b">
        <f>+ISNUMBER(PAGOS[[#This Row],[REG]])</f>
        <v>1</v>
      </c>
    </row>
    <row r="354" spans="1:12" x14ac:dyDescent="0.3">
      <c r="A354" s="335">
        <v>308</v>
      </c>
      <c r="B354" s="71">
        <v>18</v>
      </c>
      <c r="C354" s="54" t="s">
        <v>340</v>
      </c>
      <c r="D354" s="291">
        <v>79</v>
      </c>
      <c r="E354" s="33">
        <v>50</v>
      </c>
      <c r="F354" s="55">
        <v>45915</v>
      </c>
      <c r="G354" s="63">
        <v>1</v>
      </c>
      <c r="H354" s="33">
        <v>4</v>
      </c>
      <c r="I354" s="55">
        <v>45915</v>
      </c>
      <c r="J354" s="67">
        <v>1</v>
      </c>
      <c r="K354" s="39" t="s">
        <v>485</v>
      </c>
      <c r="L354" s="319" t="b">
        <f>+ISNUMBER(PAGOS[[#This Row],[REG]])</f>
        <v>1</v>
      </c>
    </row>
    <row r="355" spans="1:12" x14ac:dyDescent="0.3">
      <c r="A355" s="335">
        <v>309</v>
      </c>
      <c r="B355" s="71">
        <v>12</v>
      </c>
      <c r="C355" s="54" t="s">
        <v>20</v>
      </c>
      <c r="D355" s="291">
        <v>81</v>
      </c>
      <c r="E355" s="33">
        <v>110</v>
      </c>
      <c r="F355" s="55">
        <v>45915</v>
      </c>
      <c r="G355" s="63">
        <v>1</v>
      </c>
      <c r="H355" s="33">
        <v>22</v>
      </c>
      <c r="I355" s="55">
        <v>45915</v>
      </c>
      <c r="J355" s="67">
        <v>1</v>
      </c>
      <c r="K355" s="39" t="s">
        <v>485</v>
      </c>
      <c r="L355" s="319" t="b">
        <f>+ISNUMBER(PAGOS[[#This Row],[REG]])</f>
        <v>1</v>
      </c>
    </row>
    <row r="356" spans="1:12" x14ac:dyDescent="0.3">
      <c r="A356" s="335">
        <v>310</v>
      </c>
      <c r="B356" s="71">
        <v>4</v>
      </c>
      <c r="C356" s="54" t="s">
        <v>12</v>
      </c>
      <c r="D356" s="291">
        <v>82</v>
      </c>
      <c r="E356" s="33">
        <v>50</v>
      </c>
      <c r="F356" s="55">
        <v>45915</v>
      </c>
      <c r="G356" s="63">
        <v>0</v>
      </c>
      <c r="H356" s="33">
        <v>2</v>
      </c>
      <c r="I356" s="55">
        <v>45915</v>
      </c>
      <c r="J356" s="67">
        <v>0</v>
      </c>
      <c r="K356" s="39" t="s">
        <v>485</v>
      </c>
      <c r="L356" s="319" t="b">
        <f>+ISNUMBER(PAGOS[[#This Row],[REG]])</f>
        <v>1</v>
      </c>
    </row>
    <row r="357" spans="1:12" x14ac:dyDescent="0.3">
      <c r="A357" s="335">
        <v>311</v>
      </c>
      <c r="B357" s="71">
        <v>12</v>
      </c>
      <c r="C357" s="54" t="s">
        <v>20</v>
      </c>
      <c r="D357" s="291">
        <v>86</v>
      </c>
      <c r="E357" s="33">
        <v>50</v>
      </c>
      <c r="F357" s="55">
        <v>45915</v>
      </c>
      <c r="G357" s="63">
        <v>1</v>
      </c>
      <c r="H357" s="33">
        <v>2</v>
      </c>
      <c r="I357" s="55">
        <v>45915</v>
      </c>
      <c r="J357" s="67">
        <v>1</v>
      </c>
      <c r="K357" s="39" t="s">
        <v>485</v>
      </c>
      <c r="L357" s="319" t="b">
        <f>+ISNUMBER(PAGOS[[#This Row],[REG]])</f>
        <v>1</v>
      </c>
    </row>
    <row r="358" spans="1:12" x14ac:dyDescent="0.3">
      <c r="A358" s="335">
        <v>312</v>
      </c>
      <c r="B358" s="71">
        <v>3</v>
      </c>
      <c r="C358" s="54" t="s">
        <v>13</v>
      </c>
      <c r="D358" s="291">
        <v>89</v>
      </c>
      <c r="E358" s="33">
        <v>30</v>
      </c>
      <c r="F358" s="55">
        <v>45915</v>
      </c>
      <c r="G358" s="63">
        <v>0</v>
      </c>
      <c r="H358" s="33">
        <v>1.2</v>
      </c>
      <c r="I358" s="55">
        <v>45915</v>
      </c>
      <c r="J358" s="67">
        <v>0</v>
      </c>
      <c r="K358" s="39" t="s">
        <v>501</v>
      </c>
      <c r="L358" s="319" t="b">
        <f>+ISNUMBER(PAGOS[[#This Row],[REG]])</f>
        <v>1</v>
      </c>
    </row>
    <row r="359" spans="1:12" x14ac:dyDescent="0.3">
      <c r="A359" s="335">
        <v>313</v>
      </c>
      <c r="B359" s="71">
        <v>7</v>
      </c>
      <c r="C359" s="54" t="s">
        <v>408</v>
      </c>
      <c r="D359" s="291">
        <v>84</v>
      </c>
      <c r="E359" s="33">
        <v>0</v>
      </c>
      <c r="F359" s="55">
        <v>45915</v>
      </c>
      <c r="G359" s="63">
        <v>0</v>
      </c>
      <c r="H359" s="33">
        <v>2</v>
      </c>
      <c r="I359" s="55">
        <v>45915</v>
      </c>
      <c r="J359" s="67">
        <v>0</v>
      </c>
      <c r="K359" s="39" t="s">
        <v>502</v>
      </c>
      <c r="L359" s="319" t="b">
        <f>+ISNUMBER(PAGOS[[#This Row],[REG]])</f>
        <v>1</v>
      </c>
    </row>
    <row r="360" spans="1:12" x14ac:dyDescent="0.3">
      <c r="A360" s="335">
        <v>314</v>
      </c>
      <c r="B360" s="71">
        <v>7</v>
      </c>
      <c r="C360" s="54" t="s">
        <v>408</v>
      </c>
      <c r="D360" s="291">
        <v>83</v>
      </c>
      <c r="E360" s="33">
        <v>0</v>
      </c>
      <c r="F360" s="55">
        <v>45915</v>
      </c>
      <c r="G360" s="63">
        <v>0</v>
      </c>
      <c r="H360" s="33">
        <v>4</v>
      </c>
      <c r="I360" s="55">
        <v>45915</v>
      </c>
      <c r="J360" s="67">
        <v>0</v>
      </c>
      <c r="K360" s="39" t="s">
        <v>502</v>
      </c>
      <c r="L360" s="319" t="b">
        <f>+ISNUMBER(PAGOS[[#This Row],[REG]])</f>
        <v>1</v>
      </c>
    </row>
    <row r="361" spans="1:12" x14ac:dyDescent="0.3">
      <c r="A361" s="335">
        <v>315</v>
      </c>
      <c r="B361" s="71">
        <v>8</v>
      </c>
      <c r="C361" s="54" t="s">
        <v>16</v>
      </c>
      <c r="D361" s="291">
        <v>70</v>
      </c>
      <c r="E361" s="33">
        <v>100</v>
      </c>
      <c r="F361" s="55">
        <v>45915</v>
      </c>
      <c r="G361" s="63">
        <v>4</v>
      </c>
      <c r="H361" s="33">
        <v>0</v>
      </c>
      <c r="I361" s="55">
        <v>45915</v>
      </c>
      <c r="J361" s="67">
        <v>4</v>
      </c>
      <c r="K361" s="39" t="s">
        <v>508</v>
      </c>
      <c r="L361" s="319" t="b">
        <f>+ISNUMBER(PAGOS[[#This Row],[REG]])</f>
        <v>1</v>
      </c>
    </row>
    <row r="362" spans="1:12" x14ac:dyDescent="0.3">
      <c r="A362" s="335" t="s">
        <v>505</v>
      </c>
      <c r="B362" s="71">
        <v>8</v>
      </c>
      <c r="C362" s="54" t="s">
        <v>16</v>
      </c>
      <c r="D362" s="291">
        <v>70</v>
      </c>
      <c r="E362" s="33">
        <v>0</v>
      </c>
      <c r="F362" s="55">
        <v>45915</v>
      </c>
      <c r="G362" s="63">
        <v>5</v>
      </c>
      <c r="H362" s="33">
        <v>10</v>
      </c>
      <c r="I362" s="55">
        <v>45915</v>
      </c>
      <c r="J362" s="67">
        <v>5</v>
      </c>
      <c r="K362" s="39" t="s">
        <v>506</v>
      </c>
      <c r="L362" s="319" t="b">
        <f>+ISNUMBER(PAGOS[[#This Row],[REG]])</f>
        <v>0</v>
      </c>
    </row>
    <row r="363" spans="1:12" x14ac:dyDescent="0.3">
      <c r="A363" s="335">
        <v>316</v>
      </c>
      <c r="B363" s="71">
        <v>7</v>
      </c>
      <c r="C363" s="54" t="s">
        <v>408</v>
      </c>
      <c r="D363" s="291">
        <v>80</v>
      </c>
      <c r="E363" s="33">
        <v>100</v>
      </c>
      <c r="F363" s="55">
        <v>45915</v>
      </c>
      <c r="G363" s="63">
        <v>1</v>
      </c>
      <c r="H363" s="33">
        <v>8</v>
      </c>
      <c r="I363" s="55">
        <v>45915</v>
      </c>
      <c r="J363" s="67">
        <v>1</v>
      </c>
      <c r="K363" s="39" t="s">
        <v>507</v>
      </c>
      <c r="L363" s="319" t="b">
        <f>+ISNUMBER(PAGOS[[#This Row],[REG]])</f>
        <v>1</v>
      </c>
    </row>
    <row r="364" spans="1:12" x14ac:dyDescent="0.3">
      <c r="A364" s="335">
        <v>317</v>
      </c>
      <c r="B364" s="71">
        <v>10</v>
      </c>
      <c r="C364" s="54" t="s">
        <v>18</v>
      </c>
      <c r="D364" s="291">
        <v>68</v>
      </c>
      <c r="E364" s="33">
        <v>40</v>
      </c>
      <c r="F364" s="55">
        <v>45930</v>
      </c>
      <c r="G364" s="63">
        <v>5</v>
      </c>
      <c r="H364" s="33">
        <v>4</v>
      </c>
      <c r="I364" s="55">
        <v>45930</v>
      </c>
      <c r="J364" s="67">
        <v>5</v>
      </c>
      <c r="K364" s="39" t="s">
        <v>510</v>
      </c>
      <c r="L364" s="319" t="b">
        <f>+ISNUMBER(PAGOS[[#This Row],[REG]])</f>
        <v>1</v>
      </c>
    </row>
    <row r="365" spans="1:12" x14ac:dyDescent="0.3">
      <c r="A365" s="335">
        <v>318</v>
      </c>
      <c r="B365" s="71">
        <v>9</v>
      </c>
      <c r="C365" s="54" t="s">
        <v>17</v>
      </c>
      <c r="D365" s="291">
        <v>87</v>
      </c>
      <c r="E365" s="33">
        <v>44</v>
      </c>
      <c r="F365" s="55">
        <v>45930</v>
      </c>
      <c r="G365" s="63">
        <v>1</v>
      </c>
      <c r="H365" s="33">
        <v>2</v>
      </c>
      <c r="I365" s="55">
        <v>45930</v>
      </c>
      <c r="J365" s="67">
        <v>1</v>
      </c>
      <c r="K365" s="39" t="s">
        <v>511</v>
      </c>
      <c r="L365" s="319" t="b">
        <f>+ISNUMBER(PAGOS[[#This Row],[REG]])</f>
        <v>1</v>
      </c>
    </row>
    <row r="366" spans="1:12" x14ac:dyDescent="0.3">
      <c r="A366" s="335">
        <v>319</v>
      </c>
      <c r="B366" s="71">
        <v>16</v>
      </c>
      <c r="C366" s="54" t="s">
        <v>23</v>
      </c>
      <c r="D366" s="291">
        <v>90</v>
      </c>
      <c r="E366" s="33">
        <v>50</v>
      </c>
      <c r="F366" s="55">
        <v>45937</v>
      </c>
      <c r="G366" s="63">
        <v>1</v>
      </c>
      <c r="H366" s="33">
        <v>3</v>
      </c>
      <c r="I366" s="55">
        <v>45937</v>
      </c>
      <c r="J366" s="67">
        <v>1</v>
      </c>
      <c r="K366" s="39" t="s">
        <v>485</v>
      </c>
      <c r="L366" s="319" t="b">
        <f>+ISNUMBER(PAGOS[[#This Row],[REG]])</f>
        <v>1</v>
      </c>
    </row>
    <row r="367" spans="1:12" x14ac:dyDescent="0.3">
      <c r="A367" s="335" t="s">
        <v>516</v>
      </c>
      <c r="B367" s="71">
        <v>1</v>
      </c>
      <c r="C367" s="54" t="s">
        <v>70</v>
      </c>
      <c r="D367" s="291">
        <v>0</v>
      </c>
      <c r="E367" s="33">
        <v>1</v>
      </c>
      <c r="F367" s="55">
        <v>45945</v>
      </c>
      <c r="G367" s="63">
        <v>0</v>
      </c>
      <c r="H367" s="33">
        <v>0</v>
      </c>
      <c r="I367" s="55">
        <v>45945</v>
      </c>
      <c r="J367" s="67">
        <v>0</v>
      </c>
      <c r="K367" s="39" t="s">
        <v>517</v>
      </c>
      <c r="L367" s="319" t="b">
        <f>+ISNUMBER(PAGOS[[#This Row],[REG]])</f>
        <v>0</v>
      </c>
    </row>
    <row r="368" spans="1:12" x14ac:dyDescent="0.3">
      <c r="A368" s="335">
        <v>320</v>
      </c>
      <c r="B368" s="71">
        <v>5</v>
      </c>
      <c r="C368" s="54" t="s">
        <v>14</v>
      </c>
      <c r="D368" s="291">
        <v>71</v>
      </c>
      <c r="E368" s="33">
        <v>100</v>
      </c>
      <c r="F368" s="55">
        <v>45945</v>
      </c>
      <c r="G368" s="63">
        <v>5</v>
      </c>
      <c r="H368" s="33">
        <v>24</v>
      </c>
      <c r="I368" s="55">
        <v>45945</v>
      </c>
      <c r="J368" s="67">
        <v>5</v>
      </c>
      <c r="K368" s="39" t="s">
        <v>510</v>
      </c>
      <c r="L368" s="319" t="b">
        <f>+ISNUMBER(PAGOS[[#This Row],[REG]])</f>
        <v>1</v>
      </c>
    </row>
    <row r="369" spans="1:12" x14ac:dyDescent="0.3">
      <c r="A369" s="335">
        <v>321</v>
      </c>
      <c r="B369" s="71">
        <v>17</v>
      </c>
      <c r="C369" s="54" t="s">
        <v>339</v>
      </c>
      <c r="D369" s="291">
        <v>72</v>
      </c>
      <c r="E369" s="33">
        <v>166.67</v>
      </c>
      <c r="F369" s="55">
        <v>45945</v>
      </c>
      <c r="G369" s="63">
        <v>5</v>
      </c>
      <c r="H369" s="33">
        <v>40</v>
      </c>
      <c r="I369" s="55">
        <v>45945</v>
      </c>
      <c r="J369" s="67">
        <v>5</v>
      </c>
      <c r="K369" s="39" t="s">
        <v>510</v>
      </c>
      <c r="L369" s="319" t="b">
        <f>+ISNUMBER(PAGOS[[#This Row],[REG]])</f>
        <v>1</v>
      </c>
    </row>
    <row r="370" spans="1:12" x14ac:dyDescent="0.3">
      <c r="A370" s="335">
        <v>322</v>
      </c>
      <c r="B370" s="71">
        <v>6</v>
      </c>
      <c r="C370" s="54" t="s">
        <v>24</v>
      </c>
      <c r="D370" s="291">
        <v>77</v>
      </c>
      <c r="E370" s="33">
        <v>100</v>
      </c>
      <c r="F370" s="55">
        <v>45945</v>
      </c>
      <c r="G370" s="63">
        <v>2</v>
      </c>
      <c r="H370" s="33">
        <v>24</v>
      </c>
      <c r="I370" s="55">
        <v>45945</v>
      </c>
      <c r="J370" s="67">
        <v>2</v>
      </c>
      <c r="K370" s="39" t="s">
        <v>518</v>
      </c>
      <c r="L370" s="319" t="b">
        <f>+ISNUMBER(PAGOS[[#This Row],[REG]])</f>
        <v>1</v>
      </c>
    </row>
    <row r="371" spans="1:12" x14ac:dyDescent="0.3">
      <c r="A371" s="335">
        <v>323</v>
      </c>
      <c r="B371" s="71">
        <v>15</v>
      </c>
      <c r="C371" s="54" t="s">
        <v>22</v>
      </c>
      <c r="D371" s="291">
        <v>78</v>
      </c>
      <c r="E371" s="33">
        <v>100</v>
      </c>
      <c r="F371" s="55">
        <v>45945</v>
      </c>
      <c r="G371" s="63">
        <v>2</v>
      </c>
      <c r="H371" s="33">
        <v>14</v>
      </c>
      <c r="I371" s="55">
        <v>45945</v>
      </c>
      <c r="J371" s="67">
        <v>2</v>
      </c>
      <c r="K371" s="39" t="s">
        <v>518</v>
      </c>
      <c r="L371" s="319" t="b">
        <f>+ISNUMBER(PAGOS[[#This Row],[REG]])</f>
        <v>1</v>
      </c>
    </row>
    <row r="372" spans="1:12" x14ac:dyDescent="0.3">
      <c r="A372" s="335">
        <v>324</v>
      </c>
      <c r="B372" s="71">
        <v>18</v>
      </c>
      <c r="C372" s="54" t="s">
        <v>340</v>
      </c>
      <c r="D372" s="291">
        <v>79</v>
      </c>
      <c r="E372" s="33">
        <v>50</v>
      </c>
      <c r="F372" s="55">
        <v>45945</v>
      </c>
      <c r="G372" s="63">
        <v>2</v>
      </c>
      <c r="H372" s="33">
        <v>4</v>
      </c>
      <c r="I372" s="55">
        <v>45945</v>
      </c>
      <c r="J372" s="67">
        <v>2</v>
      </c>
      <c r="K372" s="39" t="s">
        <v>518</v>
      </c>
      <c r="L372" s="319" t="b">
        <f>+ISNUMBER(PAGOS[[#This Row],[REG]])</f>
        <v>1</v>
      </c>
    </row>
    <row r="373" spans="1:12" x14ac:dyDescent="0.3">
      <c r="A373" s="335">
        <v>325</v>
      </c>
      <c r="B373" s="71">
        <v>7</v>
      </c>
      <c r="C373" s="54" t="s">
        <v>408</v>
      </c>
      <c r="D373" s="291">
        <v>80</v>
      </c>
      <c r="E373" s="33">
        <v>100</v>
      </c>
      <c r="F373" s="55">
        <v>45945</v>
      </c>
      <c r="G373" s="63">
        <v>2</v>
      </c>
      <c r="H373" s="33">
        <v>8</v>
      </c>
      <c r="I373" s="55">
        <v>45945</v>
      </c>
      <c r="J373" s="67">
        <v>2</v>
      </c>
      <c r="K373" s="39" t="s">
        <v>518</v>
      </c>
      <c r="L373" s="319" t="b">
        <f>+ISNUMBER(PAGOS[[#This Row],[REG]])</f>
        <v>1</v>
      </c>
    </row>
    <row r="374" spans="1:12" x14ac:dyDescent="0.3">
      <c r="A374" s="335">
        <v>326</v>
      </c>
      <c r="B374" s="71">
        <v>12</v>
      </c>
      <c r="C374" s="54" t="s">
        <v>20</v>
      </c>
      <c r="D374" s="291">
        <v>81</v>
      </c>
      <c r="E374" s="33">
        <v>110</v>
      </c>
      <c r="F374" s="55">
        <v>45945</v>
      </c>
      <c r="G374" s="63">
        <v>2</v>
      </c>
      <c r="H374" s="33">
        <v>22</v>
      </c>
      <c r="I374" s="55">
        <v>45945</v>
      </c>
      <c r="J374" s="67">
        <v>2</v>
      </c>
      <c r="K374" s="39" t="s">
        <v>518</v>
      </c>
      <c r="L374" s="319" t="b">
        <f>+ISNUMBER(PAGOS[[#This Row],[REG]])</f>
        <v>1</v>
      </c>
    </row>
    <row r="375" spans="1:12" x14ac:dyDescent="0.3">
      <c r="A375" s="335">
        <v>327</v>
      </c>
      <c r="B375" s="71">
        <v>4</v>
      </c>
      <c r="C375" s="54" t="s">
        <v>12</v>
      </c>
      <c r="D375" s="291">
        <v>82</v>
      </c>
      <c r="E375" s="33">
        <v>50</v>
      </c>
      <c r="F375" s="55">
        <v>45945</v>
      </c>
      <c r="G375" s="63">
        <v>2</v>
      </c>
      <c r="H375" s="33">
        <v>2</v>
      </c>
      <c r="I375" s="55">
        <v>45945</v>
      </c>
      <c r="J375" s="67">
        <v>2</v>
      </c>
      <c r="K375" s="39" t="s">
        <v>518</v>
      </c>
      <c r="L375" s="319" t="b">
        <f>+ISNUMBER(PAGOS[[#This Row],[REG]])</f>
        <v>1</v>
      </c>
    </row>
    <row r="376" spans="1:12" x14ac:dyDescent="0.3">
      <c r="A376" s="335">
        <v>328</v>
      </c>
      <c r="B376" s="71">
        <v>12</v>
      </c>
      <c r="C376" s="54" t="s">
        <v>20</v>
      </c>
      <c r="D376" s="291">
        <v>86</v>
      </c>
      <c r="E376" s="33">
        <v>50</v>
      </c>
      <c r="F376" s="55">
        <v>45945</v>
      </c>
      <c r="G376" s="63">
        <v>2</v>
      </c>
      <c r="H376" s="33">
        <v>2</v>
      </c>
      <c r="I376" s="55">
        <v>45945</v>
      </c>
      <c r="J376" s="67">
        <v>2</v>
      </c>
      <c r="K376" s="39" t="s">
        <v>518</v>
      </c>
      <c r="L376" s="319" t="b">
        <f>+ISNUMBER(PAGOS[[#This Row],[REG]])</f>
        <v>1</v>
      </c>
    </row>
    <row r="377" spans="1:12" x14ac:dyDescent="0.3">
      <c r="A377" s="335">
        <v>329</v>
      </c>
      <c r="B377" s="71">
        <v>5</v>
      </c>
      <c r="C377" s="54" t="s">
        <v>14</v>
      </c>
      <c r="D377" s="291">
        <v>88</v>
      </c>
      <c r="E377" s="33">
        <v>100</v>
      </c>
      <c r="F377" s="55">
        <v>45945</v>
      </c>
      <c r="G377" s="63">
        <v>2</v>
      </c>
      <c r="H377" s="33">
        <v>4</v>
      </c>
      <c r="I377" s="55">
        <v>45945</v>
      </c>
      <c r="J377" s="67">
        <v>2</v>
      </c>
      <c r="K377" s="39" t="s">
        <v>519</v>
      </c>
      <c r="L377" s="319" t="b">
        <f>+ISNUMBER(PAGOS[[#This Row],[REG]])</f>
        <v>1</v>
      </c>
    </row>
    <row r="378" spans="1:12" x14ac:dyDescent="0.3">
      <c r="A378" s="335">
        <v>330</v>
      </c>
      <c r="B378" s="71">
        <v>3</v>
      </c>
      <c r="C378" s="54" t="s">
        <v>13</v>
      </c>
      <c r="D378" s="291">
        <v>89</v>
      </c>
      <c r="E378" s="33">
        <v>30</v>
      </c>
      <c r="F378" s="55">
        <v>45945</v>
      </c>
      <c r="G378" s="63">
        <v>2</v>
      </c>
      <c r="H378" s="33">
        <v>1.2</v>
      </c>
      <c r="I378" s="55">
        <v>45945</v>
      </c>
      <c r="J378" s="67">
        <v>2</v>
      </c>
      <c r="K378" s="39" t="s">
        <v>518</v>
      </c>
      <c r="L378" s="319" t="b">
        <f>+ISNUMBER(PAGOS[[#This Row],[REG]])</f>
        <v>1</v>
      </c>
    </row>
    <row r="379" spans="1:12" x14ac:dyDescent="0.3">
      <c r="A379" s="335">
        <v>331</v>
      </c>
      <c r="B379" s="71">
        <v>8</v>
      </c>
      <c r="C379" s="54" t="s">
        <v>409</v>
      </c>
      <c r="D379" s="291">
        <v>91</v>
      </c>
      <c r="E379" s="33">
        <v>0</v>
      </c>
      <c r="F379" s="55">
        <v>45945</v>
      </c>
      <c r="G379" s="63">
        <v>1</v>
      </c>
      <c r="H379" s="33">
        <v>14</v>
      </c>
      <c r="I379" s="55">
        <v>45945</v>
      </c>
      <c r="J379" s="67">
        <v>1</v>
      </c>
      <c r="K379" s="39" t="s">
        <v>502</v>
      </c>
      <c r="L379" s="319" t="b">
        <f>+ISNUMBER(PAGOS[[#This Row],[REG]])</f>
        <v>1</v>
      </c>
    </row>
    <row r="380" spans="1:12" x14ac:dyDescent="0.3">
      <c r="A380" s="335">
        <v>332</v>
      </c>
      <c r="B380" s="71">
        <v>7</v>
      </c>
      <c r="C380" s="54" t="s">
        <v>408</v>
      </c>
      <c r="D380" s="291">
        <v>92</v>
      </c>
      <c r="E380" s="33">
        <v>300</v>
      </c>
      <c r="F380" s="55">
        <v>45945</v>
      </c>
      <c r="G380" s="63">
        <v>1</v>
      </c>
      <c r="H380" s="33">
        <v>6</v>
      </c>
      <c r="I380" s="55">
        <v>45945</v>
      </c>
      <c r="J380" s="67">
        <v>1</v>
      </c>
      <c r="K380" s="39" t="s">
        <v>485</v>
      </c>
      <c r="L380" s="319" t="b">
        <f>+ISNUMBER(PAGOS[[#This Row],[REG]])</f>
        <v>1</v>
      </c>
    </row>
    <row r="381" spans="1:12" x14ac:dyDescent="0.3">
      <c r="A381" s="335">
        <v>333</v>
      </c>
      <c r="B381" s="71">
        <v>9</v>
      </c>
      <c r="C381" s="54" t="s">
        <v>17</v>
      </c>
      <c r="D381" s="291">
        <v>87</v>
      </c>
      <c r="E381" s="33">
        <v>56</v>
      </c>
      <c r="F381" s="55">
        <v>45945</v>
      </c>
      <c r="G381" s="63">
        <v>2</v>
      </c>
      <c r="H381" s="33">
        <v>2</v>
      </c>
      <c r="I381" s="55">
        <v>45945</v>
      </c>
      <c r="J381" s="67">
        <v>2</v>
      </c>
      <c r="K381" s="39" t="s">
        <v>521</v>
      </c>
      <c r="L381" s="319" t="b">
        <f>+ISNUMBER(PAGOS[[#This Row],[REG]])</f>
        <v>1</v>
      </c>
    </row>
    <row r="382" spans="1:12" x14ac:dyDescent="0.3">
      <c r="A382" s="335">
        <v>334</v>
      </c>
      <c r="B382" s="71">
        <v>18</v>
      </c>
      <c r="C382" s="54" t="s">
        <v>340</v>
      </c>
      <c r="D382" s="291">
        <v>79</v>
      </c>
      <c r="E382" s="33">
        <v>50</v>
      </c>
      <c r="F382" s="55">
        <v>45945</v>
      </c>
      <c r="G382" s="63">
        <v>3</v>
      </c>
      <c r="H382" s="33">
        <v>4</v>
      </c>
      <c r="I382" s="55">
        <v>45945</v>
      </c>
      <c r="J382" s="67">
        <v>3</v>
      </c>
      <c r="K382" s="39" t="s">
        <v>523</v>
      </c>
      <c r="L382" s="319" t="b">
        <f>+ISNUMBER(PAGOS[[#This Row],[REG]])</f>
        <v>1</v>
      </c>
    </row>
    <row r="383" spans="1:12" x14ac:dyDescent="0.3">
      <c r="A383" s="335">
        <v>335</v>
      </c>
      <c r="B383" s="71">
        <v>18</v>
      </c>
      <c r="C383" s="54" t="s">
        <v>340</v>
      </c>
      <c r="D383" s="291">
        <v>79</v>
      </c>
      <c r="E383" s="33">
        <v>50</v>
      </c>
      <c r="F383" s="55">
        <v>45945</v>
      </c>
      <c r="G383" s="63">
        <v>4</v>
      </c>
      <c r="H383" s="33">
        <v>0</v>
      </c>
      <c r="I383" s="55">
        <v>45945</v>
      </c>
      <c r="J383" s="67">
        <v>4</v>
      </c>
      <c r="K383" s="39" t="s">
        <v>524</v>
      </c>
      <c r="L383" s="319" t="b">
        <f>+ISNUMBER(PAGOS[[#This Row],[REG]])</f>
        <v>1</v>
      </c>
    </row>
    <row r="384" spans="1:12" x14ac:dyDescent="0.3">
      <c r="A384" s="335" t="s">
        <v>525</v>
      </c>
      <c r="B384" s="71">
        <v>18</v>
      </c>
      <c r="C384" s="54" t="s">
        <v>340</v>
      </c>
      <c r="D384" s="291">
        <v>79</v>
      </c>
      <c r="E384" s="33">
        <v>0</v>
      </c>
      <c r="F384" s="55">
        <v>45945</v>
      </c>
      <c r="G384" s="63">
        <v>2</v>
      </c>
      <c r="H384" s="33">
        <v>4</v>
      </c>
      <c r="I384" s="55">
        <v>45945</v>
      </c>
      <c r="J384" s="67">
        <v>2</v>
      </c>
      <c r="K384" s="39" t="s">
        <v>526</v>
      </c>
      <c r="L384" s="319" t="b">
        <f>+ISNUMBER(PAGOS[[#This Row],[REG]])</f>
        <v>0</v>
      </c>
    </row>
    <row r="385" spans="1:12" x14ac:dyDescent="0.3">
      <c r="A385" s="335" t="s">
        <v>530</v>
      </c>
      <c r="B385" s="71">
        <v>2</v>
      </c>
      <c r="C385" s="54" t="s">
        <v>71</v>
      </c>
      <c r="D385" s="291">
        <v>0</v>
      </c>
      <c r="E385" s="33">
        <v>17.920000000000002</v>
      </c>
      <c r="F385" s="55">
        <v>45950</v>
      </c>
      <c r="G385" s="63">
        <v>0</v>
      </c>
      <c r="H385" s="33">
        <v>0</v>
      </c>
      <c r="I385" s="55">
        <v>45950</v>
      </c>
      <c r="J385" s="67">
        <v>0</v>
      </c>
      <c r="K385" s="39" t="s">
        <v>531</v>
      </c>
      <c r="L385" s="319" t="b">
        <f>+ISNUMBER(PAGOS[[#This Row],[REG]])</f>
        <v>0</v>
      </c>
    </row>
    <row r="386" spans="1:12" x14ac:dyDescent="0.3">
      <c r="A386" s="335">
        <v>336</v>
      </c>
      <c r="B386" s="71">
        <v>16</v>
      </c>
      <c r="C386" s="54" t="s">
        <v>23</v>
      </c>
      <c r="D386" s="291">
        <v>90</v>
      </c>
      <c r="E386" s="33">
        <v>50</v>
      </c>
      <c r="F386" s="369">
        <v>45966</v>
      </c>
      <c r="G386" s="63">
        <v>1</v>
      </c>
      <c r="H386" s="33">
        <v>3</v>
      </c>
      <c r="I386" s="369">
        <v>45966</v>
      </c>
      <c r="J386" s="67">
        <v>1</v>
      </c>
      <c r="K386" s="39" t="s">
        <v>518</v>
      </c>
      <c r="L386" s="319" t="b">
        <f>+ISNUMBER(PAGOS[[#This Row],[REG]])</f>
        <v>1</v>
      </c>
    </row>
  </sheetData>
  <sheetProtection algorithmName="SHA-512" hashValue="jyjLVigzKzzrnS8nn55RUGnFLd4rFVFuIpnK33yesrCrc9YA3uPUmvJWkyYSL7C584yiMyGFOsiRJ24wjzsPqQ==" saltValue="Ddzgm05GIx+U45aZZ3/A1Q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0"/>
  <sheetViews>
    <sheetView workbookViewId="0"/>
  </sheetViews>
  <sheetFormatPr baseColWidth="10" defaultRowHeight="14.4" x14ac:dyDescent="0.3"/>
  <cols>
    <col min="1" max="1" width="13" bestFit="1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33" t="s">
        <v>381</v>
      </c>
      <c r="B1" s="234" t="s">
        <v>48</v>
      </c>
      <c r="C1" s="234" t="s">
        <v>69</v>
      </c>
      <c r="D1" s="235" t="s">
        <v>297</v>
      </c>
    </row>
    <row r="2" spans="1:6" x14ac:dyDescent="0.3">
      <c r="A2" s="352" cm="1">
        <f t="array" ref="A2">IF(DENERO_CAJA[[#This Row],[MONTO]]&lt;&gt;"",ROW()-ROW(DENERO_CAJA[#Headers]),"")</f>
        <v>1</v>
      </c>
      <c r="B2" s="225">
        <v>44788</v>
      </c>
      <c r="C2" s="247">
        <v>130</v>
      </c>
      <c r="D2" s="231"/>
      <c r="F2" s="265"/>
    </row>
    <row r="3" spans="1:6" x14ac:dyDescent="0.3">
      <c r="A3" s="352" cm="1">
        <f t="array" ref="A3">IF(DENERO_CAJA[[#This Row],[MONTO]]&lt;&gt;"",ROW()-ROW(DENERO_CAJA[#Headers]),"")</f>
        <v>2</v>
      </c>
      <c r="B3" s="225">
        <v>44819</v>
      </c>
      <c r="C3" s="247">
        <v>100</v>
      </c>
      <c r="D3" s="231"/>
      <c r="F3" s="265"/>
    </row>
    <row r="4" spans="1:6" x14ac:dyDescent="0.3">
      <c r="A4" s="352" cm="1">
        <f t="array" ref="A4">IF(DENERO_CAJA[[#This Row],[MONTO]]&lt;&gt;"",ROW()-ROW(DENERO_CAJA[#Headers]),"")</f>
        <v>3</v>
      </c>
      <c r="B4" s="225">
        <v>44849</v>
      </c>
      <c r="C4" s="247">
        <v>113.2</v>
      </c>
      <c r="D4" s="231" t="s">
        <v>174</v>
      </c>
      <c r="F4" s="265"/>
    </row>
    <row r="5" spans="1:6" x14ac:dyDescent="0.3">
      <c r="A5" s="352" cm="1">
        <f t="array" ref="A5">IF(DENERO_CAJA[[#This Row],[MONTO]]&lt;&gt;"",ROW()-ROW(DENERO_CAJA[#Headers]),"")</f>
        <v>4</v>
      </c>
      <c r="B5" s="225">
        <v>44880</v>
      </c>
      <c r="C5" s="247">
        <v>130.4</v>
      </c>
      <c r="D5" s="231"/>
      <c r="F5" s="265"/>
    </row>
    <row r="6" spans="1:6" x14ac:dyDescent="0.3">
      <c r="A6" s="352" cm="1">
        <f t="array" ref="A6">IF(DENERO_CAJA[[#This Row],[MONTO]]&lt;&gt;"",ROW()-ROW(DENERO_CAJA[#Headers]),"")</f>
        <v>5</v>
      </c>
      <c r="B6" s="225">
        <v>44910</v>
      </c>
      <c r="C6" s="247">
        <v>108.4</v>
      </c>
      <c r="D6" s="231"/>
      <c r="F6" s="265"/>
    </row>
    <row r="7" spans="1:6" x14ac:dyDescent="0.3">
      <c r="A7" s="352" cm="1">
        <f t="array" ref="A7">IF(DENERO_CAJA[[#This Row],[MONTO]]&lt;&gt;"",ROW()-ROW(DENERO_CAJA[#Headers]),"")</f>
        <v>6</v>
      </c>
      <c r="B7" s="225">
        <v>44941</v>
      </c>
      <c r="C7" s="247">
        <v>133.80000000000001</v>
      </c>
      <c r="D7" s="231"/>
      <c r="F7" s="265"/>
    </row>
    <row r="8" spans="1:6" x14ac:dyDescent="0.3">
      <c r="A8" s="352" cm="1">
        <f t="array" ref="A8">IF(DENERO_CAJA[[#This Row],[MONTO]]&lt;&gt;"",ROW()-ROW(DENERO_CAJA[#Headers]),"")</f>
        <v>7</v>
      </c>
      <c r="B8" s="225">
        <v>44972</v>
      </c>
      <c r="C8" s="247">
        <v>52.87</v>
      </c>
      <c r="D8" s="231"/>
      <c r="F8" s="265"/>
    </row>
    <row r="9" spans="1:6" x14ac:dyDescent="0.3">
      <c r="A9" s="353" cm="1">
        <f t="array" ref="A9">IF(DENERO_CAJA[[#This Row],[MONTO]]&lt;&gt;"",ROW()-ROW(DENERO_CAJA[#Headers]),"")</f>
        <v>8</v>
      </c>
      <c r="B9" s="225">
        <v>45000</v>
      </c>
      <c r="C9" s="247">
        <v>24.94</v>
      </c>
      <c r="D9" s="236"/>
      <c r="F9" s="265"/>
    </row>
    <row r="10" spans="1:6" x14ac:dyDescent="0.3">
      <c r="A10" s="353" cm="1">
        <f t="array" ref="A10">IF(DENERO_CAJA[[#This Row],[MONTO]]&lt;&gt;"",ROW()-ROW(DENERO_CAJA[#Headers]),"")</f>
        <v>9</v>
      </c>
      <c r="B10" s="225">
        <v>45031</v>
      </c>
      <c r="C10" s="247">
        <v>366.6</v>
      </c>
      <c r="D10" s="236"/>
      <c r="F10" s="265"/>
    </row>
    <row r="11" spans="1:6" x14ac:dyDescent="0.3">
      <c r="A11" s="353" cm="1">
        <f t="array" ref="A11">IF(DENERO_CAJA[[#This Row],[MONTO]]&lt;&gt;"",ROW()-ROW(DENERO_CAJA[#Headers]),"")</f>
        <v>10</v>
      </c>
      <c r="B11" s="225">
        <v>45061</v>
      </c>
      <c r="C11" s="247">
        <v>583</v>
      </c>
      <c r="D11" s="236"/>
      <c r="F11" s="265"/>
    </row>
    <row r="12" spans="1:6" x14ac:dyDescent="0.3">
      <c r="A12" s="353" cm="1">
        <f t="array" ref="A12">IF(DENERO_CAJA[[#This Row],[MONTO]]&lt;&gt;"",ROW()-ROW(DENERO_CAJA[#Headers]),"")</f>
        <v>11</v>
      </c>
      <c r="B12" s="225">
        <v>45092</v>
      </c>
      <c r="C12" s="247">
        <v>60</v>
      </c>
      <c r="D12" s="236"/>
      <c r="F12" s="265"/>
    </row>
    <row r="13" spans="1:6" x14ac:dyDescent="0.3">
      <c r="A13" s="353" cm="1">
        <f t="array" ref="A13">IF(DENERO_CAJA[[#This Row],[MONTO]]&lt;&gt;"",ROW()-ROW(DENERO_CAJA[#Headers]),"")</f>
        <v>12</v>
      </c>
      <c r="B13" s="225">
        <v>45122</v>
      </c>
      <c r="C13" s="247">
        <v>230</v>
      </c>
      <c r="D13" s="236"/>
      <c r="F13" s="265"/>
    </row>
    <row r="14" spans="1:6" x14ac:dyDescent="0.3">
      <c r="A14" s="353" cm="1">
        <f t="array" ref="A14">IF(DENERO_CAJA[[#This Row],[MONTO]]&lt;&gt;"",ROW()-ROW(DENERO_CAJA[#Headers]),"")</f>
        <v>13</v>
      </c>
      <c r="B14" s="225">
        <v>45153</v>
      </c>
      <c r="C14" s="247">
        <v>394</v>
      </c>
      <c r="D14" s="236"/>
      <c r="F14" s="265"/>
    </row>
    <row r="15" spans="1:6" x14ac:dyDescent="0.3">
      <c r="A15" s="353" cm="1">
        <f t="array" ref="A15">IF(DENERO_CAJA[[#This Row],[MONTO]]&lt;&gt;"",ROW()-ROW(DENERO_CAJA[#Headers]),"")</f>
        <v>14</v>
      </c>
      <c r="B15" s="225">
        <v>45184</v>
      </c>
      <c r="C15" s="247">
        <v>75</v>
      </c>
      <c r="D15" s="236"/>
      <c r="F15" s="265"/>
    </row>
    <row r="16" spans="1:6" x14ac:dyDescent="0.3">
      <c r="A16" s="353" cm="1">
        <f t="array" ref="A16">IF(DENERO_CAJA[[#This Row],[MONTO]]&lt;&gt;"",ROW()-ROW(DENERO_CAJA[#Headers]),"")</f>
        <v>15</v>
      </c>
      <c r="B16" s="225">
        <v>45214</v>
      </c>
      <c r="C16" s="247">
        <v>164</v>
      </c>
      <c r="D16" s="236"/>
      <c r="F16" s="265"/>
    </row>
    <row r="17" spans="1:6" x14ac:dyDescent="0.3">
      <c r="A17" s="353" cm="1">
        <f t="array" ref="A17">IF(DENERO_CAJA[[#This Row],[MONTO]]&lt;&gt;"",ROW()-ROW(DENERO_CAJA[#Headers]),"")</f>
        <v>16</v>
      </c>
      <c r="B17" s="225">
        <v>45245</v>
      </c>
      <c r="C17" s="247">
        <v>13.66</v>
      </c>
      <c r="D17" s="236"/>
      <c r="F17" s="265"/>
    </row>
    <row r="18" spans="1:6" x14ac:dyDescent="0.3">
      <c r="A18" s="353" cm="1">
        <f t="array" ref="A18">IF(DENERO_CAJA[[#This Row],[MONTO]]&lt;&gt;"",ROW()-ROW(DENERO_CAJA[#Headers]),"")</f>
        <v>17</v>
      </c>
      <c r="B18" s="225">
        <v>45275</v>
      </c>
      <c r="C18" s="247">
        <v>320.8</v>
      </c>
      <c r="D18" s="236"/>
      <c r="F18" s="265"/>
    </row>
    <row r="19" spans="1:6" x14ac:dyDescent="0.3">
      <c r="A19" s="353" cm="1">
        <f t="array" ref="A19">IF(DENERO_CAJA[[#This Row],[MONTO]]&lt;&gt;"",ROW()-ROW(DENERO_CAJA[#Headers]),"")</f>
        <v>18</v>
      </c>
      <c r="B19" s="225">
        <v>45306</v>
      </c>
      <c r="C19" s="247">
        <v>331.94</v>
      </c>
      <c r="D19" s="236"/>
      <c r="F19" s="265"/>
    </row>
    <row r="20" spans="1:6" x14ac:dyDescent="0.3">
      <c r="A20" s="353" cm="1">
        <f t="array" ref="A20">IF(DENERO_CAJA[[#This Row],[MONTO]]&lt;&gt;"",ROW()-ROW(DENERO_CAJA[#Headers]),"")</f>
        <v>19</v>
      </c>
      <c r="B20" s="225">
        <v>45337</v>
      </c>
      <c r="C20" s="247">
        <v>473.08</v>
      </c>
      <c r="D20" s="236"/>
      <c r="F20" s="265"/>
    </row>
    <row r="21" spans="1:6" x14ac:dyDescent="0.3">
      <c r="A21" s="353" cm="1">
        <f t="array" ref="A21">IF(DENERO_CAJA[[#This Row],[MONTO]]&lt;&gt;"",ROW()-ROW(DENERO_CAJA[#Headers]),"")</f>
        <v>20</v>
      </c>
      <c r="B21" s="225">
        <v>45366</v>
      </c>
      <c r="C21" s="247">
        <v>53.22</v>
      </c>
      <c r="D21" s="236"/>
      <c r="F21" s="265"/>
    </row>
    <row r="22" spans="1:6" x14ac:dyDescent="0.3">
      <c r="A22" s="353" cm="1">
        <f t="array" ref="A22">IF(DENERO_CAJA[[#This Row],[MONTO]]&lt;&gt;"",ROW()-ROW(DENERO_CAJA[#Headers]),"")</f>
        <v>21</v>
      </c>
      <c r="B22" s="225">
        <v>45397</v>
      </c>
      <c r="C22" s="247">
        <v>469.36</v>
      </c>
      <c r="D22" s="236"/>
      <c r="F22" s="265"/>
    </row>
    <row r="23" spans="1:6" x14ac:dyDescent="0.3">
      <c r="A23" s="353" cm="1">
        <f t="array" ref="A23">IF(DENERO_CAJA[[#This Row],[MONTO]]&lt;&gt;"",ROW()-ROW(DENERO_CAJA[#Headers]),"")</f>
        <v>22</v>
      </c>
      <c r="B23" s="225">
        <v>45427</v>
      </c>
      <c r="C23" s="247">
        <v>139.5</v>
      </c>
      <c r="D23" s="236"/>
      <c r="F23" s="265"/>
    </row>
    <row r="24" spans="1:6" x14ac:dyDescent="0.3">
      <c r="A24" s="353" cm="1">
        <f t="array" ref="A24">IF(DENERO_CAJA[[#This Row],[MONTO]]&lt;&gt;"",ROW()-ROW(DENERO_CAJA[#Headers]),"")</f>
        <v>23</v>
      </c>
      <c r="B24" s="225">
        <v>45458</v>
      </c>
      <c r="C24" s="247">
        <v>46.24</v>
      </c>
      <c r="D24" s="236"/>
      <c r="F24" s="265"/>
    </row>
    <row r="25" spans="1:6" x14ac:dyDescent="0.3">
      <c r="A25" s="353" cm="1">
        <f t="array" ref="A25">IF(DENERO_CAJA[[#This Row],[MONTO]]&lt;&gt;"",ROW()-ROW(DENERO_CAJA[#Headers]),"")</f>
        <v>24</v>
      </c>
      <c r="B25" s="225">
        <v>45488</v>
      </c>
      <c r="C25" s="247">
        <v>136.94999999999999</v>
      </c>
      <c r="D25" s="236"/>
      <c r="F25" s="265"/>
    </row>
    <row r="26" spans="1:6" x14ac:dyDescent="0.3">
      <c r="A26" s="353" cm="1">
        <f t="array" ref="A26">IF(DENERO_CAJA[[#This Row],[MONTO]]&lt;&gt;"",ROW()-ROW(DENERO_CAJA[#Headers]),"")</f>
        <v>25</v>
      </c>
      <c r="B26" s="225">
        <v>45519</v>
      </c>
      <c r="C26" s="247">
        <v>198.33</v>
      </c>
      <c r="D26" s="236"/>
      <c r="F26" s="265"/>
    </row>
    <row r="27" spans="1:6" x14ac:dyDescent="0.3">
      <c r="A27" s="353" cm="1">
        <f t="array" ref="A27">IF(DENERO_CAJA[[#This Row],[MONTO]]&lt;&gt;"",ROW()-ROW(DENERO_CAJA[#Headers]),"")</f>
        <v>26</v>
      </c>
      <c r="B27" s="225">
        <v>45550</v>
      </c>
      <c r="C27" s="247">
        <v>645.71</v>
      </c>
      <c r="D27" s="236"/>
      <c r="F27" s="265"/>
    </row>
    <row r="28" spans="1:6" x14ac:dyDescent="0.3">
      <c r="A28" s="353" cm="1">
        <f t="array" ref="A28">IF(DENERO_CAJA[[#This Row],[MONTO]]&lt;&gt;"",ROW()-ROW(DENERO_CAJA[#Headers]),"")</f>
        <v>27</v>
      </c>
      <c r="B28" s="225">
        <v>45580</v>
      </c>
      <c r="C28" s="247">
        <v>613.79</v>
      </c>
      <c r="D28" s="236"/>
      <c r="F28" s="265"/>
    </row>
    <row r="29" spans="1:6" x14ac:dyDescent="0.3">
      <c r="A29" s="353" cm="1">
        <f t="array" ref="A29">IF(DENERO_CAJA[[#This Row],[MONTO]]&lt;&gt;"",ROW()-ROW(DENERO_CAJA[#Headers]),"")</f>
        <v>28</v>
      </c>
      <c r="B29" s="225">
        <v>45611</v>
      </c>
      <c r="C29" s="247">
        <v>223.68</v>
      </c>
      <c r="D29" s="236"/>
      <c r="F29" s="265"/>
    </row>
    <row r="30" spans="1:6" x14ac:dyDescent="0.3">
      <c r="A30" s="353" cm="1">
        <f t="array" ref="A30">IF(DENERO_CAJA[[#This Row],[MONTO]]&lt;&gt;"",ROW()-ROW(DENERO_CAJA[#Headers]),"")</f>
        <v>29</v>
      </c>
      <c r="B30" s="225">
        <v>45641</v>
      </c>
      <c r="C30" s="247">
        <v>120.72</v>
      </c>
      <c r="D30" s="236"/>
      <c r="F30" s="265"/>
    </row>
    <row r="31" spans="1:6" x14ac:dyDescent="0.3">
      <c r="A31" s="353" cm="1">
        <f t="array" ref="A31">IF(DENERO_CAJA[[#This Row],[MONTO]]&lt;&gt;"",ROW()-ROW(DENERO_CAJA[#Headers]),"")</f>
        <v>30</v>
      </c>
      <c r="B31" s="225">
        <v>45672</v>
      </c>
      <c r="C31" s="247">
        <v>233.66</v>
      </c>
      <c r="D31" s="236"/>
      <c r="F31" s="265"/>
    </row>
    <row r="32" spans="1:6" x14ac:dyDescent="0.3">
      <c r="A32" s="353" cm="1">
        <f t="array" ref="A32">IF(DENERO_CAJA[[#This Row],[MONTO]]&lt;&gt;"",ROW()-ROW(DENERO_CAJA[#Headers]),"")</f>
        <v>31</v>
      </c>
      <c r="B32" s="225">
        <v>45703</v>
      </c>
      <c r="C32" s="247">
        <v>346</v>
      </c>
      <c r="D32" s="236"/>
      <c r="F32" s="265"/>
    </row>
    <row r="33" spans="1:6" x14ac:dyDescent="0.3">
      <c r="A33" s="353" cm="1">
        <f t="array" ref="A33">IF(DENERO_CAJA[[#This Row],[MONTO]]&lt;&gt;"",ROW()-ROW(DENERO_CAJA[#Headers]),"")</f>
        <v>32</v>
      </c>
      <c r="B33" s="225">
        <v>45731</v>
      </c>
      <c r="C33" s="247">
        <v>13.67</v>
      </c>
      <c r="D33" s="236"/>
      <c r="F33" s="265"/>
    </row>
    <row r="34" spans="1:6" x14ac:dyDescent="0.3">
      <c r="A34" s="353" cm="1">
        <f t="array" ref="A34">IF(DENERO_CAJA[[#This Row],[MONTO]]&lt;&gt;"",ROW()-ROW(DENERO_CAJA[#Headers]),"")</f>
        <v>33</v>
      </c>
      <c r="B34" s="225">
        <v>45762</v>
      </c>
      <c r="C34" s="247">
        <v>1573.34</v>
      </c>
      <c r="D34" s="236"/>
      <c r="F34" s="265"/>
    </row>
    <row r="35" spans="1:6" x14ac:dyDescent="0.3">
      <c r="A35" s="353" cm="1">
        <f t="array" ref="A35">IF(DENERO_CAJA[[#This Row],[MONTO]]&lt;&gt;"",ROW()-ROW(DENERO_CAJA[#Headers]),"")</f>
        <v>34</v>
      </c>
      <c r="B35" s="225">
        <v>45792</v>
      </c>
      <c r="C35" s="247">
        <v>66.34</v>
      </c>
      <c r="D35" s="236"/>
      <c r="F35" s="265"/>
    </row>
    <row r="36" spans="1:6" x14ac:dyDescent="0.3">
      <c r="A36" s="353" cm="1">
        <f t="array" ref="A36">IF(DENERO_CAJA[[#This Row],[MONTO]]&lt;&gt;"",ROW()-ROW(DENERO_CAJA[#Headers]),"")</f>
        <v>35</v>
      </c>
      <c r="B36" s="225">
        <v>45823</v>
      </c>
      <c r="C36" s="247">
        <v>1836.81</v>
      </c>
      <c r="D36" s="236"/>
      <c r="F36" s="265"/>
    </row>
    <row r="37" spans="1:6" x14ac:dyDescent="0.3">
      <c r="A37" s="353" cm="1">
        <f t="array" ref="A37">IF(DENERO_CAJA[[#This Row],[MONTO]]&lt;&gt;"",ROW()-ROW(DENERO_CAJA[#Headers]),"")</f>
        <v>36</v>
      </c>
      <c r="B37" s="225">
        <v>45853</v>
      </c>
      <c r="C37" s="247">
        <f>3518.49</f>
        <v>3518.49</v>
      </c>
      <c r="D37" s="236" t="s">
        <v>429</v>
      </c>
      <c r="F37" s="265"/>
    </row>
    <row r="38" spans="1:6" x14ac:dyDescent="0.3">
      <c r="A38" s="353">
        <v>37</v>
      </c>
      <c r="B38" s="41">
        <v>45884</v>
      </c>
      <c r="C38" s="45">
        <v>1041.96</v>
      </c>
      <c r="D38" s="236" t="s">
        <v>448</v>
      </c>
    </row>
    <row r="39" spans="1:6" x14ac:dyDescent="0.3">
      <c r="A39" s="353">
        <v>38</v>
      </c>
      <c r="B39" s="41">
        <v>45915</v>
      </c>
      <c r="C39" s="45">
        <v>1253.83</v>
      </c>
      <c r="D39" s="236" t="s">
        <v>512</v>
      </c>
    </row>
    <row r="40" spans="1:6" x14ac:dyDescent="0.3">
      <c r="A40" s="353">
        <v>39</v>
      </c>
      <c r="B40" s="41">
        <v>45945</v>
      </c>
      <c r="C40" s="45">
        <v>2230.7800000000002</v>
      </c>
      <c r="D40" s="236" t="s">
        <v>533</v>
      </c>
    </row>
  </sheetData>
  <sheetProtection algorithmName="SHA-512" hashValue="L9XkCmhkkngICl0fols/il2JC60R23FVNYjpKKruaN/vr3YWd/OU+1PGSb5NHjuv2vI6GqSOmvos+BsA/2YVmA==" saltValue="FYCP+tE1JHzRo7Kgzst7/w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7"/>
  <sheetViews>
    <sheetView zoomScale="90" zoomScaleNormal="90" workbookViewId="0"/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1.44140625" bestFit="1" customWidth="1"/>
    <col min="4" max="4" width="11.109375" bestFit="1" customWidth="1"/>
    <col min="5" max="5" width="10" bestFit="1" customWidth="1"/>
    <col min="6" max="6" width="10.88671875" bestFit="1" customWidth="1"/>
    <col min="7" max="8" width="15.109375" bestFit="1" customWidth="1"/>
    <col min="9" max="10" width="13.5546875" bestFit="1" customWidth="1"/>
    <col min="11" max="11" width="14.5546875" bestFit="1" customWidth="1"/>
    <col min="12" max="13" width="15.44140625" bestFit="1" customWidth="1"/>
    <col min="14" max="14" width="14.5546875" bestFit="1" customWidth="1"/>
    <col min="15" max="15" width="12.6640625" bestFit="1" customWidth="1"/>
    <col min="16" max="16" width="13.88671875" bestFit="1" customWidth="1"/>
  </cols>
  <sheetData>
    <row r="2" spans="2:18" ht="21" x14ac:dyDescent="0.4">
      <c r="D2" s="294" t="s">
        <v>424</v>
      </c>
      <c r="E2" s="295"/>
      <c r="F2" s="295"/>
      <c r="G2" s="295"/>
      <c r="H2" s="295"/>
      <c r="I2" s="295"/>
      <c r="J2" s="295"/>
      <c r="K2" s="295"/>
      <c r="L2" s="295"/>
      <c r="M2" s="295"/>
      <c r="N2" s="295"/>
      <c r="O2" s="295"/>
      <c r="P2" s="295"/>
    </row>
    <row r="4" spans="2:18" x14ac:dyDescent="0.3">
      <c r="D4" s="200" t="s">
        <v>410</v>
      </c>
      <c r="F4" s="272"/>
      <c r="G4" s="283" t="s">
        <v>414</v>
      </c>
      <c r="H4" s="283" t="s">
        <v>415</v>
      </c>
      <c r="I4" s="272" t="s">
        <v>417</v>
      </c>
      <c r="J4" s="272" t="s">
        <v>415</v>
      </c>
      <c r="K4" s="277" t="s">
        <v>415</v>
      </c>
      <c r="L4" s="280" t="s">
        <v>414</v>
      </c>
      <c r="M4" s="280" t="s">
        <v>32</v>
      </c>
      <c r="N4" s="272"/>
      <c r="O4" s="272"/>
      <c r="P4" s="272"/>
    </row>
    <row r="5" spans="2:18" x14ac:dyDescent="0.3">
      <c r="B5" s="200" t="s">
        <v>27</v>
      </c>
      <c r="C5" s="200" t="s">
        <v>11</v>
      </c>
      <c r="D5" t="s">
        <v>411</v>
      </c>
      <c r="E5" t="s">
        <v>412</v>
      </c>
      <c r="F5" s="272" t="s">
        <v>413</v>
      </c>
      <c r="G5" s="283" t="s">
        <v>116</v>
      </c>
      <c r="H5" s="283" t="s">
        <v>116</v>
      </c>
      <c r="I5" s="272" t="s">
        <v>416</v>
      </c>
      <c r="J5" s="272" t="s">
        <v>416</v>
      </c>
      <c r="K5" s="277" t="s">
        <v>418</v>
      </c>
      <c r="L5" s="280" t="s">
        <v>419</v>
      </c>
      <c r="M5" s="280" t="s">
        <v>419</v>
      </c>
      <c r="N5" s="272" t="s">
        <v>420</v>
      </c>
      <c r="O5" s="272" t="s">
        <v>421</v>
      </c>
      <c r="P5" s="272" t="s">
        <v>423</v>
      </c>
    </row>
    <row r="6" spans="2:18" x14ac:dyDescent="0.3">
      <c r="B6" s="274">
        <v>1</v>
      </c>
      <c r="C6" s="274" t="s">
        <v>70</v>
      </c>
      <c r="D6" s="400">
        <v>1</v>
      </c>
      <c r="E6" s="275">
        <v>0</v>
      </c>
      <c r="F6" s="275">
        <f>+SUMIFS(PRESTAMOS[MONTO AMORTIZACION],PRESTAMOS[NOMBRE CLIENTE],C6,PRESTAMOS[REG],"AYUDA")</f>
        <v>0</v>
      </c>
      <c r="G6" s="284">
        <f>+SUMIFS(PRESTAMOS[MONTO AMORTIZACION],PRESTAMOS[CODIGO CLIENTE],B6,PRESTAMOS[REG],"&lt;&gt;AYUDA*")</f>
        <v>0</v>
      </c>
      <c r="H6" s="284">
        <f>+SUMIFS(PRESTAMOS[T. INT],PRESTAMOS[CODIGO CLIENTE],B6,PRESTAMOS[REG],"&lt;&gt;AYUDA*")</f>
        <v>0</v>
      </c>
      <c r="I6" s="275">
        <v>0</v>
      </c>
      <c r="J6" s="275">
        <v>0</v>
      </c>
      <c r="K6" s="278">
        <v>0</v>
      </c>
      <c r="L6" s="281">
        <f>+G6-(I6)</f>
        <v>0</v>
      </c>
      <c r="M6" s="281">
        <f t="shared" ref="M6:M23" si="0">+H6-(J6+K6)</f>
        <v>0</v>
      </c>
      <c r="N6" s="276">
        <f>+(SUMIFS(PAGOS[PAGO DEL MONTO],PAGOS[NOMBRE CLIENTE],C6,PAGOS[REG],"INGRESO*"))+(SUMIFS(PAGOS[PAGO DEL INTERES],PAGOS[NOMBRE CLIENTE],C6,PAGOS[REG],"INGRESO*"))</f>
        <v>23.5</v>
      </c>
      <c r="O6" s="276">
        <f>IF(C6="SOCIOS GASTOS",SUMIFS(PAGOS[PAGO DEL MONTO],PAGOS[NOMBRE CLIENTE],"SOCIOS GASTOS",PAGOS[REG],"EGRESO*")+(SUMIFS(PAGOS[PAGO DEL INTERES],PAGOS[NOMBRE CLIENTE],"SOCIOS GASTOS",PAGOS[REG],"EGRESO*")),0)+F6</f>
        <v>0</v>
      </c>
      <c r="P6" s="292">
        <f t="shared" ref="P6:P23" si="1">IF(OR(B6=1,B6=2),0,GETPIVOTDATA("[Measures].[Suma de APORTE]",$B$4)+($H$24+$N$24-$O$24-$K$24))/16</f>
        <v>0</v>
      </c>
    </row>
    <row r="7" spans="2:18" x14ac:dyDescent="0.3">
      <c r="B7" s="274">
        <v>2</v>
      </c>
      <c r="C7" s="274" t="s">
        <v>71</v>
      </c>
      <c r="D7" s="400">
        <v>1</v>
      </c>
      <c r="E7" s="275">
        <v>0</v>
      </c>
      <c r="F7" s="275">
        <f>+SUMIFS(PRESTAMOS[MONTO AMORTIZACION],PRESTAMOS[NOMBRE CLIENTE],C7,PRESTAMOS[REG],"AYUDA*")</f>
        <v>0</v>
      </c>
      <c r="G7" s="284">
        <f>+SUMIFS(PRESTAMOS[MONTO AMORTIZACION],PRESTAMOS[CODIGO CLIENTE],B7,PRESTAMOS[REG],"&lt;&gt;AYUDA*")</f>
        <v>0</v>
      </c>
      <c r="H7" s="284">
        <f>+SUMIFS(PRESTAMOS[T. INT],PRESTAMOS[CODIGO CLIENTE],B7,PRESTAMOS[REG],"&lt;&gt;AYUDA*")</f>
        <v>0</v>
      </c>
      <c r="I7" s="275">
        <v>0</v>
      </c>
      <c r="J7" s="275">
        <v>0</v>
      </c>
      <c r="K7" s="278">
        <v>0</v>
      </c>
      <c r="L7" s="281">
        <f t="shared" ref="L7:L23" si="2">+G7-(I7)</f>
        <v>0</v>
      </c>
      <c r="M7" s="281">
        <f t="shared" si="0"/>
        <v>0</v>
      </c>
      <c r="N7" s="276">
        <f>+(SUMIFS(PAGOS[PAGO DEL MONTO],PAGOS[NOMBRE CLIENTE],C7,PAGOS[REG],"INGRESO*"))+(SUMIFS(PAGOS[PAGO DEL INTERES],PAGOS[NOMBRE CLIENTE],C7,PAGOS[REG],"INGRESO*"))</f>
        <v>0</v>
      </c>
      <c r="O7" s="276">
        <f>IF(C7="SOCIOS GASTOS",SUMIFS(PAGOS[PAGO DEL MONTO],PAGOS[NOMBRE CLIENTE],"SOCIOS GASTOS",PAGOS[REG],"EGRESO*")+(SUMIFS(PAGOS[PAGO DEL INTERES],PAGOS[NOMBRE CLIENTE],"SOCIOS GASTOS",PAGOS[REG],"EGRESO*")),0)+F7</f>
        <v>417.92</v>
      </c>
      <c r="P7" s="292">
        <f t="shared" si="1"/>
        <v>0</v>
      </c>
    </row>
    <row r="8" spans="2:18" x14ac:dyDescent="0.3">
      <c r="B8" s="274">
        <v>3</v>
      </c>
      <c r="C8" s="274" t="s">
        <v>13</v>
      </c>
      <c r="D8" s="400">
        <v>39</v>
      </c>
      <c r="E8" s="275">
        <v>390</v>
      </c>
      <c r="F8" s="275">
        <f>+SUMIFS(PRESTAMOS[MONTO AMORTIZACION],PRESTAMOS[NOMBRE CLIENTE],C8,PRESTAMOS[REG],"AYUDA*")</f>
        <v>0</v>
      </c>
      <c r="G8" s="284">
        <f>+SUMIFS(PRESTAMOS[MONTO AMORTIZACION],PRESTAMOS[CODIGO CLIENTE],B8,PRESTAMOS[REG],"&lt;&gt;AYUDA*")</f>
        <v>1260</v>
      </c>
      <c r="H8" s="284">
        <f>+SUMIFS(PRESTAMOS[T. INT],PRESTAMOS[CODIGO CLIENTE],B8,PRESTAMOS[REG],"&lt;&gt;AYUDA*")</f>
        <v>76.400000000000006</v>
      </c>
      <c r="I8" s="275">
        <f>+SUMIFS(PAGOS[PAGO DEL MONTO],PAGOS[CODIGO CLIENTE],B8,PAGOS[REG],"&lt;&gt;EGRESO*")</f>
        <v>1260.01</v>
      </c>
      <c r="J8" s="275">
        <f>+SUMIFS(PAGOS[PAGO DEL INTERES],PAGOS[CODIGO CLIENTE],B8,PAGOS[REG],"&lt;&gt;EGRESO*")</f>
        <v>76.400000000000006</v>
      </c>
      <c r="K8" s="278">
        <f>+SUMIFS(PAGOS[PAGO DEL INTERES],PAGOS[CODIGO CLIENTE],B8,PAGOS[REG],"EGRESO*")</f>
        <v>0</v>
      </c>
      <c r="L8" s="281">
        <f t="shared" si="2"/>
        <v>-9.9999999999909051E-3</v>
      </c>
      <c r="M8" s="281">
        <f t="shared" si="0"/>
        <v>0</v>
      </c>
      <c r="N8" s="276">
        <f>+(SUMIFS(PAGOS[PAGO DEL MONTO],PAGOS[NOMBRE CLIENTE],C8,PAGOS[REG],"INGRESO*"))+(SUMIFS(PAGOS[PAGO DEL INTERES],PAGOS[NOMBRE CLIENTE],C8,PAGOS[REG],"INGRESO*"))</f>
        <v>13.35</v>
      </c>
      <c r="O8" s="276">
        <f>IF(C8="SOCIOS GASTOS",SUMIFS(PAGOS[PAGO DEL MONTO],PAGOS[NOMBRE CLIENTE],"SOCIOS GASTOS",PAGOS[REG],"EGRESO*")+(SUMIFS(PAGOS[PAGO DEL INTERES],PAGOS[NOMBRE CLIENTE],"SOCIOS GASTOS",PAGOS[REG],"EGRESO*")),0)+F8</f>
        <v>0</v>
      </c>
      <c r="P8" s="292">
        <f t="shared" si="1"/>
        <v>594.27375000000006</v>
      </c>
      <c r="R8" s="110"/>
    </row>
    <row r="9" spans="2:18" x14ac:dyDescent="0.3">
      <c r="B9" s="274">
        <v>4</v>
      </c>
      <c r="C9" s="274" t="s">
        <v>12</v>
      </c>
      <c r="D9" s="400">
        <v>39</v>
      </c>
      <c r="E9" s="275">
        <v>390</v>
      </c>
      <c r="F9" s="275">
        <f>+SUMIFS(PRESTAMOS[MONTO AMORTIZACION],PRESTAMOS[NOMBRE CLIENTE],C9,PRESTAMOS[REG],"AYUDA*")</f>
        <v>260</v>
      </c>
      <c r="G9" s="284">
        <f>+SUMIFS(PRESTAMOS[MONTO AMORTIZACION],PRESTAMOS[CODIGO CLIENTE],B9,PRESTAMOS[REG],"&lt;&gt;AYUDA*")</f>
        <v>1500</v>
      </c>
      <c r="H9" s="284">
        <f>+SUMIFS(PRESTAMOS[T. INT],PRESTAMOS[CODIGO CLIENTE],B9,PRESTAMOS[REG],"&lt;&gt;AYUDA*")</f>
        <v>108</v>
      </c>
      <c r="I9" s="275">
        <f>+SUMIFS(PAGOS[PAGO DEL MONTO],PAGOS[CODIGO CLIENTE],B9,PAGOS[REG],"&lt;&gt;EGRESO*")</f>
        <v>1500</v>
      </c>
      <c r="J9" s="275">
        <f>+SUMIFS(PAGOS[PAGO DEL INTERES],PAGOS[CODIGO CLIENTE],B9,PAGOS[REG],"&lt;&gt;EGRESO*")</f>
        <v>108</v>
      </c>
      <c r="K9" s="278">
        <f>+SUMIFS(PAGOS[PAGO DEL INTERES],PAGOS[CODIGO CLIENTE],B9,PAGOS[REG],"EGRESO*")</f>
        <v>0</v>
      </c>
      <c r="L9" s="281">
        <f t="shared" si="2"/>
        <v>0</v>
      </c>
      <c r="M9" s="281">
        <f t="shared" si="0"/>
        <v>0</v>
      </c>
      <c r="N9" s="276">
        <f>+(SUMIFS(PAGOS[PAGO DEL MONTO],PAGOS[NOMBRE CLIENTE],C9,PAGOS[REG],"INGRESO*"))+(SUMIFS(PAGOS[PAGO DEL INTERES],PAGOS[NOMBRE CLIENTE],C9,PAGOS[REG],"INGRESO*"))</f>
        <v>0</v>
      </c>
      <c r="O9" s="276">
        <f>IF(C9="SOCIOS GASTOS",SUMIFS(PAGOS[PAGO DEL MONTO],PAGOS[NOMBRE CLIENTE],"SOCIOS GASTOS",PAGOS[REG],"EGRESO*")+(SUMIFS(PAGOS[PAGO DEL INTERES],PAGOS[NOMBRE CLIENTE],"SOCIOS GASTOS",PAGOS[REG],"EGRESO*")),0)+F9</f>
        <v>260</v>
      </c>
      <c r="P9" s="292">
        <f t="shared" si="1"/>
        <v>594.27375000000006</v>
      </c>
      <c r="R9" s="110"/>
    </row>
    <row r="10" spans="2:18" x14ac:dyDescent="0.3">
      <c r="B10" s="274">
        <v>5</v>
      </c>
      <c r="C10" s="274" t="s">
        <v>14</v>
      </c>
      <c r="D10" s="400">
        <v>39</v>
      </c>
      <c r="E10" s="275">
        <v>390</v>
      </c>
      <c r="F10" s="275">
        <f>+SUMIFS(PRESTAMOS[MONTO AMORTIZACION],PRESTAMOS[NOMBRE CLIENTE],C10,PRESTAMOS[REG],"AYUDA*")</f>
        <v>0</v>
      </c>
      <c r="G10" s="284">
        <f>+SUMIFS(PRESTAMOS[MONTO AMORTIZACION],PRESTAMOS[CODIGO CLIENTE],B10,PRESTAMOS[REG],"&lt;&gt;AYUDA*")</f>
        <v>3800</v>
      </c>
      <c r="H10" s="284">
        <f>+SUMIFS(PRESTAMOS[T. INT],PRESTAMOS[CODIGO CLIENTE],B10,PRESTAMOS[REG],"&lt;&gt;AYUDA*")</f>
        <v>612</v>
      </c>
      <c r="I10" s="275">
        <f>+SUMIFS(PAGOS[PAGO DEL MONTO],PAGOS[CODIGO CLIENTE],B10,PAGOS[REG],"&lt;&gt;EGRESO*")</f>
        <v>3100</v>
      </c>
      <c r="J10" s="275">
        <f>+SUMIFS(PAGOS[PAGO DEL INTERES],PAGOS[CODIGO CLIENTE],B10,PAGOS[REG],"&lt;&gt;EGRESO*")</f>
        <v>424</v>
      </c>
      <c r="K10" s="278">
        <f>+SUMIFS(PAGOS[PAGO DEL INTERES],PAGOS[CODIGO CLIENTE],B10,PAGOS[REG],"EGRESO*")</f>
        <v>20</v>
      </c>
      <c r="L10" s="281">
        <f t="shared" si="2"/>
        <v>700</v>
      </c>
      <c r="M10" s="281">
        <f t="shared" si="0"/>
        <v>168</v>
      </c>
      <c r="N10" s="276">
        <f>+(SUMIFS(PAGOS[PAGO DEL MONTO],PAGOS[NOMBRE CLIENTE],C10,PAGOS[REG],"INGRESO*"))+(SUMIFS(PAGOS[PAGO DEL INTERES],PAGOS[NOMBRE CLIENTE],C10,PAGOS[REG],"INGRESO*"))</f>
        <v>13.35</v>
      </c>
      <c r="O10" s="276">
        <f>IF(C10="SOCIOS GASTOS",SUMIFS(PAGOS[PAGO DEL MONTO],PAGOS[NOMBRE CLIENTE],"SOCIOS GASTOS",PAGOS[REG],"EGRESO*")+(SUMIFS(PAGOS[PAGO DEL INTERES],PAGOS[NOMBRE CLIENTE],"SOCIOS GASTOS",PAGOS[REG],"EGRESO*")),0)+F10</f>
        <v>0</v>
      </c>
      <c r="P10" s="292">
        <f t="shared" si="1"/>
        <v>594.27375000000006</v>
      </c>
    </row>
    <row r="11" spans="2:18" x14ac:dyDescent="0.3">
      <c r="B11" s="274">
        <v>6</v>
      </c>
      <c r="C11" s="274" t="s">
        <v>24</v>
      </c>
      <c r="D11" s="400">
        <v>39</v>
      </c>
      <c r="E11" s="275">
        <v>390</v>
      </c>
      <c r="F11" s="275">
        <f>+SUMIFS(PRESTAMOS[MONTO AMORTIZACION],PRESTAMOS[NOMBRE CLIENTE],C11,PRESTAMOS[REG],"AYUDA*")</f>
        <v>0</v>
      </c>
      <c r="G11" s="284">
        <f>+SUMIFS(PRESTAMOS[MONTO AMORTIZACION],PRESTAMOS[CODIGO CLIENTE],B11,PRESTAMOS[REG],"&lt;&gt;AYUDA*")</f>
        <v>3280</v>
      </c>
      <c r="H11" s="284">
        <f>+SUMIFS(PRESTAMOS[T. INT],PRESTAMOS[CODIGO CLIENTE],B11,PRESTAMOS[REG],"&lt;&gt;AYUDA*")</f>
        <v>599.6</v>
      </c>
      <c r="I11" s="275">
        <f>+SUMIFS(PAGOS[PAGO DEL MONTO],PAGOS[CODIGO CLIENTE],B11,PAGOS[REG],"&lt;&gt;EGRESO*")</f>
        <v>2280</v>
      </c>
      <c r="J11" s="275">
        <f>+SUMIFS(PAGOS[PAGO DEL INTERES],PAGOS[CODIGO CLIENTE],B11,PAGOS[REG],"&lt;&gt;EGRESO*")</f>
        <v>309.60000000000002</v>
      </c>
      <c r="K11" s="278">
        <f>+SUMIFS(PAGOS[PAGO DEL INTERES],PAGOS[CODIGO CLIENTE],B11,PAGOS[REG],"EGRESO*")</f>
        <v>50</v>
      </c>
      <c r="L11" s="281">
        <f t="shared" si="2"/>
        <v>1000</v>
      </c>
      <c r="M11" s="281">
        <f t="shared" si="0"/>
        <v>240</v>
      </c>
      <c r="N11" s="276">
        <f>+(SUMIFS(PAGOS[PAGO DEL MONTO],PAGOS[NOMBRE CLIENTE],C11,PAGOS[REG],"INGRESO*"))+(SUMIFS(PAGOS[PAGO DEL INTERES],PAGOS[NOMBRE CLIENTE],C11,PAGOS[REG],"INGRESO*"))</f>
        <v>18.350000000000001</v>
      </c>
      <c r="O11" s="276">
        <f>IF(C11="SOCIOS GASTOS",SUMIFS(PAGOS[PAGO DEL MONTO],PAGOS[NOMBRE CLIENTE],"SOCIOS GASTOS",PAGOS[REG],"EGRESO*")+(SUMIFS(PAGOS[PAGO DEL INTERES],PAGOS[NOMBRE CLIENTE],"SOCIOS GASTOS",PAGOS[REG],"EGRESO*")),0)+F11</f>
        <v>0</v>
      </c>
      <c r="P11" s="292">
        <f t="shared" si="1"/>
        <v>594.27375000000006</v>
      </c>
    </row>
    <row r="12" spans="2:18" x14ac:dyDescent="0.3">
      <c r="B12" s="274">
        <v>7</v>
      </c>
      <c r="C12" s="274" t="s">
        <v>408</v>
      </c>
      <c r="D12" s="400">
        <v>39</v>
      </c>
      <c r="E12" s="275">
        <v>390</v>
      </c>
      <c r="F12" s="275">
        <f>+SUMIFS(PRESTAMOS[MONTO AMORTIZACION],PRESTAMOS[NOMBRE CLIENTE],C12,PRESTAMOS[REG],"AYUDA*")</f>
        <v>0</v>
      </c>
      <c r="G12" s="284">
        <f>+SUMIFS(PRESTAMOS[MONTO AMORTIZACION],PRESTAMOS[CODIGO CLIENTE],B12,PRESTAMOS[REG],"&lt;&gt;AYUDA*")</f>
        <v>3750</v>
      </c>
      <c r="H12" s="284">
        <f>+SUMIFS(PRESTAMOS[T. INT],PRESTAMOS[CODIGO CLIENTE],B12,PRESTAMOS[REG],"&lt;&gt;AYUDA*")</f>
        <v>162</v>
      </c>
      <c r="I12" s="275">
        <f>+SUMIFS(PAGOS[PAGO DEL MONTO],PAGOS[CODIGO CLIENTE],B12,PAGOS[REG],"&lt;&gt;EGRESO*")</f>
        <v>3550</v>
      </c>
      <c r="J12" s="275">
        <f>+SUMIFS(PAGOS[PAGO DEL INTERES],PAGOS[CODIGO CLIENTE],B12,PAGOS[REG],"&lt;&gt;EGRESO*")</f>
        <v>146</v>
      </c>
      <c r="K12" s="278">
        <f>+SUMIFS(PAGOS[PAGO DEL INTERES],PAGOS[CODIGO CLIENTE],B12,PAGOS[REG],"EGRESO*")</f>
        <v>0</v>
      </c>
      <c r="L12" s="281">
        <f t="shared" si="2"/>
        <v>200</v>
      </c>
      <c r="M12" s="281">
        <f t="shared" si="0"/>
        <v>16</v>
      </c>
      <c r="N12" s="276">
        <f>+(SUMIFS(PAGOS[PAGO DEL MONTO],PAGOS[NOMBRE CLIENTE],C12,PAGOS[REG],"INGRESO*"))+(SUMIFS(PAGOS[PAGO DEL INTERES],PAGOS[NOMBRE CLIENTE],C12,PAGOS[REG],"INGRESO*"))</f>
        <v>17.350000000000001</v>
      </c>
      <c r="O12" s="276">
        <f>IF(C12="SOCIOS GASTOS",SUMIFS(PAGOS[PAGO DEL MONTO],PAGOS[NOMBRE CLIENTE],"SOCIOS GASTOS",PAGOS[REG],"EGRESO*")+(SUMIFS(PAGOS[PAGO DEL INTERES],PAGOS[NOMBRE CLIENTE],"SOCIOS GASTOS",PAGOS[REG],"EGRESO*")),0)+F12</f>
        <v>0</v>
      </c>
      <c r="P12" s="292">
        <f t="shared" si="1"/>
        <v>594.27375000000006</v>
      </c>
    </row>
    <row r="13" spans="2:18" x14ac:dyDescent="0.3">
      <c r="B13" s="274">
        <v>8</v>
      </c>
      <c r="C13" s="274" t="s">
        <v>409</v>
      </c>
      <c r="D13" s="400">
        <v>39</v>
      </c>
      <c r="E13" s="275">
        <v>390</v>
      </c>
      <c r="F13" s="275">
        <f>+SUMIFS(PRESTAMOS[MONTO AMORTIZACION],PRESTAMOS[NOMBRE CLIENTE],C13,PRESTAMOS[REG],"AYUDA*")</f>
        <v>0</v>
      </c>
      <c r="G13" s="284">
        <f>+SUMIFS(PRESTAMOS[MONTO AMORTIZACION],PRESTAMOS[CODIGO CLIENTE],B13,PRESTAMOS[REG],"&lt;&gt;AYUDA*")</f>
        <v>2450</v>
      </c>
      <c r="H13" s="284">
        <f>+SUMIFS(PRESTAMOS[T. INT],PRESTAMOS[CODIGO CLIENTE],B13,PRESTAMOS[REG],"&lt;&gt;AYUDA*")</f>
        <v>188</v>
      </c>
      <c r="I13" s="275">
        <f>+SUMIFS(PAGOS[PAGO DEL MONTO],PAGOS[CODIGO CLIENTE],B13,PAGOS[REG],"&lt;&gt;EGRESO*")</f>
        <v>1750</v>
      </c>
      <c r="J13" s="275">
        <f>+SUMIFS(PAGOS[PAGO DEL INTERES],PAGOS[CODIGO CLIENTE],B13,PAGOS[REG],"&lt;&gt;EGRESO*")</f>
        <v>116</v>
      </c>
      <c r="K13" s="278">
        <f>+SUMIFS(PAGOS[PAGO DEL INTERES],PAGOS[CODIGO CLIENTE],B13,PAGOS[REG],"EGRESO*")</f>
        <v>16</v>
      </c>
      <c r="L13" s="281">
        <f t="shared" si="2"/>
        <v>700</v>
      </c>
      <c r="M13" s="281">
        <f t="shared" si="0"/>
        <v>56</v>
      </c>
      <c r="N13" s="276">
        <f>+(SUMIFS(PAGOS[PAGO DEL MONTO],PAGOS[NOMBRE CLIENTE],C13,PAGOS[REG],"INGRESO*"))+(SUMIFS(PAGOS[PAGO DEL INTERES],PAGOS[NOMBRE CLIENTE],C13,PAGOS[REG],"INGRESO*"))</f>
        <v>17.350000000000001</v>
      </c>
      <c r="O13" s="276">
        <f>IF(C13="SOCIOS GASTOS",SUMIFS(PAGOS[PAGO DEL MONTO],PAGOS[NOMBRE CLIENTE],"SOCIOS GASTOS",PAGOS[REG],"EGRESO*")+(SUMIFS(PAGOS[PAGO DEL INTERES],PAGOS[NOMBRE CLIENTE],"SOCIOS GASTOS",PAGOS[REG],"EGRESO*")),0)+F13</f>
        <v>0</v>
      </c>
      <c r="P13" s="292">
        <f t="shared" si="1"/>
        <v>594.27375000000006</v>
      </c>
    </row>
    <row r="14" spans="2:18" x14ac:dyDescent="0.3">
      <c r="B14" s="274">
        <v>9</v>
      </c>
      <c r="C14" s="274" t="s">
        <v>17</v>
      </c>
      <c r="D14" s="400">
        <v>40</v>
      </c>
      <c r="E14" s="275">
        <v>390</v>
      </c>
      <c r="F14" s="275">
        <f>+SUMIFS(PRESTAMOS[MONTO AMORTIZACION],PRESTAMOS[NOMBRE CLIENTE],C14,PRESTAMOS[REG],"AYUDA*")</f>
        <v>0</v>
      </c>
      <c r="G14" s="284">
        <f>+SUMIFS(PRESTAMOS[MONTO AMORTIZACION],PRESTAMOS[CODIGO CLIENTE],B14,PRESTAMOS[REG],"&lt;&gt;AYUDA*")</f>
        <v>2860</v>
      </c>
      <c r="H14" s="284">
        <f>+SUMIFS(PRESTAMOS[T. INT],PRESTAMOS[CODIGO CLIENTE],B14,PRESTAMOS[REG],"&lt;&gt;AYUDA*")</f>
        <v>300.39999999999998</v>
      </c>
      <c r="I14" s="275">
        <f>+SUMIFS(PAGOS[PAGO DEL MONTO],PAGOS[CODIGO CLIENTE],B14,PAGOS[REG],"&lt;&gt;EGRESO*")</f>
        <v>2860</v>
      </c>
      <c r="J14" s="275">
        <f>+SUMIFS(PAGOS[PAGO DEL INTERES],PAGOS[CODIGO CLIENTE],B14,PAGOS[REG],"&lt;&gt;EGRESO*")</f>
        <v>276.39999999999998</v>
      </c>
      <c r="K14" s="278">
        <f>+SUMIFS(PAGOS[PAGO DEL INTERES],PAGOS[CODIGO CLIENTE],B14,PAGOS[REG],"EGRESO*")</f>
        <v>24</v>
      </c>
      <c r="L14" s="281">
        <f t="shared" si="2"/>
        <v>0</v>
      </c>
      <c r="M14" s="281">
        <f t="shared" si="0"/>
        <v>0</v>
      </c>
      <c r="N14" s="276">
        <f>+(SUMIFS(PAGOS[PAGO DEL MONTO],PAGOS[NOMBRE CLIENTE],C14,PAGOS[REG],"INGRESO*"))+(SUMIFS(PAGOS[PAGO DEL INTERES],PAGOS[NOMBRE CLIENTE],C14,PAGOS[REG],"INGRESO*"))</f>
        <v>13.35</v>
      </c>
      <c r="O14" s="276">
        <f>IF(C14="SOCIOS GASTOS",SUMIFS(PAGOS[PAGO DEL MONTO],PAGOS[NOMBRE CLIENTE],"SOCIOS GASTOS",PAGOS[REG],"EGRESO*")+(SUMIFS(PAGOS[PAGO DEL INTERES],PAGOS[NOMBRE CLIENTE],"SOCIOS GASTOS",PAGOS[REG],"EGRESO*")),0)+F14</f>
        <v>0</v>
      </c>
      <c r="P14" s="292">
        <f t="shared" si="1"/>
        <v>594.27375000000006</v>
      </c>
    </row>
    <row r="15" spans="2:18" x14ac:dyDescent="0.3">
      <c r="B15" s="274">
        <v>10</v>
      </c>
      <c r="C15" s="274" t="s">
        <v>18</v>
      </c>
      <c r="D15" s="400">
        <v>40</v>
      </c>
      <c r="E15" s="275">
        <v>390</v>
      </c>
      <c r="F15" s="275">
        <f>+SUMIFS(PRESTAMOS[MONTO AMORTIZACION],PRESTAMOS[NOMBRE CLIENTE],C15,PRESTAMOS[REG],"AYUDA*")</f>
        <v>0</v>
      </c>
      <c r="G15" s="284">
        <f>+SUMIFS(PRESTAMOS[MONTO AMORTIZACION],PRESTAMOS[CODIGO CLIENTE],B15,PRESTAMOS[REG],"&lt;&gt;AYUDA*")</f>
        <v>750</v>
      </c>
      <c r="H15" s="284">
        <f>+SUMIFS(PRESTAMOS[T. INT],PRESTAMOS[CODIGO CLIENTE],B15,PRESTAMOS[REG],"&lt;&gt;AYUDA*")</f>
        <v>67</v>
      </c>
      <c r="I15" s="275">
        <f>+SUMIFS(PAGOS[PAGO DEL MONTO],PAGOS[CODIGO CLIENTE],B15,PAGOS[REG],"&lt;&gt;EGRESO*")</f>
        <v>600</v>
      </c>
      <c r="J15" s="275">
        <f>+SUMIFS(PAGOS[PAGO DEL INTERES],PAGOS[CODIGO CLIENTE],B15,PAGOS[REG],"&lt;&gt;EGRESO*")</f>
        <v>50</v>
      </c>
      <c r="K15" s="278">
        <f>+SUMIFS(PAGOS[PAGO DEL INTERES],PAGOS[CODIGO CLIENTE],B15,PAGOS[REG],"EGRESO*")</f>
        <v>8</v>
      </c>
      <c r="L15" s="281">
        <f t="shared" si="2"/>
        <v>150</v>
      </c>
      <c r="M15" s="281">
        <f t="shared" si="0"/>
        <v>9</v>
      </c>
      <c r="N15" s="276">
        <f>+(SUMIFS(PAGOS[PAGO DEL MONTO],PAGOS[NOMBRE CLIENTE],C15,PAGOS[REG],"INGRESO*"))+(SUMIFS(PAGOS[PAGO DEL INTERES],PAGOS[NOMBRE CLIENTE],C15,PAGOS[REG],"INGRESO*"))</f>
        <v>13.35</v>
      </c>
      <c r="O15" s="276">
        <f>IF(C15="SOCIOS GASTOS",SUMIFS(PAGOS[PAGO DEL MONTO],PAGOS[NOMBRE CLIENTE],"SOCIOS GASTOS",PAGOS[REG],"EGRESO*")+(SUMIFS(PAGOS[PAGO DEL INTERES],PAGOS[NOMBRE CLIENTE],"SOCIOS GASTOS",PAGOS[REG],"EGRESO*")),0)+F15</f>
        <v>0</v>
      </c>
      <c r="P15" s="292">
        <f t="shared" si="1"/>
        <v>594.27375000000006</v>
      </c>
    </row>
    <row r="16" spans="2:18" x14ac:dyDescent="0.3">
      <c r="B16" s="274">
        <v>11</v>
      </c>
      <c r="C16" s="274" t="s">
        <v>19</v>
      </c>
      <c r="D16" s="400">
        <v>39</v>
      </c>
      <c r="E16" s="275">
        <v>390</v>
      </c>
      <c r="F16" s="275">
        <f>+SUMIFS(PRESTAMOS[MONTO AMORTIZACION],PRESTAMOS[NOMBRE CLIENTE],C16,PRESTAMOS[REG],"AYUDA*")</f>
        <v>0</v>
      </c>
      <c r="G16" s="284">
        <f>+SUMIFS(PRESTAMOS[MONTO AMORTIZACION],PRESTAMOS[CODIGO CLIENTE],B16,PRESTAMOS[REG],"&lt;&gt;AYUDA*")</f>
        <v>1400</v>
      </c>
      <c r="H16" s="284">
        <f>+SUMIFS(PRESTAMOS[T. INT],PRESTAMOS[CODIGO CLIENTE],B16,PRESTAMOS[REG],"&lt;&gt;AYUDA*")</f>
        <v>104</v>
      </c>
      <c r="I16" s="275">
        <f>+SUMIFS(PAGOS[PAGO DEL MONTO],PAGOS[CODIGO CLIENTE],B16,PAGOS[REG],"&lt;&gt;EGRESO*")</f>
        <v>1400</v>
      </c>
      <c r="J16" s="275">
        <f>+SUMIFS(PAGOS[PAGO DEL INTERES],PAGOS[CODIGO CLIENTE],B16,PAGOS[REG],"&lt;&gt;EGRESO*")</f>
        <v>96</v>
      </c>
      <c r="K16" s="278">
        <f>+SUMIFS(PAGOS[PAGO DEL INTERES],PAGOS[CODIGO CLIENTE],B16,PAGOS[REG],"EGRESO*")</f>
        <v>8</v>
      </c>
      <c r="L16" s="281">
        <f t="shared" si="2"/>
        <v>0</v>
      </c>
      <c r="M16" s="281">
        <f t="shared" si="0"/>
        <v>0</v>
      </c>
      <c r="N16" s="276">
        <f>+(SUMIFS(PAGOS[PAGO DEL MONTO],PAGOS[NOMBRE CLIENTE],C16,PAGOS[REG],"INGRESO*"))+(SUMIFS(PAGOS[PAGO DEL INTERES],PAGOS[NOMBRE CLIENTE],C16,PAGOS[REG],"INGRESO*"))</f>
        <v>17.350000000000001</v>
      </c>
      <c r="O16" s="276">
        <f>IF(C16="SOCIOS GASTOS",SUMIFS(PAGOS[PAGO DEL MONTO],PAGOS[NOMBRE CLIENTE],"SOCIOS GASTOS",PAGOS[REG],"EGRESO*")+(SUMIFS(PAGOS[PAGO DEL INTERES],PAGOS[NOMBRE CLIENTE],"SOCIOS GASTOS",PAGOS[REG],"EGRESO*")),0)+F16</f>
        <v>0</v>
      </c>
      <c r="P16" s="292">
        <f t="shared" si="1"/>
        <v>594.27375000000006</v>
      </c>
    </row>
    <row r="17" spans="2:16" x14ac:dyDescent="0.3">
      <c r="B17" s="274">
        <v>12</v>
      </c>
      <c r="C17" s="274" t="s">
        <v>20</v>
      </c>
      <c r="D17" s="400">
        <v>39</v>
      </c>
      <c r="E17" s="275">
        <v>390</v>
      </c>
      <c r="F17" s="275">
        <f>+SUMIFS(PRESTAMOS[MONTO AMORTIZACION],PRESTAMOS[NOMBRE CLIENTE],C17,PRESTAMOS[REG],"AYUDA*")</f>
        <v>100</v>
      </c>
      <c r="G17" s="284">
        <f>+SUMIFS(PRESTAMOS[MONTO AMORTIZACION],PRESTAMOS[CODIGO CLIENTE],B17,PRESTAMOS[REG],"&lt;&gt;AYUDA*")</f>
        <v>3500</v>
      </c>
      <c r="H17" s="284">
        <f>+SUMIFS(PRESTAMOS[T. INT],PRESTAMOS[CODIGO CLIENTE],B17,PRESTAMOS[REG],"&lt;&gt;AYUDA*")</f>
        <v>588</v>
      </c>
      <c r="I17" s="275">
        <f>+SUMIFS(PAGOS[PAGO DEL MONTO],PAGOS[CODIGO CLIENTE],B17,PAGOS[REG],"&lt;&gt;EGRESO*")</f>
        <v>2620</v>
      </c>
      <c r="J17" s="275">
        <f>+SUMIFS(PAGOS[PAGO DEL INTERES],PAGOS[CODIGO CLIENTE],B17,PAGOS[REG],"&lt;&gt;EGRESO*")</f>
        <v>380</v>
      </c>
      <c r="K17" s="278">
        <f>+SUMIFS(PAGOS[PAGO DEL INTERES],PAGOS[CODIGO CLIENTE],B17,PAGOS[REG],"EGRESO*")</f>
        <v>32</v>
      </c>
      <c r="L17" s="281">
        <f t="shared" si="2"/>
        <v>880</v>
      </c>
      <c r="M17" s="281">
        <f t="shared" si="0"/>
        <v>176</v>
      </c>
      <c r="N17" s="276">
        <f>+(SUMIFS(PAGOS[PAGO DEL MONTO],PAGOS[NOMBRE CLIENTE],C17,PAGOS[REG],"INGRESO*"))+(SUMIFS(PAGOS[PAGO DEL INTERES],PAGOS[NOMBRE CLIENTE],C17,PAGOS[REG],"INGRESO*"))</f>
        <v>13.35</v>
      </c>
      <c r="O17" s="276">
        <f>IF(C17="SOCIOS GASTOS",SUMIFS(PAGOS[PAGO DEL MONTO],PAGOS[NOMBRE CLIENTE],"SOCIOS GASTOS",PAGOS[REG],"EGRESO*")+(SUMIFS(PAGOS[PAGO DEL INTERES],PAGOS[NOMBRE CLIENTE],"SOCIOS GASTOS",PAGOS[REG],"EGRESO*")),0)+F17</f>
        <v>100</v>
      </c>
      <c r="P17" s="292">
        <f t="shared" si="1"/>
        <v>594.27375000000006</v>
      </c>
    </row>
    <row r="18" spans="2:16" x14ac:dyDescent="0.3">
      <c r="B18" s="274">
        <v>13</v>
      </c>
      <c r="C18" s="274" t="s">
        <v>341</v>
      </c>
      <c r="D18" s="400">
        <v>7</v>
      </c>
      <c r="E18" s="275">
        <v>390</v>
      </c>
      <c r="F18" s="275">
        <f>+SUMIFS(PRESTAMOS[MONTO AMORTIZACION],PRESTAMOS[NOMBRE CLIENTE],C18,PRESTAMOS[REG],"AYUDA*")</f>
        <v>0</v>
      </c>
      <c r="G18" s="284">
        <f>+SUMIFS(PRESTAMOS[MONTO AMORTIZACION],PRESTAMOS[CODIGO CLIENTE],B18,PRESTAMOS[REG],"&lt;&gt;AYUDA*")</f>
        <v>0</v>
      </c>
      <c r="H18" s="284">
        <f>+SUMIFS(PRESTAMOS[T. INT],PRESTAMOS[CODIGO CLIENTE],B18,PRESTAMOS[REG],"&lt;&gt;AYUDA*")</f>
        <v>0</v>
      </c>
      <c r="I18" s="275">
        <f>+SUMIFS(PAGOS[PAGO DEL MONTO],PAGOS[CODIGO CLIENTE],B18,PAGOS[REG],"&lt;&gt;EGRESO*")</f>
        <v>0</v>
      </c>
      <c r="J18" s="275">
        <f>+SUMIFS(PAGOS[PAGO DEL INTERES],PAGOS[CODIGO CLIENTE],B18,PAGOS[REG],"&lt;&gt;EGRESO*")</f>
        <v>0</v>
      </c>
      <c r="K18" s="278">
        <f>+SUMIFS(PAGOS[PAGO DEL INTERES],PAGOS[CODIGO CLIENTE],B18,PAGOS[REG],"EGRESO*")</f>
        <v>0</v>
      </c>
      <c r="L18" s="281">
        <f t="shared" si="2"/>
        <v>0</v>
      </c>
      <c r="M18" s="281">
        <f t="shared" si="0"/>
        <v>0</v>
      </c>
      <c r="N18" s="276">
        <f>+(SUMIFS(PAGOS[PAGO DEL MONTO],PAGOS[NOMBRE CLIENTE],C18,PAGOS[REG],"INGRESO*"))+(SUMIFS(PAGOS[PAGO DEL INTERES],PAGOS[NOMBRE CLIENTE],C18,PAGOS[REG],"INGRESO*"))</f>
        <v>0</v>
      </c>
      <c r="O18" s="276">
        <f>IF(C18="SOCIOS GASTOS",SUMIFS(PAGOS[PAGO DEL MONTO],PAGOS[NOMBRE CLIENTE],"SOCIOS GASTOS",PAGOS[REG],"EGRESO*")+(SUMIFS(PAGOS[PAGO DEL INTERES],PAGOS[NOMBRE CLIENTE],"SOCIOS GASTOS",PAGOS[REG],"EGRESO*")),0)+F18</f>
        <v>0</v>
      </c>
      <c r="P18" s="292">
        <f t="shared" si="1"/>
        <v>594.27375000000006</v>
      </c>
    </row>
    <row r="19" spans="2:16" x14ac:dyDescent="0.3">
      <c r="B19" s="274">
        <v>14</v>
      </c>
      <c r="C19" s="274" t="s">
        <v>21</v>
      </c>
      <c r="D19" s="400">
        <v>39</v>
      </c>
      <c r="E19" s="275">
        <v>390</v>
      </c>
      <c r="F19" s="275">
        <f>+SUMIFS(PRESTAMOS[MONTO AMORTIZACION],PRESTAMOS[NOMBRE CLIENTE],C19,PRESTAMOS[REG],"AYUDA*")</f>
        <v>100</v>
      </c>
      <c r="G19" s="284">
        <f>+SUMIFS(PRESTAMOS[MONTO AMORTIZACION],PRESTAMOS[CODIGO CLIENTE],B19,PRESTAMOS[REG],"&lt;&gt;AYUDA*")</f>
        <v>3620</v>
      </c>
      <c r="H19" s="284">
        <f>+SUMIFS(PRESTAMOS[T. INT],PRESTAMOS[CODIGO CLIENTE],B19,PRESTAMOS[REG],"&lt;&gt;AYUDA*")</f>
        <v>329</v>
      </c>
      <c r="I19" s="275">
        <f>+SUMIFS(PAGOS[PAGO DEL MONTO],PAGOS[CODIGO CLIENTE],B19,PAGOS[REG],"&lt;&gt;EGRESO*")</f>
        <v>3620</v>
      </c>
      <c r="J19" s="275">
        <f>+SUMIFS(PAGOS[PAGO DEL INTERES],PAGOS[CODIGO CLIENTE],B19,PAGOS[REG],"&lt;&gt;EGRESO*")</f>
        <v>287</v>
      </c>
      <c r="K19" s="278">
        <f>+SUMIFS(PAGOS[PAGO DEL INTERES],PAGOS[CODIGO CLIENTE],B19,PAGOS[REG],"EGRESO*")</f>
        <v>42</v>
      </c>
      <c r="L19" s="281">
        <f t="shared" si="2"/>
        <v>0</v>
      </c>
      <c r="M19" s="281">
        <f t="shared" si="0"/>
        <v>0</v>
      </c>
      <c r="N19" s="276">
        <f>+(SUMIFS(PAGOS[PAGO DEL MONTO],PAGOS[NOMBRE CLIENTE],C19,PAGOS[REG],"INGRESO*"))+(SUMIFS(PAGOS[PAGO DEL INTERES],PAGOS[NOMBRE CLIENTE],C19,PAGOS[REG],"INGRESO*"))</f>
        <v>13.35</v>
      </c>
      <c r="O19" s="276">
        <f>IF(C19="SOCIOS GASTOS",SUMIFS(PAGOS[PAGO DEL MONTO],PAGOS[NOMBRE CLIENTE],"SOCIOS GASTOS",PAGOS[REG],"EGRESO*")+(SUMIFS(PAGOS[PAGO DEL INTERES],PAGOS[NOMBRE CLIENTE],"SOCIOS GASTOS",PAGOS[REG],"EGRESO*")),0)+F19</f>
        <v>100</v>
      </c>
      <c r="P19" s="292">
        <f t="shared" si="1"/>
        <v>594.27375000000006</v>
      </c>
    </row>
    <row r="20" spans="2:16" x14ac:dyDescent="0.3">
      <c r="B20" s="274">
        <v>15</v>
      </c>
      <c r="C20" s="274" t="s">
        <v>22</v>
      </c>
      <c r="D20" s="400">
        <v>39</v>
      </c>
      <c r="E20" s="275">
        <v>390</v>
      </c>
      <c r="F20" s="275">
        <f>+SUMIFS(PRESTAMOS[MONTO AMORTIZACION],PRESTAMOS[NOMBRE CLIENTE],C20,PRESTAMOS[REG],"AYUDA*")</f>
        <v>0</v>
      </c>
      <c r="G20" s="284">
        <f>+SUMIFS(PRESTAMOS[MONTO AMORTIZACION],PRESTAMOS[CODIGO CLIENTE],B20,PRESTAMOS[REG],"&lt;&gt;AYUDA*")</f>
        <v>1800</v>
      </c>
      <c r="H20" s="284">
        <f>+SUMIFS(PRESTAMOS[T. INT],PRESTAMOS[CODIGO CLIENTE],B20,PRESTAMOS[REG],"&lt;&gt;AYUDA*")</f>
        <v>280</v>
      </c>
      <c r="I20" s="275">
        <f>+SUMIFS(PAGOS[PAGO DEL MONTO],PAGOS[CODIGO CLIENTE],B20,PAGOS[REG],"&lt;&gt;EGRESO*")</f>
        <v>1300</v>
      </c>
      <c r="J20" s="275">
        <f>+SUMIFS(PAGOS[PAGO DEL INTERES],PAGOS[CODIGO CLIENTE],B20,PAGOS[REG],"&lt;&gt;EGRESO*")</f>
        <v>204</v>
      </c>
      <c r="K20" s="278">
        <f>+SUMIFS(PAGOS[PAGO DEL INTERES],PAGOS[CODIGO CLIENTE],B20,PAGOS[REG],"EGRESO*")</f>
        <v>6</v>
      </c>
      <c r="L20" s="281">
        <f t="shared" si="2"/>
        <v>500</v>
      </c>
      <c r="M20" s="281">
        <f t="shared" si="0"/>
        <v>70</v>
      </c>
      <c r="N20" s="276">
        <f>+(SUMIFS(PAGOS[PAGO DEL MONTO],PAGOS[NOMBRE CLIENTE],C20,PAGOS[REG],"INGRESO*"))+(SUMIFS(PAGOS[PAGO DEL INTERES],PAGOS[NOMBRE CLIENTE],C20,PAGOS[REG],"INGRESO*"))</f>
        <v>13.35</v>
      </c>
      <c r="O20" s="276">
        <f>IF(C20="SOCIOS GASTOS",SUMIFS(PAGOS[PAGO DEL MONTO],PAGOS[NOMBRE CLIENTE],"SOCIOS GASTOS",PAGOS[REG],"EGRESO*")+(SUMIFS(PAGOS[PAGO DEL INTERES],PAGOS[NOMBRE CLIENTE],"SOCIOS GASTOS",PAGOS[REG],"EGRESO*")),0)+F20</f>
        <v>0</v>
      </c>
      <c r="P20" s="292">
        <f t="shared" si="1"/>
        <v>594.27375000000006</v>
      </c>
    </row>
    <row r="21" spans="2:16" x14ac:dyDescent="0.3">
      <c r="B21" s="274">
        <v>16</v>
      </c>
      <c r="C21" s="274" t="s">
        <v>23</v>
      </c>
      <c r="D21" s="400">
        <v>39</v>
      </c>
      <c r="E21" s="275">
        <v>390</v>
      </c>
      <c r="F21" s="275">
        <f>+SUMIFS(PRESTAMOS[MONTO AMORTIZACION],PRESTAMOS[NOMBRE CLIENTE],C21,PRESTAMOS[REG],"AYUDA*")</f>
        <v>0</v>
      </c>
      <c r="G21" s="284">
        <f>+SUMIFS(PRESTAMOS[MONTO AMORTIZACION],PRESTAMOS[CODIGO CLIENTE],B21,PRESTAMOS[REG],"&lt;&gt;AYUDA*")</f>
        <v>2610</v>
      </c>
      <c r="H21" s="284">
        <f>+SUMIFS(PRESTAMOS[T. INT],PRESTAMOS[CODIGO CLIENTE],B21,PRESTAMOS[REG],"&lt;&gt;AYUDA*")</f>
        <v>213.20000000000002</v>
      </c>
      <c r="I21" s="275">
        <f>+SUMIFS(PAGOS[PAGO DEL MONTO],PAGOS[CODIGO CLIENTE],B21,PAGOS[REG],"&lt;&gt;EGRESO*")</f>
        <v>2160.04</v>
      </c>
      <c r="J21" s="275">
        <f>+SUMIFS(PAGOS[PAGO DEL INTERES],PAGOS[CODIGO CLIENTE],B21,PAGOS[REG],"&lt;&gt;EGRESO*")</f>
        <v>182.20000000000002</v>
      </c>
      <c r="K21" s="278">
        <f>+SUMIFS(PAGOS[PAGO DEL INTERES],PAGOS[CODIGO CLIENTE],B21,PAGOS[REG],"EGRESO*")</f>
        <v>0</v>
      </c>
      <c r="L21" s="281">
        <f t="shared" si="2"/>
        <v>449.96000000000004</v>
      </c>
      <c r="M21" s="281">
        <f t="shared" si="0"/>
        <v>31</v>
      </c>
      <c r="N21" s="276">
        <f>+(SUMIFS(PAGOS[PAGO DEL MONTO],PAGOS[NOMBRE CLIENTE],C21,PAGOS[REG],"INGRESO*"))+(SUMIFS(PAGOS[PAGO DEL INTERES],PAGOS[NOMBRE CLIENTE],C21,PAGOS[REG],"INGRESO*"))</f>
        <v>13.35</v>
      </c>
      <c r="O21" s="276">
        <f>IF(C21="SOCIOS GASTOS",SUMIFS(PAGOS[PAGO DEL MONTO],PAGOS[NOMBRE CLIENTE],"SOCIOS GASTOS",PAGOS[REG],"EGRESO*")+(SUMIFS(PAGOS[PAGO DEL INTERES],PAGOS[NOMBRE CLIENTE],"SOCIOS GASTOS",PAGOS[REG],"EGRESO*")),0)+F21</f>
        <v>0</v>
      </c>
      <c r="P21" s="292">
        <f t="shared" si="1"/>
        <v>594.27375000000006</v>
      </c>
    </row>
    <row r="22" spans="2:16" x14ac:dyDescent="0.3">
      <c r="B22" s="274">
        <v>17</v>
      </c>
      <c r="C22" s="274" t="s">
        <v>339</v>
      </c>
      <c r="D22" s="400">
        <v>7</v>
      </c>
      <c r="E22" s="275">
        <v>390</v>
      </c>
      <c r="F22" s="275">
        <f>+SUMIFS(PRESTAMOS[MONTO AMORTIZACION],PRESTAMOS[NOMBRE CLIENTE],C22,PRESTAMOS[REG],"AYUDA*")</f>
        <v>0</v>
      </c>
      <c r="G22" s="284">
        <f>+SUMIFS(PRESTAMOS[MONTO AMORTIZACION],PRESTAMOS[CODIGO CLIENTE],B22,PRESTAMOS[REG],"&lt;&gt;AYUDA*")</f>
        <v>2000</v>
      </c>
      <c r="H22" s="284">
        <f>+SUMIFS(PRESTAMOS[T. INT],PRESTAMOS[CODIGO CLIENTE],B22,PRESTAMOS[REG],"&lt;&gt;AYUDA*")</f>
        <v>480</v>
      </c>
      <c r="I22" s="275">
        <f>+SUMIFS(PAGOS[PAGO DEL MONTO],PAGOS[CODIGO CLIENTE],B22,PAGOS[REG],"&lt;&gt;EGRESO*")</f>
        <v>833.34999999999991</v>
      </c>
      <c r="J22" s="275">
        <f>+SUMIFS(PAGOS[PAGO DEL INTERES],PAGOS[CODIGO CLIENTE],B22,PAGOS[REG],"&lt;&gt;EGRESO*")</f>
        <v>200</v>
      </c>
      <c r="K22" s="278">
        <f>+SUMIFS(PAGOS[PAGO DEL INTERES],PAGOS[CODIGO CLIENTE],B22,PAGOS[REG],"EGRESO*")</f>
        <v>0</v>
      </c>
      <c r="L22" s="281">
        <f t="shared" si="2"/>
        <v>1166.6500000000001</v>
      </c>
      <c r="M22" s="281">
        <f t="shared" si="0"/>
        <v>280</v>
      </c>
      <c r="N22" s="276">
        <f>+(SUMIFS(PAGOS[PAGO DEL MONTO],PAGOS[NOMBRE CLIENTE],C22,PAGOS[REG],"INGRESO*"))+(SUMIFS(PAGOS[PAGO DEL INTERES],PAGOS[NOMBRE CLIENTE],C22,PAGOS[REG],"INGRESO*"))</f>
        <v>0</v>
      </c>
      <c r="O22" s="276">
        <f>IF(C22="SOCIOS GASTOS",SUMIFS(PAGOS[PAGO DEL MONTO],PAGOS[NOMBRE CLIENTE],"SOCIOS GASTOS",PAGOS[REG],"EGRESO*")+(SUMIFS(PAGOS[PAGO DEL INTERES],PAGOS[NOMBRE CLIENTE],"SOCIOS GASTOS",PAGOS[REG],"EGRESO*")),0)+F22</f>
        <v>0</v>
      </c>
      <c r="P22" s="292">
        <f t="shared" si="1"/>
        <v>594.27375000000006</v>
      </c>
    </row>
    <row r="23" spans="2:16" x14ac:dyDescent="0.3">
      <c r="B23" s="274">
        <v>18</v>
      </c>
      <c r="C23" s="274" t="s">
        <v>340</v>
      </c>
      <c r="D23" s="400">
        <v>7</v>
      </c>
      <c r="E23" s="275">
        <v>390</v>
      </c>
      <c r="F23" s="275">
        <f>+SUMIFS(PRESTAMOS[MONTO AMORTIZACION],PRESTAMOS[NOMBRE CLIENTE],C23,PRESTAMOS[REG],"AYUDA*")</f>
        <v>0</v>
      </c>
      <c r="G23" s="284">
        <f>+SUMIFS(PRESTAMOS[MONTO AMORTIZACION],PRESTAMOS[CODIGO CLIENTE],B23,PRESTAMOS[REG],"&lt;&gt;AYUDA*")</f>
        <v>600</v>
      </c>
      <c r="H23" s="284">
        <f>+SUMIFS(PRESTAMOS[T. INT],PRESTAMOS[CODIGO CLIENTE],B23,PRESTAMOS[REG],"&lt;&gt;AYUDA*")</f>
        <v>48</v>
      </c>
      <c r="I23" s="275">
        <f>+SUMIFS(PAGOS[PAGO DEL MONTO],PAGOS[CODIGO CLIENTE],B23,PAGOS[REG],"&lt;&gt;EGRESO*")</f>
        <v>200</v>
      </c>
      <c r="J23" s="275">
        <f>+SUMIFS(PAGOS[PAGO DEL INTERES],PAGOS[CODIGO CLIENTE],B23,PAGOS[REG],"&lt;&gt;EGRESO*")</f>
        <v>12</v>
      </c>
      <c r="K23" s="278">
        <f>+SUMIFS(PAGOS[PAGO DEL INTERES],PAGOS[CODIGO CLIENTE],B23,PAGOS[REG],"EGRESO*")</f>
        <v>4</v>
      </c>
      <c r="L23" s="281">
        <f t="shared" si="2"/>
        <v>400</v>
      </c>
      <c r="M23" s="281">
        <f t="shared" si="0"/>
        <v>32</v>
      </c>
      <c r="N23" s="276">
        <f>+(SUMIFS(PAGOS[PAGO DEL MONTO],PAGOS[NOMBRE CLIENTE],C23,PAGOS[REG],"INGRESO*"))+(SUMIFS(PAGOS[PAGO DEL INTERES],PAGOS[NOMBRE CLIENTE],C23,PAGOS[REG],"INGRESO*"))</f>
        <v>0</v>
      </c>
      <c r="O23" s="276">
        <f>IF(C23="SOCIOS GASTOS",SUMIFS(PAGOS[PAGO DEL MONTO],PAGOS[NOMBRE CLIENTE],"SOCIOS GASTOS",PAGOS[REG],"EGRESO*")+(SUMIFS(PAGOS[PAGO DEL INTERES],PAGOS[NOMBRE CLIENTE],"SOCIOS GASTOS",PAGOS[REG],"EGRESO*")),0)+F23</f>
        <v>0</v>
      </c>
      <c r="P23" s="292">
        <f t="shared" si="1"/>
        <v>594.27375000000006</v>
      </c>
    </row>
    <row r="24" spans="2:16" x14ac:dyDescent="0.3">
      <c r="B24" t="s">
        <v>261</v>
      </c>
      <c r="D24" s="399">
        <v>532</v>
      </c>
      <c r="E24" s="110">
        <v>6240</v>
      </c>
      <c r="F24" s="273">
        <f>+SUM(F6:F23)</f>
        <v>460</v>
      </c>
      <c r="G24" s="285">
        <f t="shared" ref="G24:K24" si="3">+SUM(G6:G23)</f>
        <v>35180</v>
      </c>
      <c r="H24" s="285">
        <f t="shared" si="3"/>
        <v>4155.6000000000004</v>
      </c>
      <c r="I24" s="273">
        <f t="shared" si="3"/>
        <v>29033.4</v>
      </c>
      <c r="J24" s="273">
        <f t="shared" si="3"/>
        <v>2867.6</v>
      </c>
      <c r="K24" s="279">
        <f t="shared" si="3"/>
        <v>210</v>
      </c>
      <c r="L24" s="282">
        <f t="shared" ref="L24" si="4">+SUM(L6:L23)</f>
        <v>6146.6</v>
      </c>
      <c r="M24" s="282">
        <f t="shared" ref="M24:P24" si="5">+SUM(M6:M23)</f>
        <v>1078</v>
      </c>
      <c r="N24" s="273">
        <f t="shared" si="5"/>
        <v>200.69999999999996</v>
      </c>
      <c r="O24" s="273">
        <f t="shared" si="5"/>
        <v>877.92000000000007</v>
      </c>
      <c r="P24" s="273">
        <f t="shared" si="5"/>
        <v>9508.3800000000028</v>
      </c>
    </row>
    <row r="26" spans="2:16" x14ac:dyDescent="0.3">
      <c r="J26" s="110"/>
    </row>
    <row r="27" spans="2:16" x14ac:dyDescent="0.3">
      <c r="I27" s="110"/>
    </row>
  </sheetData>
  <sheetProtection algorithmName="SHA-512" hashValue="pL17UjNtl5M6EuhDRK5kjdU8htxg4fyDs7X0OFAqajNB2iMUxppSdD6PmXsK2DiIi3IswLI4DCJBRMvK1ue7Rw==" saltValue="kiIJjFy7U1Si/enEvw3dLQ==" spinCount="100000" sheet="1" objects="1" scenarios="1" selectLockedCells="1"/>
  <autoFilter ref="B5:P24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workbookViewId="0"/>
  </sheetViews>
  <sheetFormatPr baseColWidth="10" defaultColWidth="10.88671875" defaultRowHeight="14.4" x14ac:dyDescent="0.3"/>
  <cols>
    <col min="1" max="1" width="3" style="103" customWidth="1"/>
    <col min="2" max="2" width="20.44140625" style="103" bestFit="1" customWidth="1"/>
    <col min="3" max="3" width="16" style="103" bestFit="1" customWidth="1"/>
    <col min="4" max="4" width="17.33203125" style="103" bestFit="1" customWidth="1"/>
    <col min="5" max="5" width="11.6640625" style="103" bestFit="1" customWidth="1"/>
    <col min="6" max="6" width="2.88671875" style="103" customWidth="1"/>
    <col min="7" max="7" width="7.5546875" style="103" customWidth="1"/>
    <col min="8" max="8" width="12.44140625" style="103" bestFit="1" customWidth="1"/>
    <col min="9" max="9" width="13" style="103" customWidth="1"/>
    <col min="10" max="10" width="10.6640625" style="103" bestFit="1" customWidth="1"/>
    <col min="11" max="11" width="9.6640625" style="103" bestFit="1" customWidth="1"/>
    <col min="12" max="12" width="1.6640625" style="103" customWidth="1"/>
    <col min="13" max="13" width="11" style="103" bestFit="1" customWidth="1"/>
    <col min="14" max="14" width="12.33203125" style="103" hidden="1" customWidth="1"/>
    <col min="15" max="15" width="10.88671875" style="103" hidden="1" customWidth="1"/>
    <col min="16" max="16" width="12.33203125" style="103" bestFit="1" customWidth="1"/>
    <col min="17" max="17" width="12.44140625" style="103" bestFit="1" customWidth="1"/>
    <col min="18" max="18" width="11.6640625" style="103" bestFit="1" customWidth="1"/>
    <col min="19" max="19" width="10" style="103" bestFit="1" customWidth="1"/>
    <col min="20" max="28" width="10.88671875" style="103" customWidth="1"/>
    <col min="29" max="29" width="10.88671875" style="103" hidden="1" customWidth="1"/>
    <col min="30" max="30" width="12.5546875" style="103" hidden="1" customWidth="1"/>
    <col min="31" max="34" width="10.88671875" style="103" hidden="1" customWidth="1"/>
    <col min="35" max="16384" width="10.88671875" style="103"/>
  </cols>
  <sheetData>
    <row r="1" spans="2:34 16375:16375" ht="15" thickBot="1" x14ac:dyDescent="0.35">
      <c r="XEU1" s="103" t="s">
        <v>451</v>
      </c>
    </row>
    <row r="2" spans="2:34 16375:16375" ht="15.6" thickTop="1" thickBot="1" x14ac:dyDescent="0.35">
      <c r="B2" s="390" t="s">
        <v>92</v>
      </c>
      <c r="C2" s="391"/>
      <c r="D2" s="244" t="s">
        <v>397</v>
      </c>
      <c r="E2" s="111">
        <v>45945</v>
      </c>
      <c r="M2" s="112" t="s">
        <v>133</v>
      </c>
      <c r="N2" s="112" t="s">
        <v>134</v>
      </c>
      <c r="O2" s="112" t="s">
        <v>135</v>
      </c>
      <c r="P2" s="112" t="s">
        <v>136</v>
      </c>
      <c r="Q2" s="112" t="s">
        <v>137</v>
      </c>
      <c r="R2" s="112" t="s">
        <v>138</v>
      </c>
      <c r="S2" s="112" t="s">
        <v>139</v>
      </c>
      <c r="AC2" s="112" t="s">
        <v>131</v>
      </c>
      <c r="AD2" s="112"/>
      <c r="AE2" s="112"/>
      <c r="AF2" s="112"/>
      <c r="AG2" s="112"/>
      <c r="AH2" s="118"/>
    </row>
    <row r="3" spans="2:34 16375:16375" ht="15.6" thickTop="1" thickBot="1" x14ac:dyDescent="0.35">
      <c r="B3" s="392"/>
      <c r="C3" s="393"/>
      <c r="D3" s="244" t="s">
        <v>398</v>
      </c>
      <c r="E3" s="111">
        <v>44788</v>
      </c>
      <c r="G3" s="89" t="s">
        <v>92</v>
      </c>
      <c r="H3" s="90"/>
      <c r="I3" s="90"/>
      <c r="J3" s="91"/>
      <c r="M3" s="112" t="s">
        <v>131</v>
      </c>
      <c r="N3" s="112"/>
      <c r="O3" s="112"/>
      <c r="P3" s="112"/>
      <c r="Q3" s="112"/>
      <c r="R3" s="118"/>
      <c r="AC3" s="113">
        <v>100</v>
      </c>
      <c r="AD3" s="115">
        <f t="shared" ref="AD3:AD8" si="0">10000*$AC3</f>
        <v>1000000</v>
      </c>
      <c r="AE3" s="115">
        <f t="shared" ref="AE3:AE8" si="1">1000*$AC3</f>
        <v>100000</v>
      </c>
      <c r="AF3" s="115">
        <f t="shared" ref="AF3:AF8" si="2">100*$AC3</f>
        <v>10000</v>
      </c>
      <c r="AG3" s="115">
        <f t="shared" ref="AG3:AG8" si="3">10*$AC3</f>
        <v>1000</v>
      </c>
      <c r="AH3" s="115">
        <f t="shared" ref="AH3:AH8" si="4">+$AC3*1</f>
        <v>100</v>
      </c>
    </row>
    <row r="4" spans="2:34 16375:16375" ht="15.6" thickTop="1" thickBot="1" x14ac:dyDescent="0.35">
      <c r="B4" s="394"/>
      <c r="C4" s="395"/>
      <c r="D4" s="244" t="s">
        <v>396</v>
      </c>
      <c r="E4" s="111">
        <v>45975</v>
      </c>
      <c r="G4" s="88" t="s">
        <v>114</v>
      </c>
      <c r="H4" s="2"/>
      <c r="I4" s="2"/>
      <c r="J4" s="98">
        <f>SUMIFS(APORTACIONESOCIOS[APORTE],APORTACIONESOCIOS[FECHA],"&gt;="&amp;$E$2,APORTACIONESOCIOS[FECHA],"&lt;="&amp;$E$4)</f>
        <v>160</v>
      </c>
      <c r="M4" s="113">
        <v>20</v>
      </c>
      <c r="N4" s="115">
        <v>200000</v>
      </c>
      <c r="O4" s="115">
        <v>20000</v>
      </c>
      <c r="P4" s="123"/>
      <c r="Q4" s="123">
        <v>9</v>
      </c>
      <c r="R4" s="123">
        <v>6</v>
      </c>
      <c r="S4" s="124">
        <f>SUM(P4*100+Q4*10+R4*1)</f>
        <v>96</v>
      </c>
      <c r="AC4" s="113">
        <v>50</v>
      </c>
      <c r="AD4" s="115">
        <f t="shared" si="0"/>
        <v>500000</v>
      </c>
      <c r="AE4" s="115">
        <f t="shared" si="1"/>
        <v>50000</v>
      </c>
      <c r="AF4" s="115">
        <f t="shared" si="2"/>
        <v>5000</v>
      </c>
      <c r="AG4" s="115">
        <f t="shared" si="3"/>
        <v>500</v>
      </c>
      <c r="AH4" s="115">
        <f t="shared" si="4"/>
        <v>50</v>
      </c>
    </row>
    <row r="5" spans="2:34 16375:16375" ht="15.6" thickTop="1" thickBot="1" x14ac:dyDescent="0.35">
      <c r="B5" s="88" t="s">
        <v>91</v>
      </c>
      <c r="C5" s="2"/>
      <c r="D5" s="2"/>
      <c r="E5" s="170">
        <f>SUMIFS(APORTACIONESOCIOS[APORTE],APORTACIONESOCIOS[FECHA],"&gt;="&amp;$E$3,APORTACIONESOCIOS[FECHA],"&lt;="&amp;$E$4)</f>
        <v>6240</v>
      </c>
      <c r="G5" s="88" t="s">
        <v>103</v>
      </c>
      <c r="H5" s="2"/>
      <c r="I5" s="2"/>
      <c r="J5" s="98">
        <f>E9</f>
        <v>750</v>
      </c>
      <c r="M5" s="113">
        <v>10</v>
      </c>
      <c r="N5" s="115">
        <v>100000</v>
      </c>
      <c r="O5" s="115">
        <v>10000</v>
      </c>
      <c r="P5" s="123"/>
      <c r="Q5" s="123">
        <v>2</v>
      </c>
      <c r="R5" s="123">
        <v>7</v>
      </c>
      <c r="S5" s="124">
        <f>SUM(P5*100+Q5*10+R5*1)</f>
        <v>27</v>
      </c>
      <c r="AC5" s="113">
        <v>20</v>
      </c>
      <c r="AD5" s="115">
        <f t="shared" si="0"/>
        <v>200000</v>
      </c>
      <c r="AE5" s="115">
        <f t="shared" si="1"/>
        <v>20000</v>
      </c>
      <c r="AF5" s="115">
        <f t="shared" si="2"/>
        <v>2000</v>
      </c>
      <c r="AG5" s="115">
        <f t="shared" si="3"/>
        <v>200</v>
      </c>
      <c r="AH5" s="115">
        <f t="shared" si="4"/>
        <v>20</v>
      </c>
    </row>
    <row r="6" spans="2:34 16375:16375" ht="15.6" thickTop="1" thickBot="1" x14ac:dyDescent="0.35">
      <c r="B6" s="89" t="s">
        <v>169</v>
      </c>
      <c r="C6" s="90"/>
      <c r="D6" s="90"/>
      <c r="E6" s="176"/>
      <c r="G6" s="88" t="s">
        <v>449</v>
      </c>
      <c r="H6" s="2"/>
      <c r="I6" s="2"/>
      <c r="J6" s="330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1307.67</v>
      </c>
      <c r="M6" s="113">
        <v>5</v>
      </c>
      <c r="N6" s="115">
        <v>50000</v>
      </c>
      <c r="O6" s="115">
        <v>5000</v>
      </c>
      <c r="P6" s="123"/>
      <c r="Q6" s="123"/>
      <c r="R6" s="123">
        <v>3</v>
      </c>
      <c r="S6" s="124">
        <f>SUM(P6*100+Q6*10+R6*1)</f>
        <v>3</v>
      </c>
      <c r="AC6" s="113">
        <v>10</v>
      </c>
      <c r="AD6" s="115">
        <f t="shared" si="0"/>
        <v>100000</v>
      </c>
      <c r="AE6" s="115">
        <f t="shared" si="1"/>
        <v>10000</v>
      </c>
      <c r="AF6" s="115">
        <f t="shared" si="2"/>
        <v>1000</v>
      </c>
      <c r="AG6" s="115">
        <f t="shared" si="3"/>
        <v>100</v>
      </c>
      <c r="AH6" s="115">
        <f t="shared" si="4"/>
        <v>10</v>
      </c>
    </row>
    <row r="7" spans="2:34 16375:16375" ht="15" thickTop="1" x14ac:dyDescent="0.3">
      <c r="B7" s="174" t="s">
        <v>225</v>
      </c>
      <c r="C7" s="2"/>
      <c r="D7" s="2"/>
      <c r="E7" s="169">
        <f>SUMIFS(PRESTAMOS[MONTO AMORTIZACION],PRESTAMOS[REG],"&lt;&gt;AYUDA*",PRESTAMOS[FECHA DEL PRESTAMO],"&gt;="&amp;$E$3,PRESTAMOS[FECHA DEL PRESTAMO],"&lt;="&amp;$E$4)</f>
        <v>35180</v>
      </c>
      <c r="G7" s="88" t="s">
        <v>450</v>
      </c>
      <c r="H7" s="2"/>
      <c r="I7" s="2"/>
      <c r="J7" s="330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144.07999999999998</v>
      </c>
      <c r="M7" s="113">
        <v>1</v>
      </c>
      <c r="N7" s="115">
        <v>10000</v>
      </c>
      <c r="O7" s="115">
        <v>1000</v>
      </c>
      <c r="P7" s="123"/>
      <c r="Q7" s="123"/>
      <c r="R7" s="123"/>
      <c r="S7" s="124">
        <f>SUM(P7*100+Q7*10+R7*1)</f>
        <v>0</v>
      </c>
      <c r="AC7" s="113">
        <v>5</v>
      </c>
      <c r="AD7" s="115">
        <f t="shared" si="0"/>
        <v>50000</v>
      </c>
      <c r="AE7" s="115">
        <f t="shared" si="1"/>
        <v>5000</v>
      </c>
      <c r="AF7" s="115">
        <f t="shared" si="2"/>
        <v>500</v>
      </c>
      <c r="AG7" s="115">
        <f t="shared" si="3"/>
        <v>50</v>
      </c>
      <c r="AH7" s="115">
        <f t="shared" si="4"/>
        <v>5</v>
      </c>
    </row>
    <row r="8" spans="2:34 16375:16375" x14ac:dyDescent="0.3">
      <c r="B8" s="175" t="s">
        <v>226</v>
      </c>
      <c r="C8" s="2"/>
      <c r="D8" s="2"/>
      <c r="E8" s="97">
        <f>SUMIFS(PRESTAMOS[MONTO AMORTIZACION],PRESTAMOS[REG],"AYUDA*",PRESTAMOS[FECHA DEL PRESTAMO],"&gt;="&amp;$E$3,PRESTAMOS[FECHA DEL PRESTAMO],"&lt;="&amp;$E$4)</f>
        <v>460</v>
      </c>
      <c r="G8" s="88" t="s">
        <v>105</v>
      </c>
      <c r="H8" s="2"/>
      <c r="I8" s="2"/>
      <c r="J8" s="98">
        <f>E11</f>
        <v>57</v>
      </c>
      <c r="M8" s="114" t="s">
        <v>132</v>
      </c>
      <c r="N8" s="116"/>
      <c r="O8" s="116"/>
      <c r="P8" s="116"/>
      <c r="Q8" s="116"/>
      <c r="R8" s="119"/>
      <c r="AC8" s="113">
        <v>1</v>
      </c>
      <c r="AD8" s="115">
        <f t="shared" si="0"/>
        <v>10000</v>
      </c>
      <c r="AE8" s="115">
        <f t="shared" si="1"/>
        <v>1000</v>
      </c>
      <c r="AF8" s="115">
        <f t="shared" si="2"/>
        <v>100</v>
      </c>
      <c r="AG8" s="115">
        <f t="shared" si="3"/>
        <v>10</v>
      </c>
      <c r="AH8" s="115">
        <f t="shared" si="4"/>
        <v>1</v>
      </c>
    </row>
    <row r="9" spans="2:34 16375:16375" ht="15" thickBot="1" x14ac:dyDescent="0.35">
      <c r="B9" s="88" t="s">
        <v>103</v>
      </c>
      <c r="C9" s="2"/>
      <c r="D9" s="2"/>
      <c r="E9" s="98">
        <f>SUMIFS(PRESTAMOS[MONTO AMORTIZACION],PRESTAMOS[REG],"&lt;&gt;""",PRESTAMOS[FECHA DEL PRESTAMO],"&gt;="&amp;$E$2,PRESTAMOS[FECHA DEL PRESTAMO],"&lt;="&amp;$E$4)</f>
        <v>750</v>
      </c>
      <c r="G9" s="88" t="s">
        <v>106</v>
      </c>
      <c r="H9" s="2"/>
      <c r="I9" s="2"/>
      <c r="J9" s="98">
        <f>E17-SUMIFS(PAGOS[PAGO DEL INTERES],PAGOS[COMENTARIO],"*REEPRESTAMO*",PAGOS[REG],"&lt;&gt;EGRESO*",PAGOS[FECHA PAGO INTERES],"&gt;="&amp;$E$2,PAGOS[FECHA PAGO INTERES],"&lt;="&amp;$E$4)</f>
        <v>168.2</v>
      </c>
      <c r="M9" s="113">
        <v>1</v>
      </c>
      <c r="N9" s="117">
        <v>10000</v>
      </c>
      <c r="O9" s="117">
        <v>1000</v>
      </c>
      <c r="P9" s="122"/>
      <c r="Q9" s="122">
        <v>1</v>
      </c>
      <c r="R9" s="122">
        <v>5</v>
      </c>
      <c r="S9" s="124">
        <f t="shared" ref="S9:S14" si="5">SUM(P9*100+Q9*10+R9*1)</f>
        <v>15</v>
      </c>
      <c r="AC9" s="114" t="s">
        <v>132</v>
      </c>
      <c r="AD9" s="116"/>
      <c r="AE9" s="116"/>
      <c r="AF9" s="116"/>
      <c r="AG9" s="116"/>
      <c r="AH9" s="119"/>
    </row>
    <row r="10" spans="2:34 16375:16375" ht="15.6" thickTop="1" thickBot="1" x14ac:dyDescent="0.35">
      <c r="B10" s="175" t="s">
        <v>227</v>
      </c>
      <c r="C10" s="2"/>
      <c r="D10" s="2"/>
      <c r="E10" s="177">
        <f>SUMIFS(PRESTAMOS[T. INT],PRESTAMOS[REG],"&lt;&gt;AYUDA*",PRESTAMOS[FECHA DEL PRESTAMO],"&gt;="&amp;$E$3,PRESTAMOS[FECHA DEL PRESTAMO],"&lt;="&amp;$E$4)</f>
        <v>4155.6000000000004</v>
      </c>
      <c r="G10" s="93" t="s">
        <v>117</v>
      </c>
      <c r="H10" s="94"/>
      <c r="I10" s="94"/>
      <c r="J10" s="187">
        <v>1253.83</v>
      </c>
      <c r="K10" s="104"/>
      <c r="M10" s="113">
        <v>0.5</v>
      </c>
      <c r="N10" s="115">
        <v>5000</v>
      </c>
      <c r="O10" s="115">
        <v>500</v>
      </c>
      <c r="P10" s="123"/>
      <c r="Q10" s="123"/>
      <c r="R10" s="123">
        <v>8</v>
      </c>
      <c r="S10" s="124">
        <f t="shared" si="5"/>
        <v>8</v>
      </c>
      <c r="AC10" s="113">
        <v>1</v>
      </c>
      <c r="AD10" s="117">
        <f t="shared" ref="AD10:AD15" si="6">$AC10*10000</f>
        <v>10000</v>
      </c>
      <c r="AE10" s="117">
        <f t="shared" ref="AE10:AE15" si="7">$AC10*1000</f>
        <v>1000</v>
      </c>
      <c r="AF10" s="117">
        <f t="shared" ref="AF10:AF15" si="8">$AC10*100</f>
        <v>100</v>
      </c>
      <c r="AG10" s="117">
        <f t="shared" ref="AG10:AG15" si="9">$AC10*10</f>
        <v>10</v>
      </c>
      <c r="AH10" s="117">
        <f t="shared" ref="AH10:AH15" si="10">$AC10*1</f>
        <v>1</v>
      </c>
    </row>
    <row r="11" spans="2:34 16375:16375" ht="15.6" thickTop="1" thickBot="1" x14ac:dyDescent="0.35">
      <c r="B11" s="88" t="s">
        <v>105</v>
      </c>
      <c r="C11" s="2"/>
      <c r="D11" s="2"/>
      <c r="E11" s="98">
        <f>SUMIFS(PRESTAMOS[T. INT],PRESTAMOS[REG],"&lt;&gt;AYUDA*",PRESTAMOS[FECHA DEL PRESTAMO],"&gt;="&amp;$E$2,PRESTAMOS[FECHA DEL PRESTAMO],"&lt;="&amp;$E$4)</f>
        <v>57</v>
      </c>
      <c r="G11" s="105" t="s">
        <v>115</v>
      </c>
      <c r="H11" s="85"/>
      <c r="I11" s="85"/>
      <c r="J11" s="107">
        <f>J4+J6+J9+J10+J7</f>
        <v>3033.7799999999997</v>
      </c>
      <c r="K11" s="104"/>
      <c r="M11" s="113">
        <v>0.25</v>
      </c>
      <c r="N11" s="115">
        <v>2000</v>
      </c>
      <c r="O11" s="115">
        <v>200</v>
      </c>
      <c r="P11" s="123"/>
      <c r="Q11" s="123">
        <v>1</v>
      </c>
      <c r="R11" s="123">
        <v>3</v>
      </c>
      <c r="S11" s="124">
        <f t="shared" si="5"/>
        <v>13</v>
      </c>
      <c r="AC11" s="113">
        <v>0.5</v>
      </c>
      <c r="AD11" s="117">
        <f t="shared" si="6"/>
        <v>5000</v>
      </c>
      <c r="AE11" s="117">
        <f t="shared" si="7"/>
        <v>500</v>
      </c>
      <c r="AF11" s="117">
        <f t="shared" si="8"/>
        <v>50</v>
      </c>
      <c r="AG11" s="117">
        <f t="shared" si="9"/>
        <v>5</v>
      </c>
      <c r="AH11" s="117">
        <f t="shared" si="10"/>
        <v>0.5</v>
      </c>
    </row>
    <row r="12" spans="2:34 16375:16375" ht="15.6" thickTop="1" thickBot="1" x14ac:dyDescent="0.35">
      <c r="B12" s="178" t="s">
        <v>39</v>
      </c>
      <c r="C12" s="90"/>
      <c r="D12" s="90"/>
      <c r="E12" s="176"/>
      <c r="G12" s="106" t="s">
        <v>116</v>
      </c>
      <c r="H12" s="2"/>
      <c r="I12" s="2"/>
      <c r="J12" s="108">
        <f>J5</f>
        <v>750</v>
      </c>
      <c r="M12" s="113">
        <v>0.1</v>
      </c>
      <c r="N12" s="115">
        <v>1000</v>
      </c>
      <c r="O12" s="115">
        <v>100</v>
      </c>
      <c r="P12" s="123"/>
      <c r="Q12" s="123">
        <v>1</v>
      </c>
      <c r="R12" s="123">
        <v>6</v>
      </c>
      <c r="S12" s="124">
        <f t="shared" si="5"/>
        <v>16</v>
      </c>
      <c r="AC12" s="113">
        <v>0.25</v>
      </c>
      <c r="AD12" s="117">
        <f t="shared" si="6"/>
        <v>2500</v>
      </c>
      <c r="AE12" s="117">
        <f t="shared" si="7"/>
        <v>250</v>
      </c>
      <c r="AF12" s="117">
        <f t="shared" si="8"/>
        <v>25</v>
      </c>
      <c r="AG12" s="117">
        <f t="shared" si="9"/>
        <v>2.5</v>
      </c>
      <c r="AH12" s="117">
        <f t="shared" si="10"/>
        <v>0.25</v>
      </c>
    </row>
    <row r="13" spans="2:34 16375:16375" ht="15.6" thickTop="1" thickBot="1" x14ac:dyDescent="0.35">
      <c r="B13" s="88" t="s">
        <v>101</v>
      </c>
      <c r="C13" s="2"/>
      <c r="D13" s="2"/>
      <c r="E13" s="320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29033.399999999983</v>
      </c>
      <c r="G13" s="86" t="s">
        <v>128</v>
      </c>
      <c r="H13" s="87"/>
      <c r="I13" s="87"/>
      <c r="J13" s="109">
        <f>J11-J12</f>
        <v>2283.7799999999997</v>
      </c>
      <c r="K13" s="104"/>
      <c r="M13" s="113">
        <v>0.05</v>
      </c>
      <c r="N13" s="115">
        <v>500</v>
      </c>
      <c r="O13" s="115">
        <v>50</v>
      </c>
      <c r="P13" s="123"/>
      <c r="Q13" s="123">
        <v>3</v>
      </c>
      <c r="R13" s="123">
        <v>4</v>
      </c>
      <c r="S13" s="124">
        <f t="shared" si="5"/>
        <v>34</v>
      </c>
      <c r="AC13" s="113">
        <v>0.1</v>
      </c>
      <c r="AD13" s="117">
        <f t="shared" si="6"/>
        <v>1000</v>
      </c>
      <c r="AE13" s="117">
        <f t="shared" si="7"/>
        <v>100</v>
      </c>
      <c r="AF13" s="117">
        <f t="shared" si="8"/>
        <v>10</v>
      </c>
      <c r="AG13" s="117">
        <f t="shared" si="9"/>
        <v>1</v>
      </c>
      <c r="AH13" s="117">
        <f t="shared" si="10"/>
        <v>0.1</v>
      </c>
    </row>
    <row r="14" spans="2:34 16375:16375" ht="15" thickTop="1" x14ac:dyDescent="0.3">
      <c r="B14" s="88" t="s">
        <v>104</v>
      </c>
      <c r="C14" s="2"/>
      <c r="D14" s="2"/>
      <c r="E14" s="98">
        <f>SUMIFS(PAGOS[PAGO DEL MONTO],PAGOS[REG],"&lt;&gt;EGRESO*",PAGOS[FECHA PAGO DEL MONTO],"&gt;="&amp;$E$2,PAGOS[FECHA PAGO DEL MONTO],"&lt;="&amp;$E$4)</f>
        <v>1463.67</v>
      </c>
      <c r="K14" s="104"/>
      <c r="M14" s="113">
        <v>0.01</v>
      </c>
      <c r="N14" s="115">
        <v>100</v>
      </c>
      <c r="O14" s="115">
        <v>10</v>
      </c>
      <c r="P14" s="123"/>
      <c r="Q14" s="123">
        <v>2</v>
      </c>
      <c r="R14" s="123">
        <v>3</v>
      </c>
      <c r="S14" s="124">
        <f t="shared" si="5"/>
        <v>23</v>
      </c>
      <c r="AC14" s="113">
        <v>0.05</v>
      </c>
      <c r="AD14" s="117">
        <f t="shared" si="6"/>
        <v>500</v>
      </c>
      <c r="AE14" s="117">
        <f t="shared" si="7"/>
        <v>50</v>
      </c>
      <c r="AF14" s="117">
        <f t="shared" si="8"/>
        <v>5</v>
      </c>
      <c r="AG14" s="117">
        <f t="shared" si="9"/>
        <v>0.5</v>
      </c>
      <c r="AH14" s="117">
        <f t="shared" si="10"/>
        <v>0.05</v>
      </c>
    </row>
    <row r="15" spans="2:34 16375:16375" ht="15" thickBot="1" x14ac:dyDescent="0.35">
      <c r="B15" s="102" t="s">
        <v>95</v>
      </c>
      <c r="C15" s="101"/>
      <c r="D15" s="92"/>
      <c r="E15" s="100">
        <f>E7-E13</f>
        <v>6146.6000000000167</v>
      </c>
      <c r="G15" s="126" t="s">
        <v>140</v>
      </c>
      <c r="H15" s="127">
        <f>K16+K21</f>
        <v>2230.7800000000002</v>
      </c>
      <c r="I15" s="128"/>
      <c r="J15" s="128"/>
      <c r="K15" s="125"/>
      <c r="R15" s="120"/>
      <c r="AC15" s="113">
        <v>0.01</v>
      </c>
      <c r="AD15" s="117">
        <f t="shared" si="6"/>
        <v>100</v>
      </c>
      <c r="AE15" s="117">
        <f t="shared" si="7"/>
        <v>10</v>
      </c>
      <c r="AF15" s="117">
        <f t="shared" si="8"/>
        <v>1</v>
      </c>
      <c r="AG15" s="117">
        <f t="shared" si="9"/>
        <v>0.1</v>
      </c>
      <c r="AH15" s="117">
        <f t="shared" si="10"/>
        <v>0.01</v>
      </c>
    </row>
    <row r="16" spans="2:34 16375:16375" ht="15" thickTop="1" x14ac:dyDescent="0.3">
      <c r="B16" s="88" t="s">
        <v>102</v>
      </c>
      <c r="C16" s="2"/>
      <c r="D16" s="2"/>
      <c r="E16" s="320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3077.5999999999995</v>
      </c>
      <c r="G16" s="112" t="s">
        <v>131</v>
      </c>
      <c r="H16" s="112"/>
      <c r="I16" s="112"/>
      <c r="J16" s="118"/>
      <c r="K16" s="113">
        <f>SUM(K17:K20)</f>
        <v>2205</v>
      </c>
      <c r="M16" s="120"/>
      <c r="P16" s="104"/>
    </row>
    <row r="17" spans="2:20" x14ac:dyDescent="0.3">
      <c r="B17" s="88" t="s">
        <v>106</v>
      </c>
      <c r="C17" s="2"/>
      <c r="D17" s="2"/>
      <c r="E17" s="98">
        <f>SUMIFS(PAGOS[PAGO DEL INTERES],PAGOS[REG],"&lt;&gt;EGRESO*",PAGOS[FECHA PAGO INTERES],"&gt;="&amp;$E$2,PAGOS[FECHA PAGO INTERES],"&lt;="&amp;$E$4)</f>
        <v>174.2</v>
      </c>
      <c r="G17" s="113">
        <v>20</v>
      </c>
      <c r="H17" s="115">
        <f t="shared" ref="H17:J20" si="11">AF5*P4</f>
        <v>0</v>
      </c>
      <c r="I17" s="115">
        <f t="shared" si="11"/>
        <v>1800</v>
      </c>
      <c r="J17" s="115">
        <f t="shared" si="11"/>
        <v>120</v>
      </c>
      <c r="K17" s="121">
        <f>SUM(H17:J17)</f>
        <v>1920</v>
      </c>
      <c r="M17" s="104"/>
      <c r="P17" s="266"/>
      <c r="R17" s="104"/>
    </row>
    <row r="18" spans="2:20" ht="15" thickBot="1" x14ac:dyDescent="0.35">
      <c r="B18" s="102" t="s">
        <v>98</v>
      </c>
      <c r="C18" s="92"/>
      <c r="D18" s="92"/>
      <c r="E18" s="100">
        <f>E10-E16</f>
        <v>1078.0000000000009</v>
      </c>
      <c r="G18" s="113">
        <v>10</v>
      </c>
      <c r="H18" s="115">
        <f t="shared" si="11"/>
        <v>0</v>
      </c>
      <c r="I18" s="115">
        <f t="shared" si="11"/>
        <v>200</v>
      </c>
      <c r="J18" s="115">
        <f t="shared" si="11"/>
        <v>70</v>
      </c>
      <c r="K18" s="121">
        <f>SUM(H18:J18)</f>
        <v>270</v>
      </c>
      <c r="M18" s="104"/>
      <c r="P18" s="120"/>
      <c r="R18" s="104"/>
      <c r="T18" s="104"/>
    </row>
    <row r="19" spans="2:20" ht="15.6" thickTop="1" thickBot="1" x14ac:dyDescent="0.35">
      <c r="B19" s="89" t="s">
        <v>228</v>
      </c>
      <c r="C19" s="179"/>
      <c r="D19" s="90"/>
      <c r="E19" s="318"/>
      <c r="G19" s="113">
        <v>5</v>
      </c>
      <c r="H19" s="115">
        <f t="shared" si="11"/>
        <v>0</v>
      </c>
      <c r="I19" s="115">
        <f t="shared" si="11"/>
        <v>0</v>
      </c>
      <c r="J19" s="115">
        <f t="shared" si="11"/>
        <v>15</v>
      </c>
      <c r="K19" s="121">
        <f>SUM(H19:J19)</f>
        <v>15</v>
      </c>
      <c r="M19" s="120"/>
      <c r="P19" s="104"/>
      <c r="Q19" s="104"/>
    </row>
    <row r="20" spans="2:20" ht="15" thickTop="1" x14ac:dyDescent="0.3">
      <c r="B20" s="88" t="s">
        <v>295</v>
      </c>
      <c r="C20" s="171"/>
      <c r="D20" s="2"/>
      <c r="E20" s="99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200.69999999999996</v>
      </c>
      <c r="G20" s="113">
        <v>1</v>
      </c>
      <c r="H20" s="115">
        <f t="shared" si="11"/>
        <v>0</v>
      </c>
      <c r="I20" s="115">
        <f t="shared" si="11"/>
        <v>0</v>
      </c>
      <c r="J20" s="115">
        <f t="shared" si="11"/>
        <v>0</v>
      </c>
      <c r="K20" s="121">
        <f>SUM(H20:J20)</f>
        <v>0</v>
      </c>
      <c r="P20" s="120"/>
      <c r="Q20" s="120"/>
      <c r="S20" s="232"/>
    </row>
    <row r="21" spans="2:20" x14ac:dyDescent="0.3">
      <c r="B21" s="88" t="s">
        <v>422</v>
      </c>
      <c r="C21" s="180"/>
      <c r="D21" s="181"/>
      <c r="E21" s="97">
        <f>SUMIFS(PAGOS[PAGO DEL MONTO],PAGOS[REG],"EGRESO*",PAGOS[CODIGO CLIENTE],2,PAGOS[FECHA PAGO DEL MONTO],"&gt;="&amp;$E$3,PAGOS[FECHA PAGO DEL MONTO],"&lt;="&amp;$E$4)+E8</f>
        <v>877.92000000000007</v>
      </c>
      <c r="G21" s="114" t="s">
        <v>132</v>
      </c>
      <c r="H21" s="116"/>
      <c r="I21" s="116"/>
      <c r="J21" s="119"/>
      <c r="K21" s="113">
        <f>SUM(K22:K27)</f>
        <v>25.78</v>
      </c>
      <c r="Q21" s="120"/>
    </row>
    <row r="22" spans="2:20" x14ac:dyDescent="0.3">
      <c r="B22" s="88" t="s">
        <v>248</v>
      </c>
      <c r="C22" s="180"/>
      <c r="D22" s="181"/>
      <c r="E22" s="97">
        <f>SUMIFS(PAGOS[PAGO DEL INTERES],PAGOS[REG],"EGRESO*",PAGOS[CODIGO CLIENTE],"&lt;&gt;2",PAGOS[FECHA PAGO INTERES],"&gt;="&amp;$E$3,PAGOS[FECHA PAGO INTERES],"&lt;="&amp;$E$4)</f>
        <v>210</v>
      </c>
      <c r="G22" s="113">
        <v>1</v>
      </c>
      <c r="H22" s="117">
        <f t="shared" ref="H22:J27" si="12">AF10*P9</f>
        <v>0</v>
      </c>
      <c r="I22" s="117">
        <f t="shared" si="12"/>
        <v>10</v>
      </c>
      <c r="J22" s="117">
        <f t="shared" si="12"/>
        <v>5</v>
      </c>
      <c r="K22" s="121">
        <f t="shared" ref="K22:K27" si="13">SUM(H22:J22)</f>
        <v>15</v>
      </c>
      <c r="M22" s="104"/>
      <c r="Q22" s="266"/>
      <c r="S22" s="120"/>
    </row>
    <row r="23" spans="2:20" x14ac:dyDescent="0.3">
      <c r="B23" s="88" t="s">
        <v>93</v>
      </c>
      <c r="C23" s="2"/>
      <c r="D23" s="2"/>
      <c r="E23" s="96">
        <f>E5</f>
        <v>6240</v>
      </c>
      <c r="G23" s="113">
        <v>0.5</v>
      </c>
      <c r="H23" s="117">
        <f t="shared" si="12"/>
        <v>0</v>
      </c>
      <c r="I23" s="117">
        <f t="shared" si="12"/>
        <v>0</v>
      </c>
      <c r="J23" s="117">
        <f t="shared" si="12"/>
        <v>4</v>
      </c>
      <c r="K23" s="121">
        <f t="shared" si="13"/>
        <v>4</v>
      </c>
      <c r="P23" s="321"/>
      <c r="Q23" s="104"/>
    </row>
    <row r="24" spans="2:20" x14ac:dyDescent="0.3">
      <c r="B24" s="88" t="s">
        <v>100</v>
      </c>
      <c r="C24" s="2"/>
      <c r="D24" s="2"/>
      <c r="E24" s="95">
        <f>E23/16</f>
        <v>390</v>
      </c>
      <c r="G24" s="113">
        <v>0.25</v>
      </c>
      <c r="H24" s="117">
        <f t="shared" si="12"/>
        <v>0</v>
      </c>
      <c r="I24" s="117">
        <f>AG12*Q11</f>
        <v>2.5</v>
      </c>
      <c r="J24" s="117">
        <f t="shared" si="12"/>
        <v>0.75</v>
      </c>
      <c r="K24" s="121">
        <f t="shared" si="13"/>
        <v>3.25</v>
      </c>
      <c r="P24" s="321"/>
      <c r="Q24" s="104"/>
    </row>
    <row r="25" spans="2:20" x14ac:dyDescent="0.3">
      <c r="B25" s="88" t="s">
        <v>358</v>
      </c>
      <c r="C25" s="2"/>
      <c r="D25" s="2"/>
      <c r="E25" s="96">
        <f>E10-E21-E22+E20</f>
        <v>3268.38</v>
      </c>
      <c r="G25" s="113">
        <v>0.1</v>
      </c>
      <c r="H25" s="117">
        <f t="shared" si="12"/>
        <v>0</v>
      </c>
      <c r="I25" s="117">
        <f t="shared" si="12"/>
        <v>1</v>
      </c>
      <c r="J25" s="117">
        <f t="shared" si="12"/>
        <v>0.60000000000000009</v>
      </c>
      <c r="K25" s="121">
        <f t="shared" si="13"/>
        <v>1.6</v>
      </c>
      <c r="M25" s="104"/>
      <c r="P25" s="321"/>
    </row>
    <row r="26" spans="2:20" ht="15" thickBot="1" x14ac:dyDescent="0.35">
      <c r="B26" s="88" t="s">
        <v>96</v>
      </c>
      <c r="C26" s="2"/>
      <c r="D26" s="182"/>
      <c r="E26" s="243">
        <f>SUMIFS(DENERO_CAJA[MONTO],DENERO_CAJA[FECHA],"&gt;="&amp;$E$2,DENERO_CAJA[FECHA],"&lt;="&amp;$E$4)</f>
        <v>2230.7800000000002</v>
      </c>
      <c r="G26" s="113">
        <v>0.05</v>
      </c>
      <c r="H26" s="117">
        <f t="shared" si="12"/>
        <v>0</v>
      </c>
      <c r="I26" s="117">
        <f t="shared" si="12"/>
        <v>1.5</v>
      </c>
      <c r="J26" s="117">
        <f t="shared" si="12"/>
        <v>0.2</v>
      </c>
      <c r="K26" s="121">
        <f t="shared" si="13"/>
        <v>1.7</v>
      </c>
      <c r="N26" s="204"/>
    </row>
    <row r="27" spans="2:20" ht="15.6" thickTop="1" thickBot="1" x14ac:dyDescent="0.35">
      <c r="B27" s="93" t="s">
        <v>94</v>
      </c>
      <c r="C27" s="94"/>
      <c r="D27" s="184"/>
      <c r="E27" s="185">
        <f>+E23+E25</f>
        <v>9508.380000000001</v>
      </c>
      <c r="G27" s="113">
        <v>0.01</v>
      </c>
      <c r="H27" s="117">
        <f t="shared" si="12"/>
        <v>0</v>
      </c>
      <c r="I27" s="117">
        <f t="shared" si="12"/>
        <v>0.2</v>
      </c>
      <c r="J27" s="117">
        <f t="shared" si="12"/>
        <v>0.03</v>
      </c>
      <c r="K27" s="121">
        <f t="shared" si="13"/>
        <v>0.23</v>
      </c>
      <c r="P27" s="104"/>
    </row>
    <row r="28" spans="2:20" ht="15.6" thickTop="1" thickBot="1" x14ac:dyDescent="0.35">
      <c r="B28" s="93" t="s">
        <v>99</v>
      </c>
      <c r="C28" s="94"/>
      <c r="D28" s="184"/>
      <c r="E28" s="196">
        <f>+E15+E18+E26</f>
        <v>9455.3800000000174</v>
      </c>
      <c r="G28" s="104"/>
      <c r="S28" s="120"/>
    </row>
    <row r="29" spans="2:20" ht="15" thickTop="1" x14ac:dyDescent="0.3">
      <c r="G29" s="201"/>
      <c r="H29" s="104"/>
      <c r="S29" s="120"/>
    </row>
    <row r="30" spans="2:20" x14ac:dyDescent="0.3">
      <c r="E30" s="245">
        <f>SUMIFS(DENERO_CAJA[MONTO],DENERO_CAJA[FECHA],"&gt;="&amp;$E$2,DENERO_CAJA[FECHA],"&lt;="&amp;$E$4)</f>
        <v>2230.7800000000002</v>
      </c>
      <c r="H30" s="201"/>
      <c r="S30" s="120"/>
    </row>
    <row r="31" spans="2:20" x14ac:dyDescent="0.3">
      <c r="C31" s="104">
        <f>+E27-E28</f>
        <v>52.999999999983629</v>
      </c>
      <c r="E31" s="104"/>
      <c r="H31" s="104"/>
      <c r="I31" s="104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68"/>
  <sheetViews>
    <sheetView zoomScaleNormal="100" workbookViewId="0">
      <pane ySplit="3" topLeftCell="A4" activePane="bottomLeft" state="frozen"/>
      <selection pane="bottomLeft" activeCell="A4" sqref="A4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396" t="s">
        <v>296</v>
      </c>
      <c r="C1" s="396"/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</row>
    <row r="2" spans="2:17" x14ac:dyDescent="0.3">
      <c r="B2" s="396"/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  <c r="Q2" s="24"/>
    </row>
    <row r="3" spans="2:17" ht="15" thickBot="1" x14ac:dyDescent="0.35">
      <c r="B3" s="396"/>
      <c r="C3" s="396"/>
      <c r="D3" s="396"/>
      <c r="E3" s="396"/>
      <c r="F3" s="396"/>
      <c r="G3" s="396"/>
      <c r="H3" s="396"/>
      <c r="I3" s="396"/>
      <c r="J3" s="396"/>
      <c r="K3" s="396"/>
      <c r="L3" s="396"/>
      <c r="M3" s="396"/>
      <c r="N3" s="396"/>
      <c r="O3" s="396"/>
      <c r="Q3" s="24"/>
    </row>
    <row r="4" spans="2:17" ht="15.6" thickTop="1" thickBot="1" x14ac:dyDescent="0.35">
      <c r="B4" s="390" t="s">
        <v>92</v>
      </c>
      <c r="C4" s="391"/>
      <c r="D4" s="244" t="s">
        <v>397</v>
      </c>
      <c r="E4" s="111">
        <v>44788</v>
      </c>
      <c r="G4" s="390" t="s">
        <v>92</v>
      </c>
      <c r="H4" s="391"/>
      <c r="I4" s="244" t="s">
        <v>397</v>
      </c>
      <c r="J4" s="111">
        <v>44819</v>
      </c>
      <c r="L4" s="390" t="s">
        <v>92</v>
      </c>
      <c r="M4" s="391"/>
      <c r="N4" s="244" t="s">
        <v>397</v>
      </c>
      <c r="O4" s="111">
        <v>44849</v>
      </c>
      <c r="Q4" s="24"/>
    </row>
    <row r="5" spans="2:17" ht="15.6" thickTop="1" thickBot="1" x14ac:dyDescent="0.35">
      <c r="B5" s="392"/>
      <c r="C5" s="393"/>
      <c r="D5" s="244" t="s">
        <v>398</v>
      </c>
      <c r="E5" s="111">
        <v>44788</v>
      </c>
      <c r="G5" s="392"/>
      <c r="H5" s="393"/>
      <c r="I5" s="244" t="s">
        <v>398</v>
      </c>
      <c r="J5" s="111">
        <v>44788</v>
      </c>
      <c r="L5" s="392"/>
      <c r="M5" s="393"/>
      <c r="N5" s="244" t="s">
        <v>398</v>
      </c>
      <c r="O5" s="111">
        <v>44788</v>
      </c>
    </row>
    <row r="6" spans="2:17" ht="15.6" thickTop="1" thickBot="1" x14ac:dyDescent="0.35">
      <c r="B6" s="394"/>
      <c r="C6" s="395"/>
      <c r="D6" s="244" t="s">
        <v>396</v>
      </c>
      <c r="E6" s="111">
        <v>44818</v>
      </c>
      <c r="G6" s="394"/>
      <c r="H6" s="395"/>
      <c r="I6" s="244" t="s">
        <v>396</v>
      </c>
      <c r="J6" s="111">
        <v>44848</v>
      </c>
      <c r="L6" s="394"/>
      <c r="M6" s="395"/>
      <c r="N6" s="244" t="s">
        <v>396</v>
      </c>
      <c r="O6" s="111">
        <v>44879</v>
      </c>
    </row>
    <row r="7" spans="2:17" ht="15.6" thickTop="1" thickBot="1" x14ac:dyDescent="0.35">
      <c r="B7" s="88" t="s">
        <v>91</v>
      </c>
      <c r="C7" s="2"/>
      <c r="D7" s="2"/>
      <c r="E7" s="170">
        <v>130</v>
      </c>
      <c r="G7" s="88" t="s">
        <v>91</v>
      </c>
      <c r="H7" s="2"/>
      <c r="I7" s="2"/>
      <c r="J7" s="170">
        <v>260</v>
      </c>
      <c r="L7" s="88" t="s">
        <v>91</v>
      </c>
      <c r="M7" s="2"/>
      <c r="N7" s="2"/>
      <c r="O7" s="170">
        <v>390</v>
      </c>
    </row>
    <row r="8" spans="2:17" ht="15.6" thickTop="1" thickBot="1" x14ac:dyDescent="0.35">
      <c r="B8" s="89" t="s">
        <v>169</v>
      </c>
      <c r="C8" s="90"/>
      <c r="D8" s="90"/>
      <c r="E8" s="176"/>
      <c r="G8" s="89" t="s">
        <v>169</v>
      </c>
      <c r="H8" s="90"/>
      <c r="I8" s="90"/>
      <c r="J8" s="176"/>
      <c r="L8" s="89" t="s">
        <v>169</v>
      </c>
      <c r="M8" s="90"/>
      <c r="N8" s="90"/>
      <c r="O8" s="176"/>
    </row>
    <row r="9" spans="2:17" ht="15" thickTop="1" x14ac:dyDescent="0.3">
      <c r="B9" s="174" t="s">
        <v>225</v>
      </c>
      <c r="C9" s="2"/>
      <c r="D9" s="2"/>
      <c r="E9" s="169">
        <v>0</v>
      </c>
      <c r="G9" s="174" t="s">
        <v>225</v>
      </c>
      <c r="H9" s="2"/>
      <c r="I9" s="2"/>
      <c r="J9" s="169">
        <v>160</v>
      </c>
      <c r="L9" s="174" t="s">
        <v>225</v>
      </c>
      <c r="M9" s="2"/>
      <c r="N9" s="2"/>
      <c r="O9" s="169">
        <v>360</v>
      </c>
    </row>
    <row r="10" spans="2:17" x14ac:dyDescent="0.3">
      <c r="B10" s="175" t="s">
        <v>226</v>
      </c>
      <c r="C10" s="2"/>
      <c r="D10" s="2"/>
      <c r="E10" s="97">
        <v>0</v>
      </c>
      <c r="G10" s="175" t="s">
        <v>226</v>
      </c>
      <c r="H10" s="2"/>
      <c r="I10" s="2"/>
      <c r="J10" s="97">
        <v>0</v>
      </c>
      <c r="L10" s="175" t="s">
        <v>226</v>
      </c>
      <c r="M10" s="2"/>
      <c r="N10" s="2"/>
      <c r="O10" s="97">
        <v>0</v>
      </c>
    </row>
    <row r="11" spans="2:17" x14ac:dyDescent="0.3">
      <c r="B11" s="88" t="s">
        <v>103</v>
      </c>
      <c r="C11" s="2"/>
      <c r="D11" s="2"/>
      <c r="E11" s="98">
        <v>0</v>
      </c>
      <c r="G11" s="88" t="s">
        <v>103</v>
      </c>
      <c r="H11" s="2"/>
      <c r="I11" s="2"/>
      <c r="J11" s="98">
        <v>160</v>
      </c>
      <c r="L11" s="88" t="s">
        <v>103</v>
      </c>
      <c r="M11" s="2"/>
      <c r="N11" s="2"/>
      <c r="O11" s="98">
        <v>200</v>
      </c>
    </row>
    <row r="12" spans="2:17" x14ac:dyDescent="0.3">
      <c r="B12" s="175" t="s">
        <v>227</v>
      </c>
      <c r="C12" s="2"/>
      <c r="D12" s="2"/>
      <c r="E12" s="177">
        <v>0</v>
      </c>
      <c r="G12" s="175" t="s">
        <v>227</v>
      </c>
      <c r="H12" s="2"/>
      <c r="I12" s="2"/>
      <c r="J12" s="177">
        <v>6.4</v>
      </c>
      <c r="L12" s="175" t="s">
        <v>227</v>
      </c>
      <c r="M12" s="2"/>
      <c r="N12" s="2"/>
      <c r="O12" s="177">
        <v>10.4</v>
      </c>
    </row>
    <row r="13" spans="2:17" ht="15" thickBot="1" x14ac:dyDescent="0.35">
      <c r="B13" s="88" t="s">
        <v>105</v>
      </c>
      <c r="C13" s="2"/>
      <c r="D13" s="2"/>
      <c r="E13" s="98">
        <v>0</v>
      </c>
      <c r="G13" s="88" t="s">
        <v>105</v>
      </c>
      <c r="H13" s="2"/>
      <c r="I13" s="2"/>
      <c r="J13" s="98">
        <v>6.4</v>
      </c>
      <c r="L13" s="88" t="s">
        <v>105</v>
      </c>
      <c r="M13" s="2"/>
      <c r="N13" s="2"/>
      <c r="O13" s="98">
        <v>4</v>
      </c>
    </row>
    <row r="14" spans="2:17" ht="15.6" thickTop="1" thickBot="1" x14ac:dyDescent="0.35">
      <c r="B14" s="178" t="s">
        <v>39</v>
      </c>
      <c r="C14" s="90"/>
      <c r="D14" s="90"/>
      <c r="E14" s="176"/>
      <c r="G14" s="178" t="s">
        <v>39</v>
      </c>
      <c r="H14" s="90"/>
      <c r="I14" s="90"/>
      <c r="J14" s="176"/>
      <c r="L14" s="178" t="s">
        <v>39</v>
      </c>
      <c r="M14" s="90"/>
      <c r="N14" s="90"/>
      <c r="O14" s="176"/>
    </row>
    <row r="15" spans="2:17" ht="15" thickTop="1" x14ac:dyDescent="0.3">
      <c r="B15" s="88" t="s">
        <v>101</v>
      </c>
      <c r="C15" s="2"/>
      <c r="D15" s="2"/>
      <c r="E15" s="97">
        <v>0</v>
      </c>
      <c r="G15" s="88" t="s">
        <v>101</v>
      </c>
      <c r="H15" s="2"/>
      <c r="I15" s="2"/>
      <c r="J15" s="97">
        <v>0</v>
      </c>
      <c r="L15" s="88" t="s">
        <v>101</v>
      </c>
      <c r="M15" s="2"/>
      <c r="N15" s="2"/>
      <c r="O15" s="97">
        <v>80</v>
      </c>
    </row>
    <row r="16" spans="2:17" x14ac:dyDescent="0.3">
      <c r="B16" s="88" t="s">
        <v>104</v>
      </c>
      <c r="C16" s="2"/>
      <c r="D16" s="2"/>
      <c r="E16" s="98">
        <v>0</v>
      </c>
      <c r="G16" s="88" t="s">
        <v>104</v>
      </c>
      <c r="H16" s="2"/>
      <c r="I16" s="2"/>
      <c r="J16" s="98">
        <v>0</v>
      </c>
      <c r="L16" s="88" t="s">
        <v>104</v>
      </c>
      <c r="M16" s="2"/>
      <c r="N16" s="2"/>
      <c r="O16" s="98">
        <v>80</v>
      </c>
    </row>
    <row r="17" spans="2:15" ht="15" thickBot="1" x14ac:dyDescent="0.35">
      <c r="B17" s="102" t="s">
        <v>95</v>
      </c>
      <c r="C17" s="101"/>
      <c r="D17" s="92"/>
      <c r="E17" s="100">
        <v>0</v>
      </c>
      <c r="G17" s="102" t="s">
        <v>95</v>
      </c>
      <c r="H17" s="101"/>
      <c r="I17" s="92"/>
      <c r="J17" s="100">
        <v>160</v>
      </c>
      <c r="L17" s="102" t="s">
        <v>95</v>
      </c>
      <c r="M17" s="101"/>
      <c r="N17" s="92"/>
      <c r="O17" s="100">
        <v>280</v>
      </c>
    </row>
    <row r="18" spans="2:15" ht="15" thickTop="1" x14ac:dyDescent="0.3">
      <c r="B18" s="88" t="s">
        <v>102</v>
      </c>
      <c r="C18" s="2"/>
      <c r="D18" s="2"/>
      <c r="E18" s="97">
        <v>0</v>
      </c>
      <c r="G18" s="88" t="s">
        <v>102</v>
      </c>
      <c r="H18" s="2"/>
      <c r="I18" s="2"/>
      <c r="J18" s="97">
        <v>0</v>
      </c>
      <c r="L18" s="88" t="s">
        <v>102</v>
      </c>
      <c r="M18" s="2"/>
      <c r="N18" s="2"/>
      <c r="O18" s="97">
        <v>3.2</v>
      </c>
    </row>
    <row r="19" spans="2:15" x14ac:dyDescent="0.3">
      <c r="B19" s="88" t="s">
        <v>106</v>
      </c>
      <c r="C19" s="2"/>
      <c r="D19" s="2"/>
      <c r="E19" s="98">
        <v>0</v>
      </c>
      <c r="G19" s="88" t="s">
        <v>106</v>
      </c>
      <c r="H19" s="2"/>
      <c r="I19" s="2"/>
      <c r="J19" s="98">
        <v>0</v>
      </c>
      <c r="L19" s="88" t="s">
        <v>106</v>
      </c>
      <c r="M19" s="2"/>
      <c r="N19" s="2"/>
      <c r="O19" s="98">
        <v>3.2</v>
      </c>
    </row>
    <row r="20" spans="2:15" ht="15" thickBot="1" x14ac:dyDescent="0.35">
      <c r="B20" s="102" t="s">
        <v>98</v>
      </c>
      <c r="C20" s="92"/>
      <c r="D20" s="92"/>
      <c r="E20" s="100">
        <v>0</v>
      </c>
      <c r="G20" s="102" t="s">
        <v>98</v>
      </c>
      <c r="H20" s="92"/>
      <c r="I20" s="92"/>
      <c r="J20" s="100">
        <v>6.4</v>
      </c>
      <c r="L20" s="102" t="s">
        <v>98</v>
      </c>
      <c r="M20" s="92"/>
      <c r="N20" s="92"/>
      <c r="O20" s="100">
        <v>7.2</v>
      </c>
    </row>
    <row r="21" spans="2:15" ht="15.6" thickTop="1" thickBot="1" x14ac:dyDescent="0.35">
      <c r="B21" s="89" t="s">
        <v>228</v>
      </c>
      <c r="C21" s="179"/>
      <c r="D21" s="90"/>
      <c r="E21" s="183"/>
      <c r="G21" s="89" t="s">
        <v>228</v>
      </c>
      <c r="H21" s="179"/>
      <c r="I21" s="90"/>
      <c r="J21" s="183"/>
      <c r="L21" s="89" t="s">
        <v>228</v>
      </c>
      <c r="M21" s="179"/>
      <c r="N21" s="90"/>
      <c r="O21" s="183"/>
    </row>
    <row r="22" spans="2:15" ht="15" thickTop="1" x14ac:dyDescent="0.3">
      <c r="B22" s="88" t="s">
        <v>295</v>
      </c>
      <c r="C22" s="171"/>
      <c r="D22" s="2"/>
      <c r="E22" s="99">
        <v>0</v>
      </c>
      <c r="G22" s="88" t="s">
        <v>295</v>
      </c>
      <c r="H22" s="171"/>
      <c r="I22" s="2"/>
      <c r="J22" s="99">
        <v>0</v>
      </c>
      <c r="L22" s="88" t="s">
        <v>295</v>
      </c>
      <c r="M22" s="171"/>
      <c r="N22" s="2"/>
      <c r="O22" s="99">
        <v>0</v>
      </c>
    </row>
    <row r="23" spans="2:15" x14ac:dyDescent="0.3">
      <c r="B23" s="88" t="s">
        <v>357</v>
      </c>
      <c r="C23" s="180"/>
      <c r="D23" s="181"/>
      <c r="E23" s="97">
        <v>0</v>
      </c>
      <c r="G23" s="88" t="s">
        <v>357</v>
      </c>
      <c r="H23" s="180"/>
      <c r="I23" s="181"/>
      <c r="J23" s="97">
        <v>0</v>
      </c>
      <c r="L23" s="88" t="s">
        <v>357</v>
      </c>
      <c r="M23" s="180"/>
      <c r="N23" s="181"/>
      <c r="O23" s="97">
        <v>0</v>
      </c>
    </row>
    <row r="24" spans="2:15" x14ac:dyDescent="0.3">
      <c r="B24" s="88" t="s">
        <v>248</v>
      </c>
      <c r="C24" s="180"/>
      <c r="D24" s="181"/>
      <c r="E24" s="97">
        <v>0</v>
      </c>
      <c r="G24" s="88" t="s">
        <v>248</v>
      </c>
      <c r="H24" s="180"/>
      <c r="I24" s="181"/>
      <c r="J24" s="97">
        <v>0</v>
      </c>
      <c r="L24" s="88" t="s">
        <v>248</v>
      </c>
      <c r="M24" s="180"/>
      <c r="N24" s="181"/>
      <c r="O24" s="97">
        <v>0</v>
      </c>
    </row>
    <row r="25" spans="2:15" x14ac:dyDescent="0.3">
      <c r="B25" s="88" t="s">
        <v>93</v>
      </c>
      <c r="C25" s="2"/>
      <c r="D25" s="2"/>
      <c r="E25" s="96">
        <v>130</v>
      </c>
      <c r="G25" s="88" t="s">
        <v>93</v>
      </c>
      <c r="H25" s="2"/>
      <c r="I25" s="2"/>
      <c r="J25" s="96">
        <v>260</v>
      </c>
      <c r="L25" s="88" t="s">
        <v>93</v>
      </c>
      <c r="M25" s="2"/>
      <c r="N25" s="2"/>
      <c r="O25" s="96">
        <v>390</v>
      </c>
    </row>
    <row r="26" spans="2:15" x14ac:dyDescent="0.3">
      <c r="B26" s="88" t="s">
        <v>100</v>
      </c>
      <c r="C26" s="2"/>
      <c r="D26" s="2"/>
      <c r="E26" s="95">
        <v>10</v>
      </c>
      <c r="G26" s="88" t="s">
        <v>100</v>
      </c>
      <c r="H26" s="2"/>
      <c r="I26" s="2"/>
      <c r="J26" s="95">
        <v>20</v>
      </c>
      <c r="L26" s="88" t="s">
        <v>100</v>
      </c>
      <c r="M26" s="2"/>
      <c r="N26" s="2"/>
      <c r="O26" s="95">
        <v>30</v>
      </c>
    </row>
    <row r="27" spans="2:15" x14ac:dyDescent="0.3">
      <c r="B27" s="88" t="s">
        <v>358</v>
      </c>
      <c r="C27" s="2"/>
      <c r="D27" s="2"/>
      <c r="E27" s="96">
        <v>0</v>
      </c>
      <c r="G27" s="88" t="s">
        <v>358</v>
      </c>
      <c r="H27" s="2"/>
      <c r="I27" s="2"/>
      <c r="J27" s="96">
        <v>6.4</v>
      </c>
      <c r="L27" s="88" t="s">
        <v>358</v>
      </c>
      <c r="M27" s="2"/>
      <c r="N27" s="2"/>
      <c r="O27" s="96">
        <v>10.4</v>
      </c>
    </row>
    <row r="28" spans="2:15" ht="15" thickBot="1" x14ac:dyDescent="0.35">
      <c r="B28" s="88" t="s">
        <v>96</v>
      </c>
      <c r="C28" s="2"/>
      <c r="D28" s="182"/>
      <c r="E28" s="243">
        <v>130</v>
      </c>
      <c r="G28" s="88" t="s">
        <v>96</v>
      </c>
      <c r="H28" s="2"/>
      <c r="I28" s="182"/>
      <c r="J28" s="243">
        <v>100</v>
      </c>
      <c r="L28" s="88" t="s">
        <v>96</v>
      </c>
      <c r="M28" s="2"/>
      <c r="N28" s="182"/>
      <c r="O28" s="243">
        <v>113.2</v>
      </c>
    </row>
    <row r="29" spans="2:15" ht="15.6" thickTop="1" thickBot="1" x14ac:dyDescent="0.35">
      <c r="B29" s="93" t="s">
        <v>94</v>
      </c>
      <c r="C29" s="94"/>
      <c r="D29" s="184"/>
      <c r="E29" s="185">
        <v>130</v>
      </c>
      <c r="G29" s="93" t="s">
        <v>94</v>
      </c>
      <c r="H29" s="94"/>
      <c r="I29" s="184"/>
      <c r="J29" s="185">
        <v>266.39999999999998</v>
      </c>
      <c r="L29" s="93" t="s">
        <v>94</v>
      </c>
      <c r="M29" s="94"/>
      <c r="N29" s="184"/>
      <c r="O29" s="185">
        <v>400.4</v>
      </c>
    </row>
    <row r="30" spans="2:15" ht="15.6" thickTop="1" thickBot="1" x14ac:dyDescent="0.35">
      <c r="B30" s="93" t="s">
        <v>99</v>
      </c>
      <c r="C30" s="94"/>
      <c r="D30" s="184"/>
      <c r="E30" s="196">
        <v>130</v>
      </c>
      <c r="G30" s="93" t="s">
        <v>99</v>
      </c>
      <c r="H30" s="94"/>
      <c r="I30" s="184"/>
      <c r="J30" s="196">
        <v>266.39999999999998</v>
      </c>
      <c r="L30" s="93" t="s">
        <v>99</v>
      </c>
      <c r="M30" s="94"/>
      <c r="N30" s="184"/>
      <c r="O30" s="196">
        <v>400.4</v>
      </c>
    </row>
    <row r="31" spans="2:15" ht="15.6" thickTop="1" thickBot="1" x14ac:dyDescent="0.35">
      <c r="B31" s="2"/>
      <c r="C31" s="2"/>
      <c r="D31" s="2"/>
      <c r="E31" s="268"/>
      <c r="J31" s="268"/>
      <c r="O31" s="268"/>
    </row>
    <row r="32" spans="2:15" ht="15.6" thickTop="1" thickBot="1" x14ac:dyDescent="0.35">
      <c r="B32" s="390" t="s">
        <v>92</v>
      </c>
      <c r="C32" s="391"/>
      <c r="D32" s="244" t="s">
        <v>397</v>
      </c>
      <c r="E32" s="111">
        <v>44880</v>
      </c>
      <c r="G32" s="390" t="s">
        <v>92</v>
      </c>
      <c r="H32" s="391"/>
      <c r="I32" s="244" t="s">
        <v>397</v>
      </c>
      <c r="J32" s="111">
        <v>44910</v>
      </c>
      <c r="L32" s="390" t="s">
        <v>92</v>
      </c>
      <c r="M32" s="391"/>
      <c r="N32" s="244" t="s">
        <v>397</v>
      </c>
      <c r="O32" s="111">
        <v>44941</v>
      </c>
    </row>
    <row r="33" spans="2:15" ht="15.6" thickTop="1" thickBot="1" x14ac:dyDescent="0.35">
      <c r="B33" s="392"/>
      <c r="C33" s="393"/>
      <c r="D33" s="244" t="s">
        <v>398</v>
      </c>
      <c r="E33" s="111">
        <v>44788</v>
      </c>
      <c r="G33" s="392"/>
      <c r="H33" s="393"/>
      <c r="I33" s="244" t="s">
        <v>398</v>
      </c>
      <c r="J33" s="111">
        <v>44788</v>
      </c>
      <c r="L33" s="392"/>
      <c r="M33" s="393"/>
      <c r="N33" s="244" t="s">
        <v>398</v>
      </c>
      <c r="O33" s="111">
        <v>44788</v>
      </c>
    </row>
    <row r="34" spans="2:15" ht="15.6" thickTop="1" thickBot="1" x14ac:dyDescent="0.35">
      <c r="B34" s="394"/>
      <c r="C34" s="395"/>
      <c r="D34" s="244" t="s">
        <v>396</v>
      </c>
      <c r="E34" s="111">
        <v>44909</v>
      </c>
      <c r="G34" s="394"/>
      <c r="H34" s="395"/>
      <c r="I34" s="244" t="s">
        <v>396</v>
      </c>
      <c r="J34" s="111">
        <v>44940</v>
      </c>
      <c r="L34" s="394"/>
      <c r="M34" s="395"/>
      <c r="N34" s="244" t="s">
        <v>396</v>
      </c>
      <c r="O34" s="111">
        <v>44971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1430</v>
      </c>
    </row>
    <row r="38" spans="2:15" x14ac:dyDescent="0.3">
      <c r="B38" s="175" t="s">
        <v>226</v>
      </c>
      <c r="C38" s="2"/>
      <c r="D38" s="2"/>
      <c r="E38" s="97">
        <v>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470</v>
      </c>
      <c r="L39" s="88" t="s">
        <v>103</v>
      </c>
      <c r="M39" s="2"/>
      <c r="N39" s="2"/>
      <c r="O39" s="98">
        <v>300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75.400000000000006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20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660</v>
      </c>
      <c r="L43" s="88" t="s">
        <v>101</v>
      </c>
      <c r="M43" s="2"/>
      <c r="N43" s="2"/>
      <c r="O43" s="97">
        <v>844</v>
      </c>
    </row>
    <row r="44" spans="2:15" x14ac:dyDescent="0.3">
      <c r="B44" s="88" t="s">
        <v>104</v>
      </c>
      <c r="C44" s="2"/>
      <c r="D44" s="2"/>
      <c r="E44" s="98">
        <v>280</v>
      </c>
      <c r="G44" s="88" t="s">
        <v>104</v>
      </c>
      <c r="H44" s="2"/>
      <c r="I44" s="2"/>
      <c r="J44" s="98">
        <v>300</v>
      </c>
      <c r="L44" s="88" t="s">
        <v>104</v>
      </c>
      <c r="M44" s="2"/>
      <c r="N44" s="2"/>
      <c r="O44" s="98">
        <v>184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470</v>
      </c>
      <c r="L45" s="102" t="s">
        <v>95</v>
      </c>
      <c r="M45" s="101"/>
      <c r="N45" s="92"/>
      <c r="O45" s="100">
        <v>586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18.399999999999999</v>
      </c>
      <c r="L46" s="88" t="s">
        <v>102</v>
      </c>
      <c r="M46" s="2"/>
      <c r="N46" s="2"/>
      <c r="O46" s="97">
        <v>29.799999999999997</v>
      </c>
    </row>
    <row r="47" spans="2:15" x14ac:dyDescent="0.3">
      <c r="B47" s="88" t="s">
        <v>106</v>
      </c>
      <c r="C47" s="2"/>
      <c r="D47" s="2"/>
      <c r="E47" s="98">
        <v>7.2</v>
      </c>
      <c r="G47" s="88" t="s">
        <v>106</v>
      </c>
      <c r="H47" s="2"/>
      <c r="I47" s="2"/>
      <c r="J47" s="98">
        <v>18</v>
      </c>
      <c r="L47" s="88" t="s">
        <v>106</v>
      </c>
      <c r="M47" s="2"/>
      <c r="N47" s="2"/>
      <c r="O47" s="98">
        <v>11.4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37</v>
      </c>
      <c r="L48" s="102" t="s">
        <v>98</v>
      </c>
      <c r="M48" s="92"/>
      <c r="N48" s="92"/>
      <c r="O48" s="100">
        <v>45.600000000000009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295</v>
      </c>
      <c r="C50" s="171"/>
      <c r="D50" s="2"/>
      <c r="E50" s="99">
        <v>0</v>
      </c>
      <c r="G50" s="88" t="s">
        <v>295</v>
      </c>
      <c r="H50" s="171"/>
      <c r="I50" s="2"/>
      <c r="J50" s="99">
        <v>10</v>
      </c>
      <c r="L50" s="88" t="s">
        <v>295</v>
      </c>
      <c r="M50" s="171"/>
      <c r="N50" s="2"/>
      <c r="O50" s="99">
        <v>10</v>
      </c>
    </row>
    <row r="51" spans="2:15" x14ac:dyDescent="0.3">
      <c r="B51" s="88" t="s">
        <v>357</v>
      </c>
      <c r="C51" s="180"/>
      <c r="D51" s="181"/>
      <c r="E51" s="97">
        <v>0</v>
      </c>
      <c r="G51" s="88" t="s">
        <v>357</v>
      </c>
      <c r="H51" s="180"/>
      <c r="I51" s="181"/>
      <c r="J51" s="97">
        <v>100</v>
      </c>
      <c r="L51" s="88" t="s">
        <v>357</v>
      </c>
      <c r="M51" s="180"/>
      <c r="N51" s="181"/>
      <c r="O51" s="97">
        <v>100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520</v>
      </c>
      <c r="G53" s="88" t="s">
        <v>93</v>
      </c>
      <c r="H53" s="2"/>
      <c r="I53" s="2"/>
      <c r="J53" s="96">
        <v>650</v>
      </c>
      <c r="L53" s="88" t="s">
        <v>93</v>
      </c>
      <c r="M53" s="2"/>
      <c r="N53" s="2"/>
      <c r="O53" s="96">
        <v>780</v>
      </c>
    </row>
    <row r="54" spans="2:15" x14ac:dyDescent="0.3">
      <c r="B54" s="88" t="s">
        <v>100</v>
      </c>
      <c r="C54" s="2"/>
      <c r="D54" s="2"/>
      <c r="E54" s="95">
        <v>40</v>
      </c>
      <c r="G54" s="88" t="s">
        <v>100</v>
      </c>
      <c r="H54" s="2"/>
      <c r="I54" s="2"/>
      <c r="J54" s="95">
        <v>50</v>
      </c>
      <c r="L54" s="88" t="s">
        <v>100</v>
      </c>
      <c r="M54" s="2"/>
      <c r="N54" s="2"/>
      <c r="O54" s="95">
        <v>60</v>
      </c>
    </row>
    <row r="55" spans="2:15" x14ac:dyDescent="0.3">
      <c r="B55" s="88" t="s">
        <v>358</v>
      </c>
      <c r="C55" s="2"/>
      <c r="D55" s="2"/>
      <c r="E55" s="96">
        <v>22.4</v>
      </c>
      <c r="G55" s="88" t="s">
        <v>358</v>
      </c>
      <c r="H55" s="2"/>
      <c r="I55" s="2"/>
      <c r="J55" s="96">
        <v>-34.6</v>
      </c>
      <c r="L55" s="88" t="s">
        <v>358</v>
      </c>
      <c r="M55" s="2"/>
      <c r="N55" s="2"/>
      <c r="O55" s="96">
        <v>-14.599999999999994</v>
      </c>
    </row>
    <row r="56" spans="2:15" ht="15" thickBot="1" x14ac:dyDescent="0.35">
      <c r="B56" s="88" t="s">
        <v>96</v>
      </c>
      <c r="C56" s="2"/>
      <c r="D56" s="182"/>
      <c r="E56" s="243">
        <v>130.4</v>
      </c>
      <c r="G56" s="88" t="s">
        <v>96</v>
      </c>
      <c r="H56" s="2"/>
      <c r="I56" s="182"/>
      <c r="J56" s="243">
        <v>108.4</v>
      </c>
      <c r="L56" s="88" t="s">
        <v>96</v>
      </c>
      <c r="M56" s="2"/>
      <c r="N56" s="182"/>
      <c r="O56" s="243">
        <v>133.80000000000001</v>
      </c>
    </row>
    <row r="57" spans="2:15" ht="15.6" thickTop="1" thickBot="1" x14ac:dyDescent="0.35">
      <c r="B57" s="93" t="s">
        <v>94</v>
      </c>
      <c r="C57" s="94"/>
      <c r="D57" s="184"/>
      <c r="E57" s="185">
        <v>542.4</v>
      </c>
      <c r="G57" s="93" t="s">
        <v>94</v>
      </c>
      <c r="H57" s="94"/>
      <c r="I57" s="184"/>
      <c r="J57" s="185">
        <v>615.4</v>
      </c>
      <c r="L57" s="93" t="s">
        <v>94</v>
      </c>
      <c r="M57" s="94"/>
      <c r="N57" s="184"/>
      <c r="O57" s="185">
        <v>765.4</v>
      </c>
    </row>
    <row r="58" spans="2:15" ht="15.6" thickTop="1" thickBot="1" x14ac:dyDescent="0.35">
      <c r="B58" s="93" t="s">
        <v>99</v>
      </c>
      <c r="C58" s="94"/>
      <c r="D58" s="184"/>
      <c r="E58" s="196">
        <v>542.4</v>
      </c>
      <c r="G58" s="93" t="s">
        <v>99</v>
      </c>
      <c r="H58" s="94"/>
      <c r="I58" s="184"/>
      <c r="J58" s="196">
        <v>615.4</v>
      </c>
      <c r="L58" s="93" t="s">
        <v>99</v>
      </c>
      <c r="M58" s="94"/>
      <c r="N58" s="184"/>
      <c r="O58" s="196">
        <v>765.40000000000009</v>
      </c>
    </row>
    <row r="59" spans="2:15" ht="15.6" thickTop="1" thickBot="1" x14ac:dyDescent="0.35">
      <c r="B59" s="2"/>
      <c r="C59" s="2"/>
      <c r="E59" s="268"/>
      <c r="J59" s="268"/>
      <c r="O59" s="268"/>
    </row>
    <row r="60" spans="2:15" ht="15.6" thickTop="1" thickBot="1" x14ac:dyDescent="0.35">
      <c r="B60" s="390" t="s">
        <v>92</v>
      </c>
      <c r="C60" s="391"/>
      <c r="D60" s="244" t="s">
        <v>397</v>
      </c>
      <c r="E60" s="111">
        <v>44972</v>
      </c>
      <c r="G60" s="390" t="s">
        <v>92</v>
      </c>
      <c r="H60" s="391"/>
      <c r="I60" s="244" t="s">
        <v>397</v>
      </c>
      <c r="J60" s="111">
        <v>45000</v>
      </c>
      <c r="L60" s="390" t="s">
        <v>92</v>
      </c>
      <c r="M60" s="391"/>
      <c r="N60" s="244" t="s">
        <v>397</v>
      </c>
      <c r="O60" s="111">
        <v>45031</v>
      </c>
    </row>
    <row r="61" spans="2:15" ht="15.6" thickTop="1" thickBot="1" x14ac:dyDescent="0.35">
      <c r="B61" s="392"/>
      <c r="C61" s="393"/>
      <c r="D61" s="244" t="s">
        <v>398</v>
      </c>
      <c r="E61" s="111">
        <v>44788</v>
      </c>
      <c r="G61" s="392"/>
      <c r="H61" s="393"/>
      <c r="I61" s="244" t="s">
        <v>398</v>
      </c>
      <c r="J61" s="111">
        <v>44788</v>
      </c>
      <c r="L61" s="392"/>
      <c r="M61" s="393"/>
      <c r="N61" s="244" t="s">
        <v>398</v>
      </c>
      <c r="O61" s="111">
        <v>44788</v>
      </c>
    </row>
    <row r="62" spans="2:15" ht="15.6" thickTop="1" thickBot="1" x14ac:dyDescent="0.35">
      <c r="B62" s="394"/>
      <c r="C62" s="395"/>
      <c r="D62" s="244" t="s">
        <v>396</v>
      </c>
      <c r="E62" s="111">
        <v>44999</v>
      </c>
      <c r="G62" s="394"/>
      <c r="H62" s="395"/>
      <c r="I62" s="244" t="s">
        <v>396</v>
      </c>
      <c r="J62" s="111">
        <v>45030</v>
      </c>
      <c r="L62" s="394"/>
      <c r="M62" s="395"/>
      <c r="N62" s="244" t="s">
        <v>396</v>
      </c>
      <c r="O62" s="111">
        <v>45060</v>
      </c>
    </row>
    <row r="63" spans="2:15" ht="15.6" thickTop="1" thickBot="1" x14ac:dyDescent="0.35">
      <c r="B63" s="88" t="s">
        <v>91</v>
      </c>
      <c r="C63" s="2"/>
      <c r="D63" s="2"/>
      <c r="E63" s="170">
        <v>910</v>
      </c>
      <c r="G63" s="88" t="s">
        <v>91</v>
      </c>
      <c r="H63" s="2"/>
      <c r="I63" s="2"/>
      <c r="J63" s="170">
        <v>1040</v>
      </c>
      <c r="L63" s="88" t="s">
        <v>91</v>
      </c>
      <c r="M63" s="2"/>
      <c r="N63" s="2"/>
      <c r="O63" s="170">
        <v>1170</v>
      </c>
    </row>
    <row r="64" spans="2:15" ht="15.6" thickTop="1" thickBot="1" x14ac:dyDescent="0.35">
      <c r="B64" s="89" t="s">
        <v>169</v>
      </c>
      <c r="C64" s="90"/>
      <c r="D64" s="90"/>
      <c r="E64" s="176"/>
      <c r="G64" s="89" t="s">
        <v>169</v>
      </c>
      <c r="H64" s="90"/>
      <c r="I64" s="90"/>
      <c r="J64" s="176"/>
      <c r="L64" s="89" t="s">
        <v>169</v>
      </c>
      <c r="M64" s="90"/>
      <c r="N64" s="90"/>
      <c r="O64" s="176"/>
    </row>
    <row r="65" spans="2:15" ht="15" thickTop="1" x14ac:dyDescent="0.3">
      <c r="B65" s="174" t="s">
        <v>225</v>
      </c>
      <c r="C65" s="2"/>
      <c r="D65" s="2"/>
      <c r="E65" s="169">
        <v>1830</v>
      </c>
      <c r="G65" s="174" t="s">
        <v>225</v>
      </c>
      <c r="H65" s="2"/>
      <c r="I65" s="2"/>
      <c r="J65" s="169">
        <v>2310</v>
      </c>
      <c r="L65" s="174" t="s">
        <v>225</v>
      </c>
      <c r="M65" s="2"/>
      <c r="N65" s="2"/>
      <c r="O65" s="169">
        <v>2610</v>
      </c>
    </row>
    <row r="66" spans="2:15" x14ac:dyDescent="0.3">
      <c r="B66" s="175" t="s">
        <v>226</v>
      </c>
      <c r="C66" s="2"/>
      <c r="D66" s="2"/>
      <c r="E66" s="97">
        <v>100</v>
      </c>
      <c r="G66" s="175" t="s">
        <v>226</v>
      </c>
      <c r="H66" s="2"/>
      <c r="I66" s="2"/>
      <c r="J66" s="97">
        <v>100</v>
      </c>
      <c r="L66" s="175" t="s">
        <v>226</v>
      </c>
      <c r="M66" s="2"/>
      <c r="N66" s="2"/>
      <c r="O66" s="97">
        <v>100</v>
      </c>
    </row>
    <row r="67" spans="2:15" x14ac:dyDescent="0.3">
      <c r="B67" s="88" t="s">
        <v>103</v>
      </c>
      <c r="C67" s="2"/>
      <c r="D67" s="2"/>
      <c r="E67" s="98">
        <v>400</v>
      </c>
      <c r="G67" s="88" t="s">
        <v>103</v>
      </c>
      <c r="H67" s="2"/>
      <c r="I67" s="2"/>
      <c r="J67" s="98">
        <v>480</v>
      </c>
      <c r="L67" s="88" t="s">
        <v>103</v>
      </c>
      <c r="M67" s="2"/>
      <c r="N67" s="2"/>
      <c r="O67" s="98">
        <v>300</v>
      </c>
    </row>
    <row r="68" spans="2:15" x14ac:dyDescent="0.3">
      <c r="B68" s="175" t="s">
        <v>227</v>
      </c>
      <c r="C68" s="2"/>
      <c r="D68" s="2"/>
      <c r="E68" s="177">
        <v>101.4</v>
      </c>
      <c r="G68" s="175" t="s">
        <v>227</v>
      </c>
      <c r="H68" s="2"/>
      <c r="I68" s="2"/>
      <c r="J68" s="177">
        <v>135</v>
      </c>
      <c r="L68" s="175" t="s">
        <v>227</v>
      </c>
      <c r="M68" s="2"/>
      <c r="N68" s="2"/>
      <c r="O68" s="177">
        <v>159</v>
      </c>
    </row>
    <row r="69" spans="2:15" ht="15" thickBot="1" x14ac:dyDescent="0.35">
      <c r="B69" s="88" t="s">
        <v>105</v>
      </c>
      <c r="C69" s="2"/>
      <c r="D69" s="2"/>
      <c r="E69" s="98">
        <v>26</v>
      </c>
      <c r="G69" s="88" t="s">
        <v>105</v>
      </c>
      <c r="H69" s="2"/>
      <c r="I69" s="2"/>
      <c r="J69" s="98">
        <v>33.6</v>
      </c>
      <c r="L69" s="88" t="s">
        <v>105</v>
      </c>
      <c r="M69" s="2"/>
      <c r="N69" s="2"/>
      <c r="O69" s="98">
        <v>24</v>
      </c>
    </row>
    <row r="70" spans="2:15" ht="15.6" thickTop="1" thickBot="1" x14ac:dyDescent="0.35">
      <c r="B70" s="178" t="s">
        <v>39</v>
      </c>
      <c r="C70" s="90"/>
      <c r="D70" s="90"/>
      <c r="E70" s="176"/>
      <c r="G70" s="178" t="s">
        <v>39</v>
      </c>
      <c r="H70" s="90"/>
      <c r="I70" s="90"/>
      <c r="J70" s="176"/>
      <c r="L70" s="178" t="s">
        <v>39</v>
      </c>
      <c r="M70" s="90"/>
      <c r="N70" s="90"/>
      <c r="O70" s="176"/>
    </row>
    <row r="71" spans="2:15" ht="15" thickTop="1" x14ac:dyDescent="0.3">
      <c r="B71" s="88" t="s">
        <v>101</v>
      </c>
      <c r="C71" s="2"/>
      <c r="D71" s="2"/>
      <c r="E71" s="97">
        <v>1019.67</v>
      </c>
      <c r="G71" s="88" t="s">
        <v>101</v>
      </c>
      <c r="H71" s="2"/>
      <c r="I71" s="2"/>
      <c r="J71" s="97">
        <v>1320.3400000000001</v>
      </c>
      <c r="L71" s="88" t="s">
        <v>101</v>
      </c>
      <c r="M71" s="2"/>
      <c r="N71" s="2"/>
      <c r="O71" s="97">
        <v>1801.0000000000002</v>
      </c>
    </row>
    <row r="72" spans="2:15" x14ac:dyDescent="0.3">
      <c r="B72" s="88" t="s">
        <v>104</v>
      </c>
      <c r="C72" s="2"/>
      <c r="D72" s="2"/>
      <c r="E72" s="98">
        <v>175.67000000000002</v>
      </c>
      <c r="G72" s="88" t="s">
        <v>104</v>
      </c>
      <c r="H72" s="2"/>
      <c r="I72" s="2"/>
      <c r="J72" s="98">
        <v>300.67</v>
      </c>
      <c r="L72" s="88" t="s">
        <v>104</v>
      </c>
      <c r="M72" s="2"/>
      <c r="N72" s="2"/>
      <c r="O72" s="98">
        <v>480.65999999999997</v>
      </c>
    </row>
    <row r="73" spans="2:15" ht="15" thickBot="1" x14ac:dyDescent="0.35">
      <c r="B73" s="102" t="s">
        <v>95</v>
      </c>
      <c r="C73" s="101"/>
      <c r="D73" s="92"/>
      <c r="E73" s="100">
        <v>810.33</v>
      </c>
      <c r="G73" s="102" t="s">
        <v>95</v>
      </c>
      <c r="H73" s="101"/>
      <c r="I73" s="92"/>
      <c r="J73" s="100">
        <v>989.65999999999985</v>
      </c>
      <c r="L73" s="102" t="s">
        <v>95</v>
      </c>
      <c r="M73" s="101"/>
      <c r="N73" s="92"/>
      <c r="O73" s="100">
        <v>808.99999999999977</v>
      </c>
    </row>
    <row r="74" spans="2:15" ht="15" thickTop="1" x14ac:dyDescent="0.3">
      <c r="B74" s="88" t="s">
        <v>102</v>
      </c>
      <c r="C74" s="2"/>
      <c r="D74" s="2"/>
      <c r="E74" s="97">
        <v>43.199999999999996</v>
      </c>
      <c r="G74" s="88" t="s">
        <v>102</v>
      </c>
      <c r="H74" s="2"/>
      <c r="I74" s="2"/>
      <c r="J74" s="97">
        <v>64.599999999999994</v>
      </c>
      <c r="L74" s="88" t="s">
        <v>102</v>
      </c>
      <c r="M74" s="2"/>
      <c r="N74" s="2"/>
      <c r="O74" s="97">
        <v>95.6</v>
      </c>
    </row>
    <row r="75" spans="2:15" x14ac:dyDescent="0.3">
      <c r="B75" s="88" t="s">
        <v>106</v>
      </c>
      <c r="C75" s="2"/>
      <c r="D75" s="2"/>
      <c r="E75" s="98">
        <v>13.4</v>
      </c>
      <c r="G75" s="88" t="s">
        <v>106</v>
      </c>
      <c r="H75" s="2"/>
      <c r="I75" s="2"/>
      <c r="J75" s="98">
        <v>21.4</v>
      </c>
      <c r="L75" s="88" t="s">
        <v>106</v>
      </c>
      <c r="M75" s="2"/>
      <c r="N75" s="2"/>
      <c r="O75" s="98">
        <v>31</v>
      </c>
    </row>
    <row r="76" spans="2:15" ht="15" thickBot="1" x14ac:dyDescent="0.35">
      <c r="B76" s="102" t="s">
        <v>98</v>
      </c>
      <c r="C76" s="92"/>
      <c r="D76" s="92"/>
      <c r="E76" s="100">
        <v>58.20000000000001</v>
      </c>
      <c r="G76" s="102" t="s">
        <v>98</v>
      </c>
      <c r="H76" s="92"/>
      <c r="I76" s="92"/>
      <c r="J76" s="100">
        <v>70.400000000000006</v>
      </c>
      <c r="L76" s="102" t="s">
        <v>98</v>
      </c>
      <c r="M76" s="92"/>
      <c r="N76" s="92"/>
      <c r="O76" s="100">
        <v>63.400000000000006</v>
      </c>
    </row>
    <row r="77" spans="2:15" ht="15.6" thickTop="1" thickBot="1" x14ac:dyDescent="0.35">
      <c r="B77" s="89" t="s">
        <v>228</v>
      </c>
      <c r="C77" s="179"/>
      <c r="D77" s="90"/>
      <c r="E77" s="183"/>
      <c r="G77" s="89" t="s">
        <v>228</v>
      </c>
      <c r="H77" s="179"/>
      <c r="I77" s="90"/>
      <c r="J77" s="183"/>
      <c r="L77" s="89" t="s">
        <v>228</v>
      </c>
      <c r="M77" s="179"/>
      <c r="N77" s="90"/>
      <c r="O77" s="183"/>
    </row>
    <row r="78" spans="2:15" ht="15" thickTop="1" x14ac:dyDescent="0.3">
      <c r="B78" s="88" t="s">
        <v>295</v>
      </c>
      <c r="C78" s="171"/>
      <c r="D78" s="2"/>
      <c r="E78" s="99">
        <v>10</v>
      </c>
      <c r="G78" s="88" t="s">
        <v>295</v>
      </c>
      <c r="H78" s="171"/>
      <c r="I78" s="2"/>
      <c r="J78" s="99">
        <v>10</v>
      </c>
      <c r="L78" s="88" t="s">
        <v>295</v>
      </c>
      <c r="M78" s="171"/>
      <c r="N78" s="2"/>
      <c r="O78" s="99">
        <v>10</v>
      </c>
    </row>
    <row r="79" spans="2:15" x14ac:dyDescent="0.3">
      <c r="B79" s="88" t="s">
        <v>357</v>
      </c>
      <c r="C79" s="180"/>
      <c r="D79" s="181"/>
      <c r="E79" s="97">
        <v>100</v>
      </c>
      <c r="G79" s="88" t="s">
        <v>357</v>
      </c>
      <c r="H79" s="180"/>
      <c r="I79" s="181"/>
      <c r="J79" s="97">
        <v>100</v>
      </c>
      <c r="L79" s="88" t="s">
        <v>357</v>
      </c>
      <c r="M79" s="180"/>
      <c r="N79" s="181"/>
      <c r="O79" s="97">
        <v>100</v>
      </c>
    </row>
    <row r="80" spans="2:15" x14ac:dyDescent="0.3">
      <c r="B80" s="88" t="s">
        <v>248</v>
      </c>
      <c r="C80" s="180"/>
      <c r="D80" s="181"/>
      <c r="E80" s="97">
        <v>0</v>
      </c>
      <c r="G80" s="88" t="s">
        <v>248</v>
      </c>
      <c r="H80" s="180"/>
      <c r="I80" s="181"/>
      <c r="J80" s="97">
        <v>0</v>
      </c>
      <c r="L80" s="88" t="s">
        <v>248</v>
      </c>
      <c r="M80" s="180"/>
      <c r="N80" s="181"/>
      <c r="O80" s="97">
        <v>0</v>
      </c>
    </row>
    <row r="81" spans="2:15" x14ac:dyDescent="0.3">
      <c r="B81" s="88" t="s">
        <v>93</v>
      </c>
      <c r="C81" s="2"/>
      <c r="D81" s="2"/>
      <c r="E81" s="96">
        <v>910</v>
      </c>
      <c r="G81" s="88" t="s">
        <v>93</v>
      </c>
      <c r="H81" s="2"/>
      <c r="I81" s="2"/>
      <c r="J81" s="96">
        <v>1040</v>
      </c>
      <c r="L81" s="88" t="s">
        <v>93</v>
      </c>
      <c r="M81" s="2"/>
      <c r="N81" s="2"/>
      <c r="O81" s="96">
        <v>1170</v>
      </c>
    </row>
    <row r="82" spans="2:15" x14ac:dyDescent="0.3">
      <c r="B82" s="88" t="s">
        <v>100</v>
      </c>
      <c r="C82" s="2"/>
      <c r="D82" s="2"/>
      <c r="E82" s="95">
        <v>70</v>
      </c>
      <c r="G82" s="88" t="s">
        <v>100</v>
      </c>
      <c r="H82" s="2"/>
      <c r="I82" s="2"/>
      <c r="J82" s="95">
        <v>80</v>
      </c>
      <c r="L82" s="88" t="s">
        <v>100</v>
      </c>
      <c r="M82" s="2"/>
      <c r="N82" s="2"/>
      <c r="O82" s="95">
        <v>90</v>
      </c>
    </row>
    <row r="83" spans="2:15" x14ac:dyDescent="0.3">
      <c r="B83" s="88" t="s">
        <v>358</v>
      </c>
      <c r="C83" s="2"/>
      <c r="D83" s="2"/>
      <c r="E83" s="96">
        <v>11.400000000000006</v>
      </c>
      <c r="G83" s="88" t="s">
        <v>358</v>
      </c>
      <c r="H83" s="2"/>
      <c r="I83" s="2"/>
      <c r="J83" s="96">
        <v>45</v>
      </c>
      <c r="L83" s="88" t="s">
        <v>358</v>
      </c>
      <c r="M83" s="2"/>
      <c r="N83" s="2"/>
      <c r="O83" s="96">
        <v>69</v>
      </c>
    </row>
    <row r="84" spans="2:15" ht="15" thickBot="1" x14ac:dyDescent="0.35">
      <c r="B84" s="88" t="s">
        <v>96</v>
      </c>
      <c r="C84" s="2"/>
      <c r="D84" s="182"/>
      <c r="E84" s="243">
        <v>52.87</v>
      </c>
      <c r="G84" s="88" t="s">
        <v>96</v>
      </c>
      <c r="H84" s="2"/>
      <c r="I84" s="182"/>
      <c r="J84" s="243">
        <v>24.94</v>
      </c>
      <c r="L84" s="88" t="s">
        <v>96</v>
      </c>
      <c r="M84" s="2"/>
      <c r="N84" s="182"/>
      <c r="O84" s="243">
        <v>366.6</v>
      </c>
    </row>
    <row r="85" spans="2:15" ht="15.6" thickTop="1" thickBot="1" x14ac:dyDescent="0.35">
      <c r="B85" s="93" t="s">
        <v>94</v>
      </c>
      <c r="C85" s="94"/>
      <c r="D85" s="184"/>
      <c r="E85" s="185">
        <v>921.4</v>
      </c>
      <c r="G85" s="93" t="s">
        <v>94</v>
      </c>
      <c r="H85" s="94"/>
      <c r="I85" s="184"/>
      <c r="J85" s="185">
        <v>1085</v>
      </c>
      <c r="L85" s="93" t="s">
        <v>94</v>
      </c>
      <c r="M85" s="94"/>
      <c r="N85" s="184"/>
      <c r="O85" s="185">
        <v>1239</v>
      </c>
    </row>
    <row r="86" spans="2:15" ht="15.6" thickTop="1" thickBot="1" x14ac:dyDescent="0.35">
      <c r="B86" s="93" t="s">
        <v>99</v>
      </c>
      <c r="C86" s="94"/>
      <c r="D86" s="184"/>
      <c r="E86" s="196">
        <v>921.40000000000009</v>
      </c>
      <c r="G86" s="93" t="s">
        <v>99</v>
      </c>
      <c r="H86" s="94"/>
      <c r="I86" s="184"/>
      <c r="J86" s="196">
        <v>1085</v>
      </c>
      <c r="L86" s="93" t="s">
        <v>99</v>
      </c>
      <c r="M86" s="94"/>
      <c r="N86" s="184"/>
      <c r="O86" s="196">
        <v>1238.9999999999998</v>
      </c>
    </row>
    <row r="87" spans="2:15" ht="15.6" thickTop="1" thickBot="1" x14ac:dyDescent="0.35">
      <c r="E87" s="268"/>
      <c r="J87" s="268"/>
      <c r="O87" s="268"/>
    </row>
    <row r="88" spans="2:15" ht="15.6" thickTop="1" thickBot="1" x14ac:dyDescent="0.35">
      <c r="B88" s="390" t="s">
        <v>92</v>
      </c>
      <c r="C88" s="391"/>
      <c r="D88" s="244" t="s">
        <v>397</v>
      </c>
      <c r="E88" s="111">
        <v>45061</v>
      </c>
      <c r="G88" s="390" t="s">
        <v>92</v>
      </c>
      <c r="H88" s="391"/>
      <c r="I88" s="244" t="s">
        <v>397</v>
      </c>
      <c r="J88" s="111">
        <v>45092</v>
      </c>
      <c r="L88" s="390" t="s">
        <v>92</v>
      </c>
      <c r="M88" s="391"/>
      <c r="N88" s="244" t="s">
        <v>397</v>
      </c>
      <c r="O88" s="111">
        <v>45122</v>
      </c>
    </row>
    <row r="89" spans="2:15" ht="15.6" thickTop="1" thickBot="1" x14ac:dyDescent="0.35">
      <c r="B89" s="392"/>
      <c r="C89" s="393"/>
      <c r="D89" s="244" t="s">
        <v>398</v>
      </c>
      <c r="E89" s="111">
        <v>44788</v>
      </c>
      <c r="G89" s="392"/>
      <c r="H89" s="393"/>
      <c r="I89" s="244" t="s">
        <v>398</v>
      </c>
      <c r="J89" s="111">
        <v>44788</v>
      </c>
      <c r="L89" s="392"/>
      <c r="M89" s="393"/>
      <c r="N89" s="244" t="s">
        <v>398</v>
      </c>
      <c r="O89" s="111">
        <v>44788</v>
      </c>
    </row>
    <row r="90" spans="2:15" ht="15.6" thickTop="1" thickBot="1" x14ac:dyDescent="0.35">
      <c r="B90" s="394"/>
      <c r="C90" s="395"/>
      <c r="D90" s="244" t="s">
        <v>396</v>
      </c>
      <c r="E90" s="111">
        <v>45091</v>
      </c>
      <c r="G90" s="394"/>
      <c r="H90" s="395"/>
      <c r="I90" s="244" t="s">
        <v>396</v>
      </c>
      <c r="J90" s="111">
        <v>45121</v>
      </c>
      <c r="L90" s="394"/>
      <c r="M90" s="395"/>
      <c r="N90" s="244" t="s">
        <v>396</v>
      </c>
      <c r="O90" s="111">
        <v>45152</v>
      </c>
    </row>
    <row r="91" spans="2:15" ht="15.6" thickTop="1" thickBot="1" x14ac:dyDescent="0.35">
      <c r="B91" s="88" t="s">
        <v>91</v>
      </c>
      <c r="C91" s="2"/>
      <c r="D91" s="2"/>
      <c r="E91" s="170">
        <v>1300</v>
      </c>
      <c r="G91" s="88" t="s">
        <v>91</v>
      </c>
      <c r="H91" s="2"/>
      <c r="I91" s="2"/>
      <c r="J91" s="170">
        <v>1430</v>
      </c>
      <c r="L91" s="88" t="s">
        <v>91</v>
      </c>
      <c r="M91" s="2"/>
      <c r="N91" s="2"/>
      <c r="O91" s="170">
        <v>1560</v>
      </c>
    </row>
    <row r="92" spans="2:15" ht="15.6" thickTop="1" thickBot="1" x14ac:dyDescent="0.35">
      <c r="B92" s="89" t="s">
        <v>169</v>
      </c>
      <c r="C92" s="90"/>
      <c r="D92" s="90"/>
      <c r="E92" s="176"/>
      <c r="G92" s="89" t="s">
        <v>169</v>
      </c>
      <c r="H92" s="90"/>
      <c r="I92" s="90"/>
      <c r="J92" s="176"/>
      <c r="L92" s="89" t="s">
        <v>169</v>
      </c>
      <c r="M92" s="90"/>
      <c r="N92" s="90"/>
      <c r="O92" s="176"/>
    </row>
    <row r="93" spans="2:15" ht="15" thickTop="1" x14ac:dyDescent="0.3">
      <c r="B93" s="174" t="s">
        <v>225</v>
      </c>
      <c r="C93" s="2"/>
      <c r="D93" s="2"/>
      <c r="E93" s="169">
        <v>2910</v>
      </c>
      <c r="G93" s="174" t="s">
        <v>225</v>
      </c>
      <c r="H93" s="2"/>
      <c r="I93" s="2"/>
      <c r="J93" s="169">
        <v>3910</v>
      </c>
      <c r="L93" s="174" t="s">
        <v>225</v>
      </c>
      <c r="M93" s="2"/>
      <c r="N93" s="2"/>
      <c r="O93" s="169">
        <v>4210</v>
      </c>
    </row>
    <row r="94" spans="2:15" x14ac:dyDescent="0.3">
      <c r="B94" s="175" t="s">
        <v>226</v>
      </c>
      <c r="C94" s="2"/>
      <c r="D94" s="2"/>
      <c r="E94" s="97">
        <v>100</v>
      </c>
      <c r="G94" s="175" t="s">
        <v>226</v>
      </c>
      <c r="H94" s="2"/>
      <c r="I94" s="2"/>
      <c r="J94" s="97">
        <v>100</v>
      </c>
      <c r="L94" s="175" t="s">
        <v>226</v>
      </c>
      <c r="M94" s="2"/>
      <c r="N94" s="2"/>
      <c r="O94" s="97">
        <v>100</v>
      </c>
    </row>
    <row r="95" spans="2:15" x14ac:dyDescent="0.3">
      <c r="B95" s="88" t="s">
        <v>103</v>
      </c>
      <c r="C95" s="2"/>
      <c r="D95" s="2"/>
      <c r="E95" s="98">
        <v>300</v>
      </c>
      <c r="G95" s="88" t="s">
        <v>103</v>
      </c>
      <c r="H95" s="2"/>
      <c r="I95" s="2"/>
      <c r="J95" s="98">
        <v>1000</v>
      </c>
      <c r="L95" s="88" t="s">
        <v>103</v>
      </c>
      <c r="M95" s="2"/>
      <c r="N95" s="2"/>
      <c r="O95" s="98">
        <v>300</v>
      </c>
    </row>
    <row r="96" spans="2:15" x14ac:dyDescent="0.3">
      <c r="B96" s="175" t="s">
        <v>227</v>
      </c>
      <c r="C96" s="2"/>
      <c r="D96" s="2"/>
      <c r="E96" s="177">
        <v>175</v>
      </c>
      <c r="G96" s="175" t="s">
        <v>227</v>
      </c>
      <c r="H96" s="2"/>
      <c r="I96" s="2"/>
      <c r="J96" s="177">
        <v>255</v>
      </c>
      <c r="L96" s="175" t="s">
        <v>227</v>
      </c>
      <c r="M96" s="2"/>
      <c r="N96" s="2"/>
      <c r="O96" s="177">
        <v>261</v>
      </c>
    </row>
    <row r="97" spans="2:15" ht="15" thickBot="1" x14ac:dyDescent="0.35">
      <c r="B97" s="88" t="s">
        <v>105</v>
      </c>
      <c r="C97" s="2"/>
      <c r="D97" s="2"/>
      <c r="E97" s="98">
        <v>16</v>
      </c>
      <c r="G97" s="88" t="s">
        <v>105</v>
      </c>
      <c r="H97" s="2"/>
      <c r="I97" s="2"/>
      <c r="J97" s="98">
        <v>80</v>
      </c>
      <c r="L97" s="88" t="s">
        <v>105</v>
      </c>
      <c r="M97" s="2"/>
      <c r="N97" s="2"/>
      <c r="O97" s="98">
        <v>6</v>
      </c>
    </row>
    <row r="98" spans="2:15" ht="15.6" thickTop="1" thickBot="1" x14ac:dyDescent="0.35">
      <c r="B98" s="178" t="s">
        <v>39</v>
      </c>
      <c r="C98" s="90"/>
      <c r="D98" s="90"/>
      <c r="E98" s="176"/>
      <c r="G98" s="178" t="s">
        <v>39</v>
      </c>
      <c r="H98" s="90"/>
      <c r="I98" s="90"/>
      <c r="J98" s="176"/>
      <c r="L98" s="178" t="s">
        <v>39</v>
      </c>
      <c r="M98" s="90"/>
      <c r="N98" s="90"/>
      <c r="O98" s="176"/>
    </row>
    <row r="99" spans="2:15" ht="15" thickTop="1" x14ac:dyDescent="0.3">
      <c r="B99" s="88" t="s">
        <v>101</v>
      </c>
      <c r="C99" s="2"/>
      <c r="D99" s="2"/>
      <c r="E99" s="97">
        <v>2160</v>
      </c>
      <c r="G99" s="88" t="s">
        <v>101</v>
      </c>
      <c r="H99" s="2"/>
      <c r="I99" s="2"/>
      <c r="J99" s="97">
        <v>2485</v>
      </c>
      <c r="L99" s="88" t="s">
        <v>101</v>
      </c>
      <c r="M99" s="2"/>
      <c r="N99" s="2"/>
      <c r="O99" s="97">
        <v>2785</v>
      </c>
    </row>
    <row r="100" spans="2:15" x14ac:dyDescent="0.3">
      <c r="B100" s="88" t="s">
        <v>104</v>
      </c>
      <c r="C100" s="2"/>
      <c r="D100" s="2"/>
      <c r="E100" s="98">
        <v>359</v>
      </c>
      <c r="G100" s="88" t="s">
        <v>104</v>
      </c>
      <c r="H100" s="2"/>
      <c r="I100" s="2"/>
      <c r="J100" s="98">
        <v>325</v>
      </c>
      <c r="L100" s="88" t="s">
        <v>104</v>
      </c>
      <c r="M100" s="2"/>
      <c r="N100" s="2"/>
      <c r="O100" s="98">
        <v>300</v>
      </c>
    </row>
    <row r="101" spans="2:15" ht="15" thickBot="1" x14ac:dyDescent="0.35">
      <c r="B101" s="102" t="s">
        <v>95</v>
      </c>
      <c r="C101" s="101"/>
      <c r="D101" s="92"/>
      <c r="E101" s="100">
        <v>750</v>
      </c>
      <c r="G101" s="102" t="s">
        <v>95</v>
      </c>
      <c r="H101" s="101"/>
      <c r="I101" s="92"/>
      <c r="J101" s="100">
        <v>1425</v>
      </c>
      <c r="L101" s="102" t="s">
        <v>95</v>
      </c>
      <c r="M101" s="101"/>
      <c r="N101" s="92"/>
      <c r="O101" s="100">
        <v>1425</v>
      </c>
    </row>
    <row r="102" spans="2:15" ht="15" thickTop="1" x14ac:dyDescent="0.3">
      <c r="B102" s="88" t="s">
        <v>102</v>
      </c>
      <c r="C102" s="2"/>
      <c r="D102" s="2"/>
      <c r="E102" s="97">
        <v>123</v>
      </c>
      <c r="G102" s="88" t="s">
        <v>102</v>
      </c>
      <c r="H102" s="2"/>
      <c r="I102" s="2"/>
      <c r="J102" s="97">
        <v>145</v>
      </c>
      <c r="L102" s="88" t="s">
        <v>102</v>
      </c>
      <c r="M102" s="2"/>
      <c r="N102" s="2"/>
      <c r="O102" s="97">
        <v>185</v>
      </c>
    </row>
    <row r="103" spans="2:15" x14ac:dyDescent="0.3">
      <c r="B103" s="88" t="s">
        <v>106</v>
      </c>
      <c r="C103" s="2"/>
      <c r="D103" s="2"/>
      <c r="E103" s="98">
        <v>27.4</v>
      </c>
      <c r="G103" s="88" t="s">
        <v>106</v>
      </c>
      <c r="H103" s="2"/>
      <c r="I103" s="2"/>
      <c r="J103" s="98">
        <v>22</v>
      </c>
      <c r="L103" s="88" t="s">
        <v>106</v>
      </c>
      <c r="M103" s="2"/>
      <c r="N103" s="2"/>
      <c r="O103" s="98">
        <v>40</v>
      </c>
    </row>
    <row r="104" spans="2:15" ht="15" thickBot="1" x14ac:dyDescent="0.35">
      <c r="B104" s="102" t="s">
        <v>98</v>
      </c>
      <c r="C104" s="92"/>
      <c r="D104" s="92"/>
      <c r="E104" s="100">
        <v>52</v>
      </c>
      <c r="G104" s="102" t="s">
        <v>98</v>
      </c>
      <c r="H104" s="92"/>
      <c r="I104" s="92"/>
      <c r="J104" s="100">
        <v>110</v>
      </c>
      <c r="L104" s="102" t="s">
        <v>98</v>
      </c>
      <c r="M104" s="92"/>
      <c r="N104" s="92"/>
      <c r="O104" s="100">
        <v>76</v>
      </c>
    </row>
    <row r="105" spans="2:15" ht="15.6" thickTop="1" thickBot="1" x14ac:dyDescent="0.35">
      <c r="B105" s="89" t="s">
        <v>228</v>
      </c>
      <c r="C105" s="179"/>
      <c r="D105" s="90"/>
      <c r="E105" s="183"/>
      <c r="G105" s="89" t="s">
        <v>228</v>
      </c>
      <c r="H105" s="179"/>
      <c r="I105" s="90"/>
      <c r="J105" s="183"/>
      <c r="L105" s="89" t="s">
        <v>228</v>
      </c>
      <c r="M105" s="179"/>
      <c r="N105" s="90"/>
      <c r="O105" s="183"/>
    </row>
    <row r="106" spans="2:15" ht="15" thickTop="1" x14ac:dyDescent="0.3">
      <c r="B106" s="88" t="s">
        <v>295</v>
      </c>
      <c r="C106" s="171"/>
      <c r="D106" s="2"/>
      <c r="E106" s="99">
        <v>10</v>
      </c>
      <c r="G106" s="88" t="s">
        <v>295</v>
      </c>
      <c r="H106" s="171"/>
      <c r="I106" s="2"/>
      <c r="J106" s="99">
        <v>10</v>
      </c>
      <c r="L106" s="88" t="s">
        <v>295</v>
      </c>
      <c r="M106" s="171"/>
      <c r="N106" s="2"/>
      <c r="O106" s="99">
        <v>10</v>
      </c>
    </row>
    <row r="107" spans="2:15" x14ac:dyDescent="0.3">
      <c r="B107" s="88" t="s">
        <v>357</v>
      </c>
      <c r="C107" s="180"/>
      <c r="D107" s="181"/>
      <c r="E107" s="97">
        <v>100</v>
      </c>
      <c r="G107" s="88" t="s">
        <v>357</v>
      </c>
      <c r="H107" s="180"/>
      <c r="I107" s="181"/>
      <c r="J107" s="97">
        <v>100</v>
      </c>
      <c r="L107" s="88" t="s">
        <v>357</v>
      </c>
      <c r="M107" s="180"/>
      <c r="N107" s="181"/>
      <c r="O107" s="97">
        <v>100</v>
      </c>
    </row>
    <row r="108" spans="2:15" x14ac:dyDescent="0.3">
      <c r="B108" s="88" t="s">
        <v>248</v>
      </c>
      <c r="C108" s="180"/>
      <c r="D108" s="181"/>
      <c r="E108" s="97">
        <v>0</v>
      </c>
      <c r="G108" s="88" t="s">
        <v>248</v>
      </c>
      <c r="H108" s="180"/>
      <c r="I108" s="181"/>
      <c r="J108" s="97">
        <v>0</v>
      </c>
      <c r="L108" s="88" t="s">
        <v>248</v>
      </c>
      <c r="M108" s="180"/>
      <c r="N108" s="181"/>
      <c r="O108" s="97">
        <v>0</v>
      </c>
    </row>
    <row r="109" spans="2:15" x14ac:dyDescent="0.3">
      <c r="B109" s="88" t="s">
        <v>93</v>
      </c>
      <c r="C109" s="2"/>
      <c r="D109" s="2"/>
      <c r="E109" s="96">
        <v>1300</v>
      </c>
      <c r="G109" s="88" t="s">
        <v>93</v>
      </c>
      <c r="H109" s="2"/>
      <c r="I109" s="2"/>
      <c r="J109" s="96">
        <v>1430</v>
      </c>
      <c r="L109" s="88" t="s">
        <v>93</v>
      </c>
      <c r="M109" s="2"/>
      <c r="N109" s="2"/>
      <c r="O109" s="96">
        <v>1560</v>
      </c>
    </row>
    <row r="110" spans="2:15" x14ac:dyDescent="0.3">
      <c r="B110" s="88" t="s">
        <v>100</v>
      </c>
      <c r="C110" s="2"/>
      <c r="D110" s="2"/>
      <c r="E110" s="95">
        <v>100</v>
      </c>
      <c r="G110" s="88" t="s">
        <v>100</v>
      </c>
      <c r="H110" s="2"/>
      <c r="I110" s="2"/>
      <c r="J110" s="95">
        <v>110</v>
      </c>
      <c r="L110" s="88" t="s">
        <v>100</v>
      </c>
      <c r="M110" s="2"/>
      <c r="N110" s="2"/>
      <c r="O110" s="95">
        <v>120</v>
      </c>
    </row>
    <row r="111" spans="2:15" x14ac:dyDescent="0.3">
      <c r="B111" s="88" t="s">
        <v>358</v>
      </c>
      <c r="C111" s="2"/>
      <c r="D111" s="2"/>
      <c r="E111" s="96">
        <v>85</v>
      </c>
      <c r="G111" s="88" t="s">
        <v>358</v>
      </c>
      <c r="H111" s="2"/>
      <c r="I111" s="2"/>
      <c r="J111" s="96">
        <v>165</v>
      </c>
      <c r="L111" s="88" t="s">
        <v>358</v>
      </c>
      <c r="M111" s="2"/>
      <c r="N111" s="2"/>
      <c r="O111" s="96">
        <v>171</v>
      </c>
    </row>
    <row r="112" spans="2:15" ht="15" thickBot="1" x14ac:dyDescent="0.35">
      <c r="B112" s="88" t="s">
        <v>96</v>
      </c>
      <c r="C112" s="2"/>
      <c r="D112" s="182"/>
      <c r="E112" s="243">
        <v>583</v>
      </c>
      <c r="G112" s="88" t="s">
        <v>96</v>
      </c>
      <c r="H112" s="2"/>
      <c r="I112" s="182"/>
      <c r="J112" s="243">
        <v>60</v>
      </c>
      <c r="L112" s="88" t="s">
        <v>96</v>
      </c>
      <c r="M112" s="2"/>
      <c r="N112" s="182"/>
      <c r="O112" s="243">
        <v>230</v>
      </c>
    </row>
    <row r="113" spans="2:15" ht="15.6" thickTop="1" thickBot="1" x14ac:dyDescent="0.35">
      <c r="B113" s="93" t="s">
        <v>94</v>
      </c>
      <c r="C113" s="94"/>
      <c r="D113" s="184"/>
      <c r="E113" s="185">
        <v>1385</v>
      </c>
      <c r="G113" s="93" t="s">
        <v>94</v>
      </c>
      <c r="H113" s="94"/>
      <c r="I113" s="184"/>
      <c r="J113" s="185">
        <v>1595</v>
      </c>
      <c r="L113" s="93" t="s">
        <v>94</v>
      </c>
      <c r="M113" s="94"/>
      <c r="N113" s="184"/>
      <c r="O113" s="185">
        <v>1731</v>
      </c>
    </row>
    <row r="114" spans="2:15" ht="15.6" thickTop="1" thickBot="1" x14ac:dyDescent="0.35">
      <c r="B114" s="93" t="s">
        <v>99</v>
      </c>
      <c r="C114" s="94"/>
      <c r="D114" s="184"/>
      <c r="E114" s="196">
        <v>1385</v>
      </c>
      <c r="G114" s="93" t="s">
        <v>99</v>
      </c>
      <c r="H114" s="94"/>
      <c r="I114" s="184"/>
      <c r="J114" s="196">
        <v>1595</v>
      </c>
      <c r="L114" s="93" t="s">
        <v>99</v>
      </c>
      <c r="M114" s="94"/>
      <c r="N114" s="184"/>
      <c r="O114" s="196">
        <v>1731</v>
      </c>
    </row>
    <row r="115" spans="2:15" ht="15" thickTop="1" x14ac:dyDescent="0.3">
      <c r="E115" s="268"/>
      <c r="J115" s="268"/>
      <c r="O115" s="268"/>
    </row>
    <row r="116" spans="2:15" ht="15" thickBot="1" x14ac:dyDescent="0.35">
      <c r="E116" s="268"/>
      <c r="J116" s="268"/>
      <c r="O116" s="268"/>
    </row>
    <row r="117" spans="2:15" ht="15.6" thickTop="1" thickBot="1" x14ac:dyDescent="0.35">
      <c r="B117" s="390" t="s">
        <v>92</v>
      </c>
      <c r="C117" s="391"/>
      <c r="D117" s="244" t="s">
        <v>397</v>
      </c>
      <c r="E117" s="111">
        <v>45153</v>
      </c>
      <c r="G117" s="390" t="s">
        <v>92</v>
      </c>
      <c r="H117" s="391"/>
      <c r="I117" s="244" t="s">
        <v>397</v>
      </c>
      <c r="J117" s="111">
        <v>45184</v>
      </c>
      <c r="L117" s="390" t="s">
        <v>92</v>
      </c>
      <c r="M117" s="391"/>
      <c r="N117" s="244" t="s">
        <v>397</v>
      </c>
      <c r="O117" s="111">
        <v>45214</v>
      </c>
    </row>
    <row r="118" spans="2:15" ht="15.6" thickTop="1" thickBot="1" x14ac:dyDescent="0.35">
      <c r="B118" s="392"/>
      <c r="C118" s="393"/>
      <c r="D118" s="244" t="s">
        <v>398</v>
      </c>
      <c r="E118" s="111">
        <v>44788</v>
      </c>
      <c r="G118" s="392"/>
      <c r="H118" s="393"/>
      <c r="I118" s="244" t="s">
        <v>398</v>
      </c>
      <c r="J118" s="111">
        <v>44788</v>
      </c>
      <c r="L118" s="392"/>
      <c r="M118" s="393"/>
      <c r="N118" s="244" t="s">
        <v>398</v>
      </c>
      <c r="O118" s="111">
        <v>44788</v>
      </c>
    </row>
    <row r="119" spans="2:15" ht="15.6" thickTop="1" thickBot="1" x14ac:dyDescent="0.35">
      <c r="B119" s="394"/>
      <c r="C119" s="395"/>
      <c r="D119" s="244" t="s">
        <v>396</v>
      </c>
      <c r="E119" s="111">
        <v>45183</v>
      </c>
      <c r="G119" s="394"/>
      <c r="H119" s="395"/>
      <c r="I119" s="244" t="s">
        <v>396</v>
      </c>
      <c r="J119" s="111">
        <v>45213</v>
      </c>
      <c r="L119" s="394"/>
      <c r="M119" s="395"/>
      <c r="N119" s="244" t="s">
        <v>396</v>
      </c>
      <c r="O119" s="111">
        <v>45244</v>
      </c>
    </row>
    <row r="120" spans="2:15" ht="15.6" thickTop="1" thickBot="1" x14ac:dyDescent="0.35">
      <c r="B120" s="88" t="s">
        <v>91</v>
      </c>
      <c r="C120" s="2"/>
      <c r="D120" s="2"/>
      <c r="E120" s="170">
        <v>1690</v>
      </c>
      <c r="G120" s="88" t="s">
        <v>91</v>
      </c>
      <c r="H120" s="2"/>
      <c r="I120" s="2"/>
      <c r="J120" s="170">
        <v>1820</v>
      </c>
      <c r="L120" s="88" t="s">
        <v>91</v>
      </c>
      <c r="M120" s="2"/>
      <c r="N120" s="2"/>
      <c r="O120" s="170">
        <v>1950</v>
      </c>
    </row>
    <row r="121" spans="2:15" ht="15.6" thickTop="1" thickBot="1" x14ac:dyDescent="0.35">
      <c r="B121" s="89" t="s">
        <v>169</v>
      </c>
      <c r="C121" s="90"/>
      <c r="D121" s="90"/>
      <c r="E121" s="176"/>
      <c r="G121" s="89" t="s">
        <v>169</v>
      </c>
      <c r="H121" s="90"/>
      <c r="I121" s="90"/>
      <c r="J121" s="176"/>
      <c r="L121" s="89" t="s">
        <v>169</v>
      </c>
      <c r="M121" s="90"/>
      <c r="N121" s="90"/>
      <c r="O121" s="176"/>
    </row>
    <row r="122" spans="2:15" ht="15" thickTop="1" x14ac:dyDescent="0.3">
      <c r="B122" s="174" t="s">
        <v>225</v>
      </c>
      <c r="C122" s="2"/>
      <c r="D122" s="2"/>
      <c r="E122" s="169">
        <v>4410</v>
      </c>
      <c r="G122" s="174" t="s">
        <v>225</v>
      </c>
      <c r="H122" s="2"/>
      <c r="I122" s="2"/>
      <c r="J122" s="169">
        <v>5110</v>
      </c>
      <c r="L122" s="174" t="s">
        <v>225</v>
      </c>
      <c r="M122" s="2"/>
      <c r="N122" s="2"/>
      <c r="O122" s="169">
        <v>6310</v>
      </c>
    </row>
    <row r="123" spans="2:15" x14ac:dyDescent="0.3">
      <c r="B123" s="175" t="s">
        <v>226</v>
      </c>
      <c r="C123" s="2"/>
      <c r="D123" s="2"/>
      <c r="E123" s="97">
        <v>100</v>
      </c>
      <c r="G123" s="175" t="s">
        <v>226</v>
      </c>
      <c r="H123" s="2"/>
      <c r="I123" s="2"/>
      <c r="J123" s="97">
        <v>100</v>
      </c>
      <c r="L123" s="175" t="s">
        <v>226</v>
      </c>
      <c r="M123" s="2"/>
      <c r="N123" s="2"/>
      <c r="O123" s="97">
        <v>100</v>
      </c>
    </row>
    <row r="124" spans="2:15" x14ac:dyDescent="0.3">
      <c r="B124" s="88" t="s">
        <v>103</v>
      </c>
      <c r="C124" s="2"/>
      <c r="D124" s="2"/>
      <c r="E124" s="98">
        <v>200</v>
      </c>
      <c r="G124" s="88" t="s">
        <v>103</v>
      </c>
      <c r="H124" s="2"/>
      <c r="I124" s="2"/>
      <c r="J124" s="98">
        <v>700</v>
      </c>
      <c r="L124" s="88" t="s">
        <v>103</v>
      </c>
      <c r="M124" s="2"/>
      <c r="N124" s="2"/>
      <c r="O124" s="98">
        <v>1200</v>
      </c>
    </row>
    <row r="125" spans="2:15" x14ac:dyDescent="0.3">
      <c r="B125" s="175" t="s">
        <v>227</v>
      </c>
      <c r="C125" s="2"/>
      <c r="D125" s="2"/>
      <c r="E125" s="177">
        <v>265</v>
      </c>
      <c r="G125" s="175" t="s">
        <v>227</v>
      </c>
      <c r="H125" s="2"/>
      <c r="I125" s="2"/>
      <c r="J125" s="177">
        <v>335</v>
      </c>
      <c r="L125" s="175" t="s">
        <v>227</v>
      </c>
      <c r="M125" s="2"/>
      <c r="N125" s="2"/>
      <c r="O125" s="177">
        <v>455</v>
      </c>
    </row>
    <row r="126" spans="2:15" ht="15" thickBot="1" x14ac:dyDescent="0.35">
      <c r="B126" s="88" t="s">
        <v>105</v>
      </c>
      <c r="C126" s="2"/>
      <c r="D126" s="2"/>
      <c r="E126" s="98">
        <v>4</v>
      </c>
      <c r="G126" s="88" t="s">
        <v>105</v>
      </c>
      <c r="H126" s="2"/>
      <c r="I126" s="2"/>
      <c r="J126" s="98">
        <v>70</v>
      </c>
      <c r="L126" s="88" t="s">
        <v>105</v>
      </c>
      <c r="M126" s="2"/>
      <c r="N126" s="2"/>
      <c r="O126" s="98">
        <v>120</v>
      </c>
    </row>
    <row r="127" spans="2:15" ht="15.6" thickTop="1" thickBot="1" x14ac:dyDescent="0.35">
      <c r="B127" s="178" t="s">
        <v>39</v>
      </c>
      <c r="C127" s="90"/>
      <c r="D127" s="90"/>
      <c r="E127" s="176"/>
      <c r="G127" s="178" t="s">
        <v>39</v>
      </c>
      <c r="H127" s="90"/>
      <c r="I127" s="90"/>
      <c r="J127" s="176"/>
      <c r="L127" s="178" t="s">
        <v>39</v>
      </c>
      <c r="M127" s="90"/>
      <c r="N127" s="90"/>
      <c r="O127" s="176"/>
    </row>
    <row r="128" spans="2:15" ht="15" thickTop="1" x14ac:dyDescent="0.3">
      <c r="B128" s="88" t="s">
        <v>101</v>
      </c>
      <c r="C128" s="2"/>
      <c r="D128" s="2"/>
      <c r="E128" s="97">
        <v>3185</v>
      </c>
      <c r="G128" s="88" t="s">
        <v>101</v>
      </c>
      <c r="H128" s="2"/>
      <c r="I128" s="2"/>
      <c r="J128" s="97">
        <v>3410</v>
      </c>
      <c r="L128" s="88" t="s">
        <v>101</v>
      </c>
      <c r="M128" s="2"/>
      <c r="N128" s="2"/>
      <c r="O128" s="97">
        <v>4535</v>
      </c>
    </row>
    <row r="129" spans="2:15" x14ac:dyDescent="0.3">
      <c r="B129" s="88" t="s">
        <v>104</v>
      </c>
      <c r="C129" s="2"/>
      <c r="D129" s="2"/>
      <c r="E129" s="98">
        <v>400</v>
      </c>
      <c r="G129" s="88" t="s">
        <v>104</v>
      </c>
      <c r="H129" s="2"/>
      <c r="I129" s="2"/>
      <c r="J129" s="98">
        <v>225</v>
      </c>
      <c r="L129" s="88" t="s">
        <v>104</v>
      </c>
      <c r="M129" s="2"/>
      <c r="N129" s="2"/>
      <c r="O129" s="98">
        <v>1125</v>
      </c>
    </row>
    <row r="130" spans="2:15" ht="15" thickBot="1" x14ac:dyDescent="0.35">
      <c r="B130" s="102" t="s">
        <v>95</v>
      </c>
      <c r="C130" s="101"/>
      <c r="D130" s="92"/>
      <c r="E130" s="100">
        <v>1225</v>
      </c>
      <c r="G130" s="102" t="s">
        <v>95</v>
      </c>
      <c r="H130" s="101"/>
      <c r="I130" s="92"/>
      <c r="J130" s="100">
        <v>1700</v>
      </c>
      <c r="L130" s="102" t="s">
        <v>95</v>
      </c>
      <c r="M130" s="101"/>
      <c r="N130" s="92"/>
      <c r="O130" s="100">
        <v>1775</v>
      </c>
    </row>
    <row r="131" spans="2:15" ht="15" thickTop="1" x14ac:dyDescent="0.3">
      <c r="B131" s="88" t="s">
        <v>102</v>
      </c>
      <c r="C131" s="2"/>
      <c r="D131" s="2"/>
      <c r="E131" s="97">
        <v>219</v>
      </c>
      <c r="G131" s="88" t="s">
        <v>102</v>
      </c>
      <c r="H131" s="2"/>
      <c r="I131" s="2"/>
      <c r="J131" s="97">
        <v>245</v>
      </c>
      <c r="L131" s="88" t="s">
        <v>102</v>
      </c>
      <c r="M131" s="2"/>
      <c r="N131" s="2"/>
      <c r="O131" s="97">
        <v>279</v>
      </c>
    </row>
    <row r="132" spans="2:15" x14ac:dyDescent="0.3">
      <c r="B132" s="88" t="s">
        <v>106</v>
      </c>
      <c r="C132" s="2"/>
      <c r="D132" s="2"/>
      <c r="E132" s="98">
        <v>34</v>
      </c>
      <c r="G132" s="88" t="s">
        <v>106</v>
      </c>
      <c r="H132" s="2"/>
      <c r="I132" s="2"/>
      <c r="J132" s="98">
        <v>26</v>
      </c>
      <c r="L132" s="88" t="s">
        <v>106</v>
      </c>
      <c r="M132" s="2"/>
      <c r="N132" s="2"/>
      <c r="O132" s="98">
        <v>34</v>
      </c>
    </row>
    <row r="133" spans="2:15" ht="15" thickBot="1" x14ac:dyDescent="0.35">
      <c r="B133" s="102" t="s">
        <v>98</v>
      </c>
      <c r="C133" s="92"/>
      <c r="D133" s="92"/>
      <c r="E133" s="100">
        <v>46</v>
      </c>
      <c r="G133" s="102" t="s">
        <v>98</v>
      </c>
      <c r="H133" s="92"/>
      <c r="I133" s="92"/>
      <c r="J133" s="100">
        <v>90</v>
      </c>
      <c r="L133" s="102" t="s">
        <v>98</v>
      </c>
      <c r="M133" s="92"/>
      <c r="N133" s="92"/>
      <c r="O133" s="100">
        <v>176</v>
      </c>
    </row>
    <row r="134" spans="2:15" ht="15.6" thickTop="1" thickBot="1" x14ac:dyDescent="0.35">
      <c r="B134" s="89" t="s">
        <v>228</v>
      </c>
      <c r="C134" s="179"/>
      <c r="D134" s="90"/>
      <c r="E134" s="183"/>
      <c r="G134" s="89" t="s">
        <v>228</v>
      </c>
      <c r="H134" s="179"/>
      <c r="I134" s="90"/>
      <c r="J134" s="183"/>
      <c r="L134" s="89" t="s">
        <v>228</v>
      </c>
      <c r="M134" s="179"/>
      <c r="N134" s="90"/>
      <c r="O134" s="183"/>
    </row>
    <row r="135" spans="2:15" ht="15" thickTop="1" x14ac:dyDescent="0.3">
      <c r="B135" s="88" t="s">
        <v>295</v>
      </c>
      <c r="C135" s="171"/>
      <c r="D135" s="2"/>
      <c r="E135" s="99">
        <v>10</v>
      </c>
      <c r="G135" s="88" t="s">
        <v>295</v>
      </c>
      <c r="H135" s="171"/>
      <c r="I135" s="2"/>
      <c r="J135" s="99">
        <v>10</v>
      </c>
      <c r="L135" s="88" t="s">
        <v>295</v>
      </c>
      <c r="M135" s="171"/>
      <c r="N135" s="2"/>
      <c r="O135" s="99">
        <v>10</v>
      </c>
    </row>
    <row r="136" spans="2:15" x14ac:dyDescent="0.3">
      <c r="B136" s="88" t="s">
        <v>357</v>
      </c>
      <c r="C136" s="180"/>
      <c r="D136" s="181"/>
      <c r="E136" s="97">
        <v>300</v>
      </c>
      <c r="G136" s="88" t="s">
        <v>357</v>
      </c>
      <c r="H136" s="180"/>
      <c r="I136" s="181"/>
      <c r="J136" s="97">
        <v>300</v>
      </c>
      <c r="L136" s="88" t="s">
        <v>357</v>
      </c>
      <c r="M136" s="180"/>
      <c r="N136" s="181"/>
      <c r="O136" s="97">
        <v>300</v>
      </c>
    </row>
    <row r="137" spans="2:15" x14ac:dyDescent="0.3">
      <c r="B137" s="88" t="s">
        <v>248</v>
      </c>
      <c r="C137" s="180"/>
      <c r="D137" s="181"/>
      <c r="E137" s="97">
        <v>0</v>
      </c>
      <c r="G137" s="88" t="s">
        <v>248</v>
      </c>
      <c r="H137" s="180"/>
      <c r="I137" s="181"/>
      <c r="J137" s="97">
        <v>0</v>
      </c>
      <c r="L137" s="88" t="s">
        <v>248</v>
      </c>
      <c r="M137" s="180"/>
      <c r="N137" s="181"/>
      <c r="O137" s="97">
        <v>0</v>
      </c>
    </row>
    <row r="138" spans="2:15" x14ac:dyDescent="0.3">
      <c r="B138" s="88" t="s">
        <v>93</v>
      </c>
      <c r="C138" s="2"/>
      <c r="D138" s="2"/>
      <c r="E138" s="96">
        <v>1690</v>
      </c>
      <c r="G138" s="88" t="s">
        <v>93</v>
      </c>
      <c r="H138" s="2"/>
      <c r="I138" s="2"/>
      <c r="J138" s="96">
        <v>1820</v>
      </c>
      <c r="L138" s="88" t="s">
        <v>93</v>
      </c>
      <c r="M138" s="2"/>
      <c r="N138" s="2"/>
      <c r="O138" s="96">
        <v>1950</v>
      </c>
    </row>
    <row r="139" spans="2:15" x14ac:dyDescent="0.3">
      <c r="B139" s="88" t="s">
        <v>100</v>
      </c>
      <c r="C139" s="2"/>
      <c r="D139" s="2"/>
      <c r="E139" s="95">
        <v>130</v>
      </c>
      <c r="G139" s="88" t="s">
        <v>100</v>
      </c>
      <c r="H139" s="2"/>
      <c r="I139" s="2"/>
      <c r="J139" s="95">
        <v>140</v>
      </c>
      <c r="L139" s="88" t="s">
        <v>100</v>
      </c>
      <c r="M139" s="2"/>
      <c r="N139" s="2"/>
      <c r="O139" s="95">
        <v>150</v>
      </c>
    </row>
    <row r="140" spans="2:15" x14ac:dyDescent="0.3">
      <c r="B140" s="88" t="s">
        <v>358</v>
      </c>
      <c r="C140" s="2"/>
      <c r="D140" s="2"/>
      <c r="E140" s="96">
        <v>-25</v>
      </c>
      <c r="G140" s="88" t="s">
        <v>358</v>
      </c>
      <c r="H140" s="2"/>
      <c r="I140" s="2"/>
      <c r="J140" s="96">
        <v>45</v>
      </c>
      <c r="L140" s="88" t="s">
        <v>358</v>
      </c>
      <c r="M140" s="2"/>
      <c r="N140" s="2"/>
      <c r="O140" s="96">
        <v>165</v>
      </c>
    </row>
    <row r="141" spans="2:15" ht="15" thickBot="1" x14ac:dyDescent="0.35">
      <c r="B141" s="88" t="s">
        <v>96</v>
      </c>
      <c r="C141" s="2"/>
      <c r="D141" s="182"/>
      <c r="E141" s="243">
        <v>394</v>
      </c>
      <c r="G141" s="88" t="s">
        <v>96</v>
      </c>
      <c r="H141" s="2"/>
      <c r="I141" s="182"/>
      <c r="J141" s="243">
        <v>75</v>
      </c>
      <c r="L141" s="88" t="s">
        <v>96</v>
      </c>
      <c r="M141" s="2"/>
      <c r="N141" s="182"/>
      <c r="O141" s="243">
        <v>164</v>
      </c>
    </row>
    <row r="142" spans="2:15" ht="15.6" thickTop="1" thickBot="1" x14ac:dyDescent="0.35">
      <c r="B142" s="93" t="s">
        <v>94</v>
      </c>
      <c r="C142" s="94"/>
      <c r="D142" s="184"/>
      <c r="E142" s="185">
        <v>1665</v>
      </c>
      <c r="G142" s="93" t="s">
        <v>94</v>
      </c>
      <c r="H142" s="94"/>
      <c r="I142" s="184"/>
      <c r="J142" s="185">
        <v>1865</v>
      </c>
      <c r="L142" s="93" t="s">
        <v>94</v>
      </c>
      <c r="M142" s="94"/>
      <c r="N142" s="184"/>
      <c r="O142" s="185">
        <v>2115</v>
      </c>
    </row>
    <row r="143" spans="2:15" ht="15.6" thickTop="1" thickBot="1" x14ac:dyDescent="0.35">
      <c r="B143" s="93" t="s">
        <v>99</v>
      </c>
      <c r="C143" s="94"/>
      <c r="D143" s="184"/>
      <c r="E143" s="196">
        <v>1665</v>
      </c>
      <c r="G143" s="93" t="s">
        <v>99</v>
      </c>
      <c r="H143" s="94"/>
      <c r="I143" s="184"/>
      <c r="J143" s="196">
        <v>1865</v>
      </c>
      <c r="L143" s="93" t="s">
        <v>99</v>
      </c>
      <c r="M143" s="94"/>
      <c r="N143" s="184"/>
      <c r="O143" s="196">
        <v>2115</v>
      </c>
    </row>
    <row r="144" spans="2:15" ht="15.6" thickTop="1" thickBot="1" x14ac:dyDescent="0.35">
      <c r="E144" s="268"/>
      <c r="J144" s="268"/>
      <c r="O144" s="268"/>
    </row>
    <row r="145" spans="2:15" ht="15.6" thickTop="1" thickBot="1" x14ac:dyDescent="0.35">
      <c r="B145" s="390" t="s">
        <v>92</v>
      </c>
      <c r="C145" s="391"/>
      <c r="D145" s="244" t="s">
        <v>397</v>
      </c>
      <c r="E145" s="111">
        <v>45245</v>
      </c>
      <c r="G145" s="390" t="s">
        <v>92</v>
      </c>
      <c r="H145" s="391"/>
      <c r="I145" s="244" t="s">
        <v>397</v>
      </c>
      <c r="J145" s="111">
        <v>45275</v>
      </c>
      <c r="L145" s="390" t="s">
        <v>92</v>
      </c>
      <c r="M145" s="391"/>
      <c r="N145" s="244" t="s">
        <v>397</v>
      </c>
      <c r="O145" s="111">
        <v>45306</v>
      </c>
    </row>
    <row r="146" spans="2:15" ht="15.6" thickTop="1" thickBot="1" x14ac:dyDescent="0.35">
      <c r="B146" s="392"/>
      <c r="C146" s="393"/>
      <c r="D146" s="244" t="s">
        <v>398</v>
      </c>
      <c r="E146" s="111">
        <v>44788</v>
      </c>
      <c r="G146" s="392"/>
      <c r="H146" s="393"/>
      <c r="I146" s="244" t="s">
        <v>398</v>
      </c>
      <c r="J146" s="111">
        <v>44788</v>
      </c>
      <c r="L146" s="392"/>
      <c r="M146" s="393"/>
      <c r="N146" s="244" t="s">
        <v>398</v>
      </c>
      <c r="O146" s="111">
        <v>44788</v>
      </c>
    </row>
    <row r="147" spans="2:15" ht="15.6" thickTop="1" thickBot="1" x14ac:dyDescent="0.35">
      <c r="B147" s="394"/>
      <c r="C147" s="395"/>
      <c r="D147" s="244" t="s">
        <v>396</v>
      </c>
      <c r="E147" s="111">
        <v>45274</v>
      </c>
      <c r="G147" s="394"/>
      <c r="H147" s="395"/>
      <c r="I147" s="244" t="s">
        <v>396</v>
      </c>
      <c r="J147" s="111">
        <v>45305</v>
      </c>
      <c r="L147" s="394"/>
      <c r="M147" s="395"/>
      <c r="N147" s="244" t="s">
        <v>396</v>
      </c>
      <c r="O147" s="111">
        <v>45336</v>
      </c>
    </row>
    <row r="148" spans="2:15" ht="15.6" thickTop="1" thickBot="1" x14ac:dyDescent="0.35">
      <c r="B148" s="88" t="s">
        <v>91</v>
      </c>
      <c r="C148" s="2"/>
      <c r="D148" s="2"/>
      <c r="E148" s="170">
        <v>2080</v>
      </c>
      <c r="G148" s="88" t="s">
        <v>91</v>
      </c>
      <c r="H148" s="2"/>
      <c r="I148" s="2"/>
      <c r="J148" s="170">
        <v>2210</v>
      </c>
      <c r="L148" s="88" t="s">
        <v>91</v>
      </c>
      <c r="M148" s="2"/>
      <c r="N148" s="2"/>
      <c r="O148" s="170">
        <v>2340</v>
      </c>
    </row>
    <row r="149" spans="2:15" ht="15.6" thickTop="1" thickBot="1" x14ac:dyDescent="0.35">
      <c r="B149" s="89" t="s">
        <v>169</v>
      </c>
      <c r="C149" s="90"/>
      <c r="D149" s="90"/>
      <c r="E149" s="176"/>
      <c r="G149" s="89" t="s">
        <v>169</v>
      </c>
      <c r="H149" s="90"/>
      <c r="I149" s="90"/>
      <c r="J149" s="176"/>
      <c r="L149" s="89" t="s">
        <v>169</v>
      </c>
      <c r="M149" s="90"/>
      <c r="N149" s="90"/>
      <c r="O149" s="176"/>
    </row>
    <row r="150" spans="2:15" ht="15" thickTop="1" x14ac:dyDescent="0.3">
      <c r="B150" s="174" t="s">
        <v>225</v>
      </c>
      <c r="C150" s="2"/>
      <c r="D150" s="2"/>
      <c r="E150" s="169">
        <v>6760</v>
      </c>
      <c r="G150" s="174" t="s">
        <v>225</v>
      </c>
      <c r="H150" s="2"/>
      <c r="I150" s="2"/>
      <c r="J150" s="169">
        <v>6760</v>
      </c>
      <c r="L150" s="174" t="s">
        <v>225</v>
      </c>
      <c r="M150" s="2"/>
      <c r="N150" s="2"/>
      <c r="O150" s="169">
        <v>7360</v>
      </c>
    </row>
    <row r="151" spans="2:15" x14ac:dyDescent="0.3">
      <c r="B151" s="175" t="s">
        <v>226</v>
      </c>
      <c r="C151" s="2"/>
      <c r="D151" s="2"/>
      <c r="E151" s="97">
        <v>100</v>
      </c>
      <c r="G151" s="175" t="s">
        <v>226</v>
      </c>
      <c r="H151" s="2"/>
      <c r="I151" s="2"/>
      <c r="J151" s="97">
        <v>100</v>
      </c>
      <c r="L151" s="175" t="s">
        <v>226</v>
      </c>
      <c r="M151" s="2"/>
      <c r="N151" s="2"/>
      <c r="O151" s="97">
        <v>100</v>
      </c>
    </row>
    <row r="152" spans="2:15" x14ac:dyDescent="0.3">
      <c r="B152" s="88" t="s">
        <v>103</v>
      </c>
      <c r="C152" s="2"/>
      <c r="D152" s="2"/>
      <c r="E152" s="98">
        <v>450</v>
      </c>
      <c r="G152" s="88" t="s">
        <v>103</v>
      </c>
      <c r="H152" s="2"/>
      <c r="I152" s="2"/>
      <c r="J152" s="98">
        <v>0</v>
      </c>
      <c r="L152" s="88" t="s">
        <v>103</v>
      </c>
      <c r="M152" s="2"/>
      <c r="N152" s="2"/>
      <c r="O152" s="98">
        <v>600</v>
      </c>
    </row>
    <row r="153" spans="2:15" x14ac:dyDescent="0.3">
      <c r="B153" s="175" t="s">
        <v>227</v>
      </c>
      <c r="C153" s="2"/>
      <c r="D153" s="2"/>
      <c r="E153" s="177">
        <v>491</v>
      </c>
      <c r="G153" s="175" t="s">
        <v>227</v>
      </c>
      <c r="H153" s="2"/>
      <c r="I153" s="2"/>
      <c r="J153" s="177">
        <v>491</v>
      </c>
      <c r="L153" s="175" t="s">
        <v>227</v>
      </c>
      <c r="M153" s="2"/>
      <c r="N153" s="2"/>
      <c r="O153" s="177">
        <v>521</v>
      </c>
    </row>
    <row r="154" spans="2:15" ht="15" thickBot="1" x14ac:dyDescent="0.35">
      <c r="B154" s="88" t="s">
        <v>105</v>
      </c>
      <c r="C154" s="2"/>
      <c r="D154" s="2"/>
      <c r="E154" s="98">
        <v>36</v>
      </c>
      <c r="G154" s="88" t="s">
        <v>105</v>
      </c>
      <c r="H154" s="2"/>
      <c r="I154" s="2"/>
      <c r="J154" s="98">
        <v>0</v>
      </c>
      <c r="L154" s="88" t="s">
        <v>105</v>
      </c>
      <c r="M154" s="2"/>
      <c r="N154" s="2"/>
      <c r="O154" s="98">
        <v>30</v>
      </c>
    </row>
    <row r="155" spans="2:15" ht="15.6" thickTop="1" thickBot="1" x14ac:dyDescent="0.35">
      <c r="B155" s="178" t="s">
        <v>39</v>
      </c>
      <c r="C155" s="90"/>
      <c r="D155" s="90"/>
      <c r="E155" s="176"/>
      <c r="G155" s="178" t="s">
        <v>39</v>
      </c>
      <c r="H155" s="90"/>
      <c r="I155" s="90"/>
      <c r="J155" s="176"/>
      <c r="L155" s="178" t="s">
        <v>39</v>
      </c>
      <c r="M155" s="90"/>
      <c r="N155" s="90"/>
      <c r="O155" s="176"/>
    </row>
    <row r="156" spans="2:15" ht="15" thickTop="1" x14ac:dyDescent="0.3">
      <c r="B156" s="88" t="s">
        <v>101</v>
      </c>
      <c r="C156" s="2"/>
      <c r="D156" s="2"/>
      <c r="E156" s="97">
        <v>4667.16</v>
      </c>
      <c r="G156" s="88" t="s">
        <v>101</v>
      </c>
      <c r="H156" s="2"/>
      <c r="I156" s="2"/>
      <c r="J156" s="97">
        <v>4799.3</v>
      </c>
      <c r="L156" s="88" t="s">
        <v>101</v>
      </c>
      <c r="M156" s="2"/>
      <c r="N156" s="2"/>
      <c r="O156" s="97">
        <v>5231.4400000000005</v>
      </c>
    </row>
    <row r="157" spans="2:15" x14ac:dyDescent="0.3">
      <c r="B157" s="88" t="s">
        <v>104</v>
      </c>
      <c r="C157" s="2"/>
      <c r="D157" s="2"/>
      <c r="E157" s="98">
        <v>132.16</v>
      </c>
      <c r="G157" s="88" t="s">
        <v>104</v>
      </c>
      <c r="H157" s="2"/>
      <c r="I157" s="2"/>
      <c r="J157" s="98">
        <v>132.13999999999999</v>
      </c>
      <c r="L157" s="88" t="s">
        <v>104</v>
      </c>
      <c r="M157" s="2"/>
      <c r="N157" s="2"/>
      <c r="O157" s="98">
        <v>182.14</v>
      </c>
    </row>
    <row r="158" spans="2:15" ht="15" thickBot="1" x14ac:dyDescent="0.35">
      <c r="B158" s="102" t="s">
        <v>95</v>
      </c>
      <c r="C158" s="101"/>
      <c r="D158" s="92"/>
      <c r="E158" s="100">
        <v>2092.84</v>
      </c>
      <c r="G158" s="102" t="s">
        <v>95</v>
      </c>
      <c r="H158" s="101"/>
      <c r="I158" s="92"/>
      <c r="J158" s="100">
        <v>1960.6999999999998</v>
      </c>
      <c r="L158" s="102" t="s">
        <v>95</v>
      </c>
      <c r="M158" s="101"/>
      <c r="N158" s="92"/>
      <c r="O158" s="100">
        <v>2128.5599999999995</v>
      </c>
    </row>
    <row r="159" spans="2:15" ht="15" thickTop="1" x14ac:dyDescent="0.3">
      <c r="B159" s="88" t="s">
        <v>102</v>
      </c>
      <c r="C159" s="2"/>
      <c r="D159" s="2"/>
      <c r="E159" s="97">
        <v>315</v>
      </c>
      <c r="G159" s="88" t="s">
        <v>102</v>
      </c>
      <c r="H159" s="2"/>
      <c r="I159" s="2"/>
      <c r="J159" s="97">
        <v>360</v>
      </c>
      <c r="L159" s="88" t="s">
        <v>102</v>
      </c>
      <c r="M159" s="2"/>
      <c r="N159" s="2"/>
      <c r="O159" s="97">
        <v>419</v>
      </c>
    </row>
    <row r="160" spans="2:15" x14ac:dyDescent="0.3">
      <c r="B160" s="88" t="s">
        <v>106</v>
      </c>
      <c r="C160" s="2"/>
      <c r="D160" s="2"/>
      <c r="E160" s="98">
        <v>37.5</v>
      </c>
      <c r="G160" s="88" t="s">
        <v>106</v>
      </c>
      <c r="H160" s="2"/>
      <c r="I160" s="2"/>
      <c r="J160" s="98">
        <v>45</v>
      </c>
      <c r="L160" s="88" t="s">
        <v>106</v>
      </c>
      <c r="M160" s="2"/>
      <c r="N160" s="2"/>
      <c r="O160" s="98">
        <v>49</v>
      </c>
    </row>
    <row r="161" spans="2:15" ht="15" thickBot="1" x14ac:dyDescent="0.35">
      <c r="B161" s="102" t="s">
        <v>98</v>
      </c>
      <c r="C161" s="92"/>
      <c r="D161" s="92"/>
      <c r="E161" s="100">
        <v>176</v>
      </c>
      <c r="G161" s="102" t="s">
        <v>98</v>
      </c>
      <c r="H161" s="92"/>
      <c r="I161" s="92"/>
      <c r="J161" s="100">
        <v>131</v>
      </c>
      <c r="L161" s="102" t="s">
        <v>98</v>
      </c>
      <c r="M161" s="92"/>
      <c r="N161" s="92"/>
      <c r="O161" s="100">
        <v>102</v>
      </c>
    </row>
    <row r="162" spans="2:15" ht="15.6" thickTop="1" thickBot="1" x14ac:dyDescent="0.35">
      <c r="B162" s="89" t="s">
        <v>228</v>
      </c>
      <c r="C162" s="179"/>
      <c r="D162" s="90"/>
      <c r="E162" s="183"/>
      <c r="G162" s="89" t="s">
        <v>228</v>
      </c>
      <c r="H162" s="179"/>
      <c r="I162" s="90"/>
      <c r="J162" s="183"/>
      <c r="L162" s="89" t="s">
        <v>228</v>
      </c>
      <c r="M162" s="179"/>
      <c r="N162" s="90"/>
      <c r="O162" s="183"/>
    </row>
    <row r="163" spans="2:15" ht="15" thickTop="1" x14ac:dyDescent="0.3">
      <c r="B163" s="88" t="s">
        <v>295</v>
      </c>
      <c r="C163" s="171"/>
      <c r="D163" s="2"/>
      <c r="E163" s="99">
        <v>11.5</v>
      </c>
      <c r="G163" s="88" t="s">
        <v>295</v>
      </c>
      <c r="H163" s="171"/>
      <c r="I163" s="2"/>
      <c r="J163" s="99">
        <v>11.5</v>
      </c>
      <c r="L163" s="88" t="s">
        <v>295</v>
      </c>
      <c r="M163" s="171"/>
      <c r="N163" s="2"/>
      <c r="O163" s="99">
        <v>11.5</v>
      </c>
    </row>
    <row r="164" spans="2:15" x14ac:dyDescent="0.3">
      <c r="B164" s="88" t="s">
        <v>357</v>
      </c>
      <c r="C164" s="180"/>
      <c r="D164" s="181"/>
      <c r="E164" s="97">
        <v>300</v>
      </c>
      <c r="G164" s="88" t="s">
        <v>357</v>
      </c>
      <c r="H164" s="180"/>
      <c r="I164" s="181"/>
      <c r="J164" s="97">
        <v>300</v>
      </c>
      <c r="L164" s="88" t="s">
        <v>357</v>
      </c>
      <c r="M164" s="180"/>
      <c r="N164" s="181"/>
      <c r="O164" s="97">
        <v>300</v>
      </c>
    </row>
    <row r="165" spans="2:15" x14ac:dyDescent="0.3">
      <c r="B165" s="88" t="s">
        <v>248</v>
      </c>
      <c r="C165" s="180"/>
      <c r="D165" s="181"/>
      <c r="E165" s="97">
        <v>0</v>
      </c>
      <c r="G165" s="88" t="s">
        <v>248</v>
      </c>
      <c r="H165" s="180"/>
      <c r="I165" s="181"/>
      <c r="J165" s="97">
        <v>0</v>
      </c>
      <c r="L165" s="88" t="s">
        <v>248</v>
      </c>
      <c r="M165" s="180"/>
      <c r="N165" s="181"/>
      <c r="O165" s="97">
        <v>10</v>
      </c>
    </row>
    <row r="166" spans="2:15" x14ac:dyDescent="0.3">
      <c r="B166" s="88" t="s">
        <v>93</v>
      </c>
      <c r="C166" s="2"/>
      <c r="D166" s="2"/>
      <c r="E166" s="96">
        <v>2080</v>
      </c>
      <c r="G166" s="88" t="s">
        <v>93</v>
      </c>
      <c r="H166" s="2"/>
      <c r="I166" s="2"/>
      <c r="J166" s="96">
        <v>2210</v>
      </c>
      <c r="L166" s="88" t="s">
        <v>93</v>
      </c>
      <c r="M166" s="2"/>
      <c r="N166" s="2"/>
      <c r="O166" s="96">
        <v>2340</v>
      </c>
    </row>
    <row r="167" spans="2:15" x14ac:dyDescent="0.3">
      <c r="B167" s="88" t="s">
        <v>100</v>
      </c>
      <c r="C167" s="2"/>
      <c r="D167" s="2"/>
      <c r="E167" s="95">
        <v>160</v>
      </c>
      <c r="G167" s="88" t="s">
        <v>100</v>
      </c>
      <c r="H167" s="2"/>
      <c r="I167" s="2"/>
      <c r="J167" s="95">
        <v>170</v>
      </c>
      <c r="L167" s="88" t="s">
        <v>100</v>
      </c>
      <c r="M167" s="2"/>
      <c r="N167" s="2"/>
      <c r="O167" s="95">
        <v>180</v>
      </c>
    </row>
    <row r="168" spans="2:15" x14ac:dyDescent="0.3">
      <c r="B168" s="88" t="s">
        <v>358</v>
      </c>
      <c r="C168" s="2"/>
      <c r="D168" s="2"/>
      <c r="E168" s="96">
        <v>202.5</v>
      </c>
      <c r="G168" s="88" t="s">
        <v>358</v>
      </c>
      <c r="H168" s="2"/>
      <c r="I168" s="2"/>
      <c r="J168" s="96">
        <v>202.5</v>
      </c>
      <c r="L168" s="88" t="s">
        <v>358</v>
      </c>
      <c r="M168" s="2"/>
      <c r="N168" s="2"/>
      <c r="O168" s="96">
        <v>222.5</v>
      </c>
    </row>
    <row r="169" spans="2:15" ht="15" thickBot="1" x14ac:dyDescent="0.35">
      <c r="B169" s="88" t="s">
        <v>96</v>
      </c>
      <c r="C169" s="2"/>
      <c r="D169" s="182"/>
      <c r="E169" s="243">
        <v>13.66</v>
      </c>
      <c r="G169" s="88" t="s">
        <v>96</v>
      </c>
      <c r="H169" s="2"/>
      <c r="I169" s="182"/>
      <c r="J169" s="243">
        <v>320.8</v>
      </c>
      <c r="L169" s="88" t="s">
        <v>96</v>
      </c>
      <c r="M169" s="2"/>
      <c r="N169" s="182"/>
      <c r="O169" s="243">
        <v>331.94</v>
      </c>
    </row>
    <row r="170" spans="2:15" ht="15.6" thickTop="1" thickBot="1" x14ac:dyDescent="0.35">
      <c r="B170" s="93" t="s">
        <v>94</v>
      </c>
      <c r="C170" s="94"/>
      <c r="D170" s="184"/>
      <c r="E170" s="185">
        <v>2282.5</v>
      </c>
      <c r="G170" s="93" t="s">
        <v>94</v>
      </c>
      <c r="H170" s="94"/>
      <c r="I170" s="184"/>
      <c r="J170" s="185">
        <v>2412.5</v>
      </c>
      <c r="L170" s="93" t="s">
        <v>94</v>
      </c>
      <c r="M170" s="94"/>
      <c r="N170" s="184"/>
      <c r="O170" s="185">
        <v>2562.5</v>
      </c>
    </row>
    <row r="171" spans="2:15" ht="15.6" thickTop="1" thickBot="1" x14ac:dyDescent="0.35">
      <c r="B171" s="93" t="s">
        <v>99</v>
      </c>
      <c r="C171" s="94"/>
      <c r="D171" s="184"/>
      <c r="E171" s="196">
        <v>2282.5</v>
      </c>
      <c r="G171" s="93" t="s">
        <v>99</v>
      </c>
      <c r="H171" s="94"/>
      <c r="I171" s="184"/>
      <c r="J171" s="196">
        <v>2412.5</v>
      </c>
      <c r="L171" s="93" t="s">
        <v>99</v>
      </c>
      <c r="M171" s="94"/>
      <c r="N171" s="184"/>
      <c r="O171" s="196">
        <v>2562.4999999999995</v>
      </c>
    </row>
    <row r="172" spans="2:15" ht="15.6" thickTop="1" thickBot="1" x14ac:dyDescent="0.35">
      <c r="E172" s="268"/>
      <c r="J172" s="268"/>
      <c r="O172" s="268"/>
    </row>
    <row r="173" spans="2:15" ht="15.6" thickTop="1" thickBot="1" x14ac:dyDescent="0.35">
      <c r="B173" s="390" t="s">
        <v>92</v>
      </c>
      <c r="C173" s="391"/>
      <c r="D173" s="244" t="s">
        <v>397</v>
      </c>
      <c r="E173" s="111">
        <v>45337</v>
      </c>
      <c r="G173" s="390" t="s">
        <v>92</v>
      </c>
      <c r="H173" s="391"/>
      <c r="I173" s="244" t="s">
        <v>397</v>
      </c>
      <c r="J173" s="111">
        <v>45366</v>
      </c>
      <c r="L173" s="390" t="s">
        <v>92</v>
      </c>
      <c r="M173" s="391"/>
      <c r="N173" s="244" t="s">
        <v>397</v>
      </c>
      <c r="O173" s="111">
        <v>45397</v>
      </c>
    </row>
    <row r="174" spans="2:15" ht="15.6" thickTop="1" thickBot="1" x14ac:dyDescent="0.35">
      <c r="B174" s="392"/>
      <c r="C174" s="393"/>
      <c r="D174" s="244" t="s">
        <v>398</v>
      </c>
      <c r="E174" s="111">
        <v>44788</v>
      </c>
      <c r="G174" s="392"/>
      <c r="H174" s="393"/>
      <c r="I174" s="244" t="s">
        <v>398</v>
      </c>
      <c r="J174" s="111">
        <v>44788</v>
      </c>
      <c r="L174" s="392"/>
      <c r="M174" s="393"/>
      <c r="N174" s="244" t="s">
        <v>398</v>
      </c>
      <c r="O174" s="111">
        <v>44788</v>
      </c>
    </row>
    <row r="175" spans="2:15" ht="15.6" thickTop="1" thickBot="1" x14ac:dyDescent="0.35">
      <c r="B175" s="394"/>
      <c r="C175" s="395"/>
      <c r="D175" s="244" t="s">
        <v>396</v>
      </c>
      <c r="E175" s="111">
        <v>45365</v>
      </c>
      <c r="G175" s="394"/>
      <c r="H175" s="395"/>
      <c r="I175" s="244" t="s">
        <v>396</v>
      </c>
      <c r="J175" s="111">
        <v>45396</v>
      </c>
      <c r="L175" s="394"/>
      <c r="M175" s="395"/>
      <c r="N175" s="244" t="s">
        <v>396</v>
      </c>
      <c r="O175" s="111">
        <v>45426</v>
      </c>
    </row>
    <row r="176" spans="2:15" ht="15.6" thickTop="1" thickBot="1" x14ac:dyDescent="0.35">
      <c r="B176" s="88" t="s">
        <v>91</v>
      </c>
      <c r="C176" s="2"/>
      <c r="D176" s="2"/>
      <c r="E176" s="170">
        <v>2470</v>
      </c>
      <c r="G176" s="88" t="s">
        <v>91</v>
      </c>
      <c r="H176" s="2"/>
      <c r="I176" s="2"/>
      <c r="J176" s="170">
        <v>2600</v>
      </c>
      <c r="L176" s="88" t="s">
        <v>91</v>
      </c>
      <c r="M176" s="2"/>
      <c r="N176" s="2"/>
      <c r="O176" s="170">
        <v>2730</v>
      </c>
    </row>
    <row r="177" spans="2:15" ht="15.6" thickTop="1" thickBot="1" x14ac:dyDescent="0.35">
      <c r="B177" s="89" t="s">
        <v>169</v>
      </c>
      <c r="C177" s="90"/>
      <c r="D177" s="90"/>
      <c r="E177" s="176"/>
      <c r="G177" s="89" t="s">
        <v>169</v>
      </c>
      <c r="H177" s="90"/>
      <c r="I177" s="90"/>
      <c r="J177" s="176"/>
      <c r="L177" s="89" t="s">
        <v>169</v>
      </c>
      <c r="M177" s="90"/>
      <c r="N177" s="90"/>
      <c r="O177" s="176"/>
    </row>
    <row r="178" spans="2:15" ht="15" thickTop="1" x14ac:dyDescent="0.3">
      <c r="B178" s="174" t="s">
        <v>225</v>
      </c>
      <c r="C178" s="2"/>
      <c r="D178" s="2"/>
      <c r="E178" s="169">
        <v>8060</v>
      </c>
      <c r="G178" s="174" t="s">
        <v>225</v>
      </c>
      <c r="H178" s="2"/>
      <c r="I178" s="2"/>
      <c r="J178" s="169">
        <v>10160</v>
      </c>
      <c r="L178" s="174" t="s">
        <v>225</v>
      </c>
      <c r="M178" s="2"/>
      <c r="N178" s="2"/>
      <c r="O178" s="169">
        <v>10310</v>
      </c>
    </row>
    <row r="179" spans="2:15" x14ac:dyDescent="0.3">
      <c r="B179" s="175" t="s">
        <v>226</v>
      </c>
      <c r="C179" s="2"/>
      <c r="D179" s="2"/>
      <c r="E179" s="97">
        <v>100</v>
      </c>
      <c r="G179" s="175" t="s">
        <v>226</v>
      </c>
      <c r="H179" s="2"/>
      <c r="I179" s="2"/>
      <c r="J179" s="97">
        <v>100</v>
      </c>
      <c r="L179" s="175" t="s">
        <v>226</v>
      </c>
      <c r="M179" s="2"/>
      <c r="N179" s="2"/>
      <c r="O179" s="97">
        <v>200</v>
      </c>
    </row>
    <row r="180" spans="2:15" x14ac:dyDescent="0.3">
      <c r="B180" s="88" t="s">
        <v>103</v>
      </c>
      <c r="C180" s="2"/>
      <c r="D180" s="2"/>
      <c r="E180" s="98">
        <v>700</v>
      </c>
      <c r="G180" s="88" t="s">
        <v>103</v>
      </c>
      <c r="H180" s="2"/>
      <c r="I180" s="2"/>
      <c r="J180" s="98">
        <v>2100</v>
      </c>
      <c r="L180" s="88" t="s">
        <v>103</v>
      </c>
      <c r="M180" s="2"/>
      <c r="N180" s="2"/>
      <c r="O180" s="98">
        <v>250</v>
      </c>
    </row>
    <row r="181" spans="2:15" x14ac:dyDescent="0.3">
      <c r="B181" s="175" t="s">
        <v>227</v>
      </c>
      <c r="C181" s="2"/>
      <c r="D181" s="2"/>
      <c r="E181" s="177">
        <v>589</v>
      </c>
      <c r="G181" s="175" t="s">
        <v>227</v>
      </c>
      <c r="H181" s="2"/>
      <c r="I181" s="2"/>
      <c r="J181" s="177">
        <v>975</v>
      </c>
      <c r="L181" s="175" t="s">
        <v>227</v>
      </c>
      <c r="M181" s="2"/>
      <c r="N181" s="2"/>
      <c r="O181" s="177">
        <v>984</v>
      </c>
    </row>
    <row r="182" spans="2:15" ht="15" thickBot="1" x14ac:dyDescent="0.35">
      <c r="B182" s="88" t="s">
        <v>105</v>
      </c>
      <c r="C182" s="2"/>
      <c r="D182" s="2"/>
      <c r="E182" s="98">
        <v>68</v>
      </c>
      <c r="G182" s="88" t="s">
        <v>105</v>
      </c>
      <c r="H182" s="2"/>
      <c r="I182" s="2"/>
      <c r="J182" s="98">
        <v>386</v>
      </c>
      <c r="L182" s="88" t="s">
        <v>105</v>
      </c>
      <c r="M182" s="2"/>
      <c r="N182" s="2"/>
      <c r="O182" s="98">
        <v>9</v>
      </c>
    </row>
    <row r="183" spans="2:15" ht="15.6" thickTop="1" thickBot="1" x14ac:dyDescent="0.35">
      <c r="B183" s="178" t="s">
        <v>39</v>
      </c>
      <c r="C183" s="90"/>
      <c r="D183" s="90"/>
      <c r="E183" s="176"/>
      <c r="G183" s="178" t="s">
        <v>39</v>
      </c>
      <c r="H183" s="90"/>
      <c r="I183" s="90"/>
      <c r="J183" s="176"/>
      <c r="L183" s="178" t="s">
        <v>39</v>
      </c>
      <c r="M183" s="90"/>
      <c r="N183" s="90"/>
      <c r="O183" s="176"/>
    </row>
    <row r="184" spans="2:15" ht="15" thickTop="1" x14ac:dyDescent="0.3">
      <c r="B184" s="88" t="s">
        <v>101</v>
      </c>
      <c r="C184" s="2"/>
      <c r="D184" s="2"/>
      <c r="E184" s="97">
        <v>5888.5800000000008</v>
      </c>
      <c r="G184" s="88" t="s">
        <v>101</v>
      </c>
      <c r="H184" s="2"/>
      <c r="I184" s="2"/>
      <c r="J184" s="97">
        <v>7390.7200000000012</v>
      </c>
      <c r="L184" s="88" t="s">
        <v>101</v>
      </c>
      <c r="M184" s="2"/>
      <c r="N184" s="2"/>
      <c r="O184" s="97">
        <v>7862.8600000000015</v>
      </c>
    </row>
    <row r="185" spans="2:15" x14ac:dyDescent="0.3">
      <c r="B185" s="88" t="s">
        <v>104</v>
      </c>
      <c r="C185" s="2"/>
      <c r="D185" s="2"/>
      <c r="E185" s="98">
        <v>57.14</v>
      </c>
      <c r="G185" s="88" t="s">
        <v>104</v>
      </c>
      <c r="H185" s="2"/>
      <c r="I185" s="2"/>
      <c r="J185" s="98">
        <v>402.14</v>
      </c>
      <c r="L185" s="88" t="s">
        <v>104</v>
      </c>
      <c r="M185" s="2"/>
      <c r="N185" s="2"/>
      <c r="O185" s="98">
        <v>472.14</v>
      </c>
    </row>
    <row r="186" spans="2:15" ht="15" thickBot="1" x14ac:dyDescent="0.35">
      <c r="B186" s="102" t="s">
        <v>95</v>
      </c>
      <c r="C186" s="101"/>
      <c r="D186" s="92"/>
      <c r="E186" s="100">
        <v>2171.4199999999992</v>
      </c>
      <c r="G186" s="102" t="s">
        <v>95</v>
      </c>
      <c r="H186" s="101"/>
      <c r="I186" s="92"/>
      <c r="J186" s="100">
        <v>2769.2799999999988</v>
      </c>
      <c r="L186" s="102" t="s">
        <v>95</v>
      </c>
      <c r="M186" s="101"/>
      <c r="N186" s="92"/>
      <c r="O186" s="100">
        <v>2447.1399999999985</v>
      </c>
    </row>
    <row r="187" spans="2:15" ht="15" thickTop="1" x14ac:dyDescent="0.3">
      <c r="B187" s="88" t="s">
        <v>102</v>
      </c>
      <c r="C187" s="2"/>
      <c r="D187" s="2"/>
      <c r="E187" s="97">
        <v>465</v>
      </c>
      <c r="G187" s="88" t="s">
        <v>102</v>
      </c>
      <c r="H187" s="2"/>
      <c r="I187" s="2"/>
      <c r="J187" s="97">
        <v>519</v>
      </c>
      <c r="L187" s="88" t="s">
        <v>102</v>
      </c>
      <c r="M187" s="2"/>
      <c r="N187" s="2"/>
      <c r="O187" s="97">
        <v>583</v>
      </c>
    </row>
    <row r="188" spans="2:15" x14ac:dyDescent="0.3">
      <c r="B188" s="88" t="s">
        <v>106</v>
      </c>
      <c r="C188" s="2"/>
      <c r="D188" s="2"/>
      <c r="E188" s="98">
        <v>54</v>
      </c>
      <c r="G188" s="88" t="s">
        <v>106</v>
      </c>
      <c r="H188" s="2"/>
      <c r="I188" s="2"/>
      <c r="J188" s="98">
        <v>48</v>
      </c>
      <c r="L188" s="88" t="s">
        <v>106</v>
      </c>
      <c r="M188" s="2"/>
      <c r="N188" s="2"/>
      <c r="O188" s="98">
        <v>64</v>
      </c>
    </row>
    <row r="189" spans="2:15" ht="15" thickBot="1" x14ac:dyDescent="0.35">
      <c r="B189" s="102" t="s">
        <v>98</v>
      </c>
      <c r="C189" s="92"/>
      <c r="D189" s="92"/>
      <c r="E189" s="100">
        <v>124</v>
      </c>
      <c r="G189" s="102" t="s">
        <v>98</v>
      </c>
      <c r="H189" s="92"/>
      <c r="I189" s="92"/>
      <c r="J189" s="100">
        <v>456</v>
      </c>
      <c r="L189" s="102" t="s">
        <v>98</v>
      </c>
      <c r="M189" s="92"/>
      <c r="N189" s="92"/>
      <c r="O189" s="100">
        <v>401</v>
      </c>
    </row>
    <row r="190" spans="2:15" ht="15.6" thickTop="1" thickBot="1" x14ac:dyDescent="0.35">
      <c r="B190" s="89" t="s">
        <v>228</v>
      </c>
      <c r="C190" s="179"/>
      <c r="D190" s="90"/>
      <c r="E190" s="183"/>
      <c r="G190" s="89" t="s">
        <v>228</v>
      </c>
      <c r="H190" s="179"/>
      <c r="I190" s="90"/>
      <c r="J190" s="183"/>
      <c r="L190" s="89" t="s">
        <v>228</v>
      </c>
      <c r="M190" s="179"/>
      <c r="N190" s="90"/>
      <c r="O190" s="183"/>
    </row>
    <row r="191" spans="2:15" ht="15" thickTop="1" x14ac:dyDescent="0.3">
      <c r="B191" s="88" t="s">
        <v>295</v>
      </c>
      <c r="C191" s="171"/>
      <c r="D191" s="2"/>
      <c r="E191" s="99">
        <v>19.5</v>
      </c>
      <c r="G191" s="88" t="s">
        <v>295</v>
      </c>
      <c r="H191" s="171"/>
      <c r="I191" s="2"/>
      <c r="J191" s="99">
        <v>19.5</v>
      </c>
      <c r="L191" s="88" t="s">
        <v>295</v>
      </c>
      <c r="M191" s="171"/>
      <c r="N191" s="2"/>
      <c r="O191" s="99">
        <v>19.5</v>
      </c>
    </row>
    <row r="192" spans="2:15" x14ac:dyDescent="0.3">
      <c r="B192" s="88" t="s">
        <v>357</v>
      </c>
      <c r="C192" s="180"/>
      <c r="D192" s="181"/>
      <c r="E192" s="97">
        <v>300</v>
      </c>
      <c r="G192" s="88" t="s">
        <v>357</v>
      </c>
      <c r="H192" s="180"/>
      <c r="I192" s="181"/>
      <c r="J192" s="97">
        <v>300</v>
      </c>
      <c r="L192" s="88" t="s">
        <v>357</v>
      </c>
      <c r="M192" s="180"/>
      <c r="N192" s="181"/>
      <c r="O192" s="97">
        <v>400</v>
      </c>
    </row>
    <row r="193" spans="2:15" x14ac:dyDescent="0.3">
      <c r="B193" s="88" t="s">
        <v>248</v>
      </c>
      <c r="C193" s="180"/>
      <c r="D193" s="181"/>
      <c r="E193" s="97">
        <v>10</v>
      </c>
      <c r="G193" s="88" t="s">
        <v>248</v>
      </c>
      <c r="H193" s="180"/>
      <c r="I193" s="181"/>
      <c r="J193" s="97">
        <v>16</v>
      </c>
      <c r="L193" s="88" t="s">
        <v>248</v>
      </c>
      <c r="M193" s="180"/>
      <c r="N193" s="181"/>
      <c r="O193" s="97">
        <v>16</v>
      </c>
    </row>
    <row r="194" spans="2:15" x14ac:dyDescent="0.3">
      <c r="B194" s="88" t="s">
        <v>93</v>
      </c>
      <c r="C194" s="2"/>
      <c r="D194" s="2"/>
      <c r="E194" s="96">
        <v>2470</v>
      </c>
      <c r="G194" s="88" t="s">
        <v>93</v>
      </c>
      <c r="H194" s="2"/>
      <c r="I194" s="2"/>
      <c r="J194" s="96">
        <v>2600</v>
      </c>
      <c r="L194" s="88" t="s">
        <v>93</v>
      </c>
      <c r="M194" s="2"/>
      <c r="N194" s="2"/>
      <c r="O194" s="96">
        <v>2730</v>
      </c>
    </row>
    <row r="195" spans="2:15" x14ac:dyDescent="0.3">
      <c r="B195" s="88" t="s">
        <v>100</v>
      </c>
      <c r="C195" s="2"/>
      <c r="D195" s="2"/>
      <c r="E195" s="95">
        <v>190</v>
      </c>
      <c r="G195" s="88" t="s">
        <v>100</v>
      </c>
      <c r="H195" s="2"/>
      <c r="I195" s="2"/>
      <c r="J195" s="95">
        <v>200</v>
      </c>
      <c r="L195" s="88" t="s">
        <v>100</v>
      </c>
      <c r="M195" s="2"/>
      <c r="N195" s="2"/>
      <c r="O195" s="95">
        <v>210</v>
      </c>
    </row>
    <row r="196" spans="2:15" x14ac:dyDescent="0.3">
      <c r="B196" s="88" t="s">
        <v>358</v>
      </c>
      <c r="C196" s="2"/>
      <c r="D196" s="2"/>
      <c r="E196" s="96">
        <v>298.5</v>
      </c>
      <c r="G196" s="88" t="s">
        <v>358</v>
      </c>
      <c r="H196" s="2"/>
      <c r="I196" s="2"/>
      <c r="J196" s="96">
        <v>678.5</v>
      </c>
      <c r="L196" s="88" t="s">
        <v>358</v>
      </c>
      <c r="M196" s="2"/>
      <c r="N196" s="2"/>
      <c r="O196" s="96">
        <v>587.5</v>
      </c>
    </row>
    <row r="197" spans="2:15" ht="15" thickBot="1" x14ac:dyDescent="0.35">
      <c r="B197" s="88" t="s">
        <v>96</v>
      </c>
      <c r="C197" s="2"/>
      <c r="D197" s="182"/>
      <c r="E197" s="243">
        <v>473.08</v>
      </c>
      <c r="G197" s="88" t="s">
        <v>96</v>
      </c>
      <c r="H197" s="2"/>
      <c r="I197" s="182"/>
      <c r="J197" s="243">
        <v>53.22</v>
      </c>
      <c r="L197" s="88" t="s">
        <v>96</v>
      </c>
      <c r="M197" s="2"/>
      <c r="N197" s="182"/>
      <c r="O197" s="243">
        <v>469.36</v>
      </c>
    </row>
    <row r="198" spans="2:15" ht="15.6" thickTop="1" thickBot="1" x14ac:dyDescent="0.35">
      <c r="B198" s="93" t="s">
        <v>94</v>
      </c>
      <c r="C198" s="94"/>
      <c r="D198" s="184"/>
      <c r="E198" s="185">
        <v>2768.5</v>
      </c>
      <c r="G198" s="93" t="s">
        <v>94</v>
      </c>
      <c r="H198" s="94"/>
      <c r="I198" s="184"/>
      <c r="J198" s="185">
        <v>3278.5</v>
      </c>
      <c r="L198" s="93" t="s">
        <v>94</v>
      </c>
      <c r="M198" s="94"/>
      <c r="N198" s="184"/>
      <c r="O198" s="185">
        <v>3317.5</v>
      </c>
    </row>
    <row r="199" spans="2:15" ht="15.6" thickTop="1" thickBot="1" x14ac:dyDescent="0.35">
      <c r="B199" s="93" t="s">
        <v>99</v>
      </c>
      <c r="C199" s="94"/>
      <c r="D199" s="184"/>
      <c r="E199" s="196">
        <v>2768.4999999999991</v>
      </c>
      <c r="G199" s="93" t="s">
        <v>99</v>
      </c>
      <c r="H199" s="94"/>
      <c r="I199" s="184"/>
      <c r="J199" s="196">
        <v>3278.4999999999986</v>
      </c>
      <c r="L199" s="93" t="s">
        <v>99</v>
      </c>
      <c r="M199" s="94"/>
      <c r="N199" s="184"/>
      <c r="O199" s="196">
        <v>3317.4999999999986</v>
      </c>
    </row>
    <row r="200" spans="2:15" ht="15.6" thickTop="1" thickBot="1" x14ac:dyDescent="0.35">
      <c r="E200" s="268"/>
      <c r="J200" s="268"/>
      <c r="O200" s="268"/>
    </row>
    <row r="201" spans="2:15" ht="15.6" thickTop="1" thickBot="1" x14ac:dyDescent="0.35">
      <c r="B201" s="390" t="s">
        <v>92</v>
      </c>
      <c r="C201" s="391"/>
      <c r="D201" s="244" t="s">
        <v>397</v>
      </c>
      <c r="E201" s="111">
        <v>45427</v>
      </c>
      <c r="G201" s="390" t="s">
        <v>92</v>
      </c>
      <c r="H201" s="391"/>
      <c r="I201" s="244" t="s">
        <v>397</v>
      </c>
      <c r="J201" s="111">
        <v>45458</v>
      </c>
      <c r="L201" s="390" t="s">
        <v>92</v>
      </c>
      <c r="M201" s="391"/>
      <c r="N201" s="244" t="s">
        <v>397</v>
      </c>
      <c r="O201" s="111">
        <v>45488</v>
      </c>
    </row>
    <row r="202" spans="2:15" ht="15.6" thickTop="1" thickBot="1" x14ac:dyDescent="0.35">
      <c r="B202" s="392"/>
      <c r="C202" s="393"/>
      <c r="D202" s="244" t="s">
        <v>398</v>
      </c>
      <c r="E202" s="111">
        <v>44788</v>
      </c>
      <c r="G202" s="392"/>
      <c r="H202" s="393"/>
      <c r="I202" s="244" t="s">
        <v>398</v>
      </c>
      <c r="J202" s="111">
        <v>44788</v>
      </c>
      <c r="L202" s="392"/>
      <c r="M202" s="393"/>
      <c r="N202" s="244" t="s">
        <v>398</v>
      </c>
      <c r="O202" s="111">
        <v>44788</v>
      </c>
    </row>
    <row r="203" spans="2:15" ht="15.6" thickTop="1" thickBot="1" x14ac:dyDescent="0.35">
      <c r="B203" s="394"/>
      <c r="C203" s="395"/>
      <c r="D203" s="244" t="s">
        <v>396</v>
      </c>
      <c r="E203" s="111">
        <v>45457</v>
      </c>
      <c r="G203" s="394"/>
      <c r="H203" s="395"/>
      <c r="I203" s="244" t="s">
        <v>396</v>
      </c>
      <c r="J203" s="111">
        <v>45487</v>
      </c>
      <c r="L203" s="394"/>
      <c r="M203" s="395"/>
      <c r="N203" s="244" t="s">
        <v>396</v>
      </c>
      <c r="O203" s="111">
        <v>45518</v>
      </c>
    </row>
    <row r="204" spans="2:15" ht="15.6" thickTop="1" thickBot="1" x14ac:dyDescent="0.35">
      <c r="B204" s="88" t="s">
        <v>91</v>
      </c>
      <c r="C204" s="2"/>
      <c r="D204" s="2"/>
      <c r="E204" s="170">
        <v>2860</v>
      </c>
      <c r="G204" s="88" t="s">
        <v>91</v>
      </c>
      <c r="H204" s="2"/>
      <c r="I204" s="2"/>
      <c r="J204" s="170">
        <v>2990</v>
      </c>
      <c r="L204" s="88" t="s">
        <v>91</v>
      </c>
      <c r="M204" s="2"/>
      <c r="N204" s="2"/>
      <c r="O204" s="170">
        <v>3120</v>
      </c>
    </row>
    <row r="205" spans="2:15" ht="15.6" thickTop="1" thickBot="1" x14ac:dyDescent="0.35">
      <c r="B205" s="89" t="s">
        <v>169</v>
      </c>
      <c r="C205" s="90"/>
      <c r="D205" s="90"/>
      <c r="E205" s="176"/>
      <c r="G205" s="89" t="s">
        <v>169</v>
      </c>
      <c r="H205" s="90"/>
      <c r="I205" s="90"/>
      <c r="J205" s="176"/>
      <c r="L205" s="89" t="s">
        <v>169</v>
      </c>
      <c r="M205" s="90"/>
      <c r="N205" s="90"/>
      <c r="O205" s="176"/>
    </row>
    <row r="206" spans="2:15" ht="15" thickTop="1" x14ac:dyDescent="0.3">
      <c r="B206" s="174" t="s">
        <v>225</v>
      </c>
      <c r="C206" s="2"/>
      <c r="D206" s="2"/>
      <c r="E206" s="169">
        <v>11310</v>
      </c>
      <c r="G206" s="174" t="s">
        <v>225</v>
      </c>
      <c r="H206" s="2"/>
      <c r="I206" s="2"/>
      <c r="J206" s="169">
        <v>12310</v>
      </c>
      <c r="L206" s="174" t="s">
        <v>225</v>
      </c>
      <c r="M206" s="2"/>
      <c r="N206" s="2"/>
      <c r="O206" s="169">
        <v>13310</v>
      </c>
    </row>
    <row r="207" spans="2:15" x14ac:dyDescent="0.3">
      <c r="B207" s="175" t="s">
        <v>226</v>
      </c>
      <c r="C207" s="2"/>
      <c r="D207" s="2"/>
      <c r="E207" s="97">
        <v>200</v>
      </c>
      <c r="G207" s="175" t="s">
        <v>226</v>
      </c>
      <c r="H207" s="2"/>
      <c r="I207" s="2"/>
      <c r="J207" s="97">
        <v>200</v>
      </c>
      <c r="L207" s="175" t="s">
        <v>226</v>
      </c>
      <c r="M207" s="2"/>
      <c r="N207" s="2"/>
      <c r="O207" s="97">
        <v>200</v>
      </c>
    </row>
    <row r="208" spans="2:15" x14ac:dyDescent="0.3">
      <c r="B208" s="88" t="s">
        <v>103</v>
      </c>
      <c r="C208" s="2"/>
      <c r="D208" s="2"/>
      <c r="E208" s="98">
        <v>1000</v>
      </c>
      <c r="G208" s="88" t="s">
        <v>103</v>
      </c>
      <c r="H208" s="2"/>
      <c r="I208" s="2"/>
      <c r="J208" s="98">
        <v>1000</v>
      </c>
      <c r="L208" s="88" t="s">
        <v>103</v>
      </c>
      <c r="M208" s="2"/>
      <c r="N208" s="2"/>
      <c r="O208" s="98">
        <v>1000</v>
      </c>
    </row>
    <row r="209" spans="2:15" x14ac:dyDescent="0.3">
      <c r="B209" s="175" t="s">
        <v>227</v>
      </c>
      <c r="C209" s="2"/>
      <c r="D209" s="2"/>
      <c r="E209" s="177">
        <v>1100</v>
      </c>
      <c r="G209" s="175" t="s">
        <v>227</v>
      </c>
      <c r="H209" s="2"/>
      <c r="I209" s="2"/>
      <c r="J209" s="177">
        <v>1188</v>
      </c>
      <c r="L209" s="175" t="s">
        <v>227</v>
      </c>
      <c r="M209" s="2"/>
      <c r="N209" s="2"/>
      <c r="O209" s="177">
        <v>1358</v>
      </c>
    </row>
    <row r="210" spans="2:15" ht="15" thickBot="1" x14ac:dyDescent="0.35">
      <c r="B210" s="88" t="s">
        <v>105</v>
      </c>
      <c r="C210" s="2"/>
      <c r="D210" s="2"/>
      <c r="E210" s="98">
        <v>116</v>
      </c>
      <c r="G210" s="88" t="s">
        <v>105</v>
      </c>
      <c r="H210" s="2"/>
      <c r="I210" s="2"/>
      <c r="J210" s="98">
        <v>88</v>
      </c>
      <c r="L210" s="88" t="s">
        <v>105</v>
      </c>
      <c r="M210" s="2"/>
      <c r="N210" s="2"/>
      <c r="O210" s="98">
        <v>170</v>
      </c>
    </row>
    <row r="211" spans="2:15" ht="15.6" thickTop="1" thickBot="1" x14ac:dyDescent="0.35">
      <c r="B211" s="178" t="s">
        <v>39</v>
      </c>
      <c r="C211" s="90"/>
      <c r="D211" s="90"/>
      <c r="E211" s="176"/>
      <c r="G211" s="178" t="s">
        <v>39</v>
      </c>
      <c r="H211" s="90"/>
      <c r="I211" s="90"/>
      <c r="J211" s="176"/>
      <c r="L211" s="178" t="s">
        <v>39</v>
      </c>
      <c r="M211" s="90"/>
      <c r="N211" s="90"/>
      <c r="O211" s="176"/>
    </row>
    <row r="212" spans="2:15" ht="15" thickTop="1" x14ac:dyDescent="0.3">
      <c r="B212" s="88" t="s">
        <v>101</v>
      </c>
      <c r="C212" s="2"/>
      <c r="D212" s="2"/>
      <c r="E212" s="97">
        <v>8335.0000000000018</v>
      </c>
      <c r="G212" s="88" t="s">
        <v>101</v>
      </c>
      <c r="H212" s="2"/>
      <c r="I212" s="2"/>
      <c r="J212" s="97">
        <v>9035.7400000000016</v>
      </c>
      <c r="L212" s="88" t="s">
        <v>101</v>
      </c>
      <c r="M212" s="2"/>
      <c r="N212" s="2"/>
      <c r="O212" s="97">
        <v>9901.4500000000007</v>
      </c>
    </row>
    <row r="213" spans="2:15" x14ac:dyDescent="0.3">
      <c r="B213" s="88" t="s">
        <v>104</v>
      </c>
      <c r="C213" s="2"/>
      <c r="D213" s="2"/>
      <c r="E213" s="98">
        <v>472.14</v>
      </c>
      <c r="G213" s="88" t="s">
        <v>104</v>
      </c>
      <c r="H213" s="2"/>
      <c r="I213" s="2"/>
      <c r="J213" s="98">
        <v>500.74</v>
      </c>
      <c r="L213" s="88" t="s">
        <v>104</v>
      </c>
      <c r="M213" s="2"/>
      <c r="N213" s="2"/>
      <c r="O213" s="98">
        <v>865.71</v>
      </c>
    </row>
    <row r="214" spans="2:15" ht="15" thickBot="1" x14ac:dyDescent="0.35">
      <c r="B214" s="102" t="s">
        <v>95</v>
      </c>
      <c r="C214" s="101"/>
      <c r="D214" s="92"/>
      <c r="E214" s="100">
        <v>2974.9999999999982</v>
      </c>
      <c r="G214" s="102" t="s">
        <v>95</v>
      </c>
      <c r="H214" s="101"/>
      <c r="I214" s="92"/>
      <c r="J214" s="100">
        <v>3274.2599999999984</v>
      </c>
      <c r="L214" s="102" t="s">
        <v>95</v>
      </c>
      <c r="M214" s="101"/>
      <c r="N214" s="92"/>
      <c r="O214" s="100">
        <v>3408.5499999999993</v>
      </c>
    </row>
    <row r="215" spans="2:15" ht="15" thickTop="1" x14ac:dyDescent="0.3">
      <c r="B215" s="88" t="s">
        <v>102</v>
      </c>
      <c r="C215" s="2"/>
      <c r="D215" s="2"/>
      <c r="E215" s="97">
        <v>647</v>
      </c>
      <c r="G215" s="88" t="s">
        <v>102</v>
      </c>
      <c r="H215" s="2"/>
      <c r="I215" s="2"/>
      <c r="J215" s="97">
        <v>731</v>
      </c>
      <c r="L215" s="88" t="s">
        <v>102</v>
      </c>
      <c r="M215" s="2"/>
      <c r="N215" s="2"/>
      <c r="O215" s="97">
        <v>826</v>
      </c>
    </row>
    <row r="216" spans="2:15" x14ac:dyDescent="0.3">
      <c r="B216" s="88" t="s">
        <v>106</v>
      </c>
      <c r="C216" s="2"/>
      <c r="D216" s="2"/>
      <c r="E216" s="98">
        <v>68</v>
      </c>
      <c r="G216" s="88" t="s">
        <v>106</v>
      </c>
      <c r="H216" s="2"/>
      <c r="I216" s="2"/>
      <c r="J216" s="98">
        <v>76</v>
      </c>
      <c r="L216" s="88" t="s">
        <v>106</v>
      </c>
      <c r="M216" s="2"/>
      <c r="N216" s="2"/>
      <c r="O216" s="98">
        <v>95</v>
      </c>
    </row>
    <row r="217" spans="2:15" ht="15" thickBot="1" x14ac:dyDescent="0.35">
      <c r="B217" s="102" t="s">
        <v>98</v>
      </c>
      <c r="C217" s="92"/>
      <c r="D217" s="92"/>
      <c r="E217" s="100">
        <v>453</v>
      </c>
      <c r="G217" s="102" t="s">
        <v>98</v>
      </c>
      <c r="H217" s="92"/>
      <c r="I217" s="92"/>
      <c r="J217" s="100">
        <v>457</v>
      </c>
      <c r="L217" s="102" t="s">
        <v>98</v>
      </c>
      <c r="M217" s="92"/>
      <c r="N217" s="92"/>
      <c r="O217" s="100">
        <v>532</v>
      </c>
    </row>
    <row r="218" spans="2:15" ht="15.6" thickTop="1" thickBot="1" x14ac:dyDescent="0.35">
      <c r="B218" s="89" t="s">
        <v>228</v>
      </c>
      <c r="C218" s="179"/>
      <c r="D218" s="90"/>
      <c r="E218" s="183"/>
      <c r="G218" s="89" t="s">
        <v>228</v>
      </c>
      <c r="H218" s="179"/>
      <c r="I218" s="90"/>
      <c r="J218" s="183"/>
      <c r="L218" s="89" t="s">
        <v>228</v>
      </c>
      <c r="M218" s="179"/>
      <c r="N218" s="90"/>
      <c r="O218" s="183"/>
    </row>
    <row r="219" spans="2:15" ht="15" thickTop="1" x14ac:dyDescent="0.3">
      <c r="B219" s="88" t="s">
        <v>295</v>
      </c>
      <c r="C219" s="171"/>
      <c r="D219" s="2"/>
      <c r="E219" s="99">
        <v>23.5</v>
      </c>
      <c r="G219" s="88" t="s">
        <v>295</v>
      </c>
      <c r="H219" s="171"/>
      <c r="I219" s="2"/>
      <c r="J219" s="99">
        <v>23.5</v>
      </c>
      <c r="L219" s="88" t="s">
        <v>295</v>
      </c>
      <c r="M219" s="171"/>
      <c r="N219" s="2"/>
      <c r="O219" s="99">
        <v>23.5</v>
      </c>
    </row>
    <row r="220" spans="2:15" x14ac:dyDescent="0.3">
      <c r="B220" s="88" t="s">
        <v>357</v>
      </c>
      <c r="C220" s="180"/>
      <c r="D220" s="181"/>
      <c r="E220" s="97">
        <v>400</v>
      </c>
      <c r="G220" s="88" t="s">
        <v>357</v>
      </c>
      <c r="H220" s="180"/>
      <c r="I220" s="181"/>
      <c r="J220" s="97">
        <v>400</v>
      </c>
      <c r="L220" s="88" t="s">
        <v>357</v>
      </c>
      <c r="M220" s="180"/>
      <c r="N220" s="181"/>
      <c r="O220" s="97">
        <v>400</v>
      </c>
    </row>
    <row r="221" spans="2:15" x14ac:dyDescent="0.3">
      <c r="B221" s="88" t="s">
        <v>248</v>
      </c>
      <c r="C221" s="180"/>
      <c r="D221" s="181"/>
      <c r="E221" s="97">
        <v>16</v>
      </c>
      <c r="G221" s="88" t="s">
        <v>248</v>
      </c>
      <c r="H221" s="180"/>
      <c r="I221" s="181"/>
      <c r="J221" s="97">
        <v>24</v>
      </c>
      <c r="L221" s="88" t="s">
        <v>248</v>
      </c>
      <c r="M221" s="180"/>
      <c r="N221" s="181"/>
      <c r="O221" s="97">
        <v>24</v>
      </c>
    </row>
    <row r="222" spans="2:15" x14ac:dyDescent="0.3">
      <c r="B222" s="88" t="s">
        <v>93</v>
      </c>
      <c r="C222" s="2"/>
      <c r="D222" s="2"/>
      <c r="E222" s="96">
        <v>2860</v>
      </c>
      <c r="G222" s="88" t="s">
        <v>93</v>
      </c>
      <c r="H222" s="2"/>
      <c r="I222" s="2"/>
      <c r="J222" s="96">
        <v>2990</v>
      </c>
      <c r="L222" s="88" t="s">
        <v>93</v>
      </c>
      <c r="M222" s="2"/>
      <c r="N222" s="2"/>
      <c r="O222" s="96">
        <v>3120</v>
      </c>
    </row>
    <row r="223" spans="2:15" x14ac:dyDescent="0.3">
      <c r="B223" s="88" t="s">
        <v>100</v>
      </c>
      <c r="C223" s="2"/>
      <c r="D223" s="2"/>
      <c r="E223" s="95">
        <v>220</v>
      </c>
      <c r="G223" s="88" t="s">
        <v>100</v>
      </c>
      <c r="H223" s="2"/>
      <c r="I223" s="2"/>
      <c r="J223" s="95">
        <v>230</v>
      </c>
      <c r="L223" s="88" t="s">
        <v>100</v>
      </c>
      <c r="M223" s="2"/>
      <c r="N223" s="2"/>
      <c r="O223" s="95">
        <v>240</v>
      </c>
    </row>
    <row r="224" spans="2:15" x14ac:dyDescent="0.3">
      <c r="B224" s="88" t="s">
        <v>358</v>
      </c>
      <c r="C224" s="2"/>
      <c r="D224" s="2"/>
      <c r="E224" s="96">
        <v>707.5</v>
      </c>
      <c r="G224" s="88" t="s">
        <v>358</v>
      </c>
      <c r="H224" s="2"/>
      <c r="I224" s="2"/>
      <c r="J224" s="96">
        <v>787.5</v>
      </c>
      <c r="L224" s="88" t="s">
        <v>358</v>
      </c>
      <c r="M224" s="2"/>
      <c r="N224" s="2"/>
      <c r="O224" s="96">
        <v>957.5</v>
      </c>
    </row>
    <row r="225" spans="2:15" ht="15" thickBot="1" x14ac:dyDescent="0.35">
      <c r="B225" s="88" t="s">
        <v>96</v>
      </c>
      <c r="C225" s="2"/>
      <c r="D225" s="182"/>
      <c r="E225" s="243">
        <v>139.5</v>
      </c>
      <c r="G225" s="88" t="s">
        <v>96</v>
      </c>
      <c r="H225" s="2"/>
      <c r="I225" s="182"/>
      <c r="J225" s="243">
        <v>46.24</v>
      </c>
      <c r="L225" s="88" t="s">
        <v>96</v>
      </c>
      <c r="M225" s="2"/>
      <c r="N225" s="182"/>
      <c r="O225" s="243">
        <v>136.94999999999999</v>
      </c>
    </row>
    <row r="226" spans="2:15" ht="15.6" thickTop="1" thickBot="1" x14ac:dyDescent="0.35">
      <c r="B226" s="93" t="s">
        <v>94</v>
      </c>
      <c r="C226" s="94"/>
      <c r="D226" s="184"/>
      <c r="E226" s="185">
        <v>3567.5</v>
      </c>
      <c r="G226" s="93" t="s">
        <v>94</v>
      </c>
      <c r="H226" s="94"/>
      <c r="I226" s="184"/>
      <c r="J226" s="185">
        <v>3777.5</v>
      </c>
      <c r="L226" s="93" t="s">
        <v>94</v>
      </c>
      <c r="M226" s="94"/>
      <c r="N226" s="184"/>
      <c r="O226" s="185">
        <v>4077.5</v>
      </c>
    </row>
    <row r="227" spans="2:15" ht="15.6" thickTop="1" thickBot="1" x14ac:dyDescent="0.35">
      <c r="B227" s="93" t="s">
        <v>99</v>
      </c>
      <c r="C227" s="94"/>
      <c r="D227" s="184"/>
      <c r="E227" s="196">
        <v>3567.4999999999982</v>
      </c>
      <c r="G227" s="93" t="s">
        <v>99</v>
      </c>
      <c r="H227" s="94"/>
      <c r="I227" s="184"/>
      <c r="J227" s="196">
        <v>3777.4999999999982</v>
      </c>
      <c r="L227" s="93" t="s">
        <v>99</v>
      </c>
      <c r="M227" s="94"/>
      <c r="N227" s="184"/>
      <c r="O227" s="196">
        <v>4077.4999999999991</v>
      </c>
    </row>
    <row r="228" spans="2:15" ht="15.6" thickTop="1" thickBot="1" x14ac:dyDescent="0.35">
      <c r="E228" s="268"/>
      <c r="J228" s="268"/>
      <c r="O228" s="268"/>
    </row>
    <row r="229" spans="2:15" ht="15.6" thickTop="1" thickBot="1" x14ac:dyDescent="0.35">
      <c r="B229" s="390" t="s">
        <v>92</v>
      </c>
      <c r="C229" s="391"/>
      <c r="D229" s="244" t="s">
        <v>397</v>
      </c>
      <c r="E229" s="111">
        <v>45519</v>
      </c>
      <c r="G229" s="390" t="s">
        <v>92</v>
      </c>
      <c r="H229" s="391"/>
      <c r="I229" s="244" t="s">
        <v>397</v>
      </c>
      <c r="J229" s="111">
        <v>45550</v>
      </c>
      <c r="L229" s="390" t="s">
        <v>92</v>
      </c>
      <c r="M229" s="391"/>
      <c r="N229" s="244" t="s">
        <v>397</v>
      </c>
      <c r="O229" s="111">
        <v>45580</v>
      </c>
    </row>
    <row r="230" spans="2:15" ht="15.6" thickTop="1" thickBot="1" x14ac:dyDescent="0.35">
      <c r="B230" s="392"/>
      <c r="C230" s="393"/>
      <c r="D230" s="244" t="s">
        <v>398</v>
      </c>
      <c r="E230" s="111">
        <v>44788</v>
      </c>
      <c r="G230" s="392"/>
      <c r="H230" s="393"/>
      <c r="I230" s="244" t="s">
        <v>398</v>
      </c>
      <c r="J230" s="111">
        <v>44788</v>
      </c>
      <c r="L230" s="392"/>
      <c r="M230" s="393"/>
      <c r="N230" s="244" t="s">
        <v>398</v>
      </c>
      <c r="O230" s="111">
        <v>44788</v>
      </c>
    </row>
    <row r="231" spans="2:15" ht="15.6" thickTop="1" thickBot="1" x14ac:dyDescent="0.35">
      <c r="B231" s="394"/>
      <c r="C231" s="395"/>
      <c r="D231" s="244" t="s">
        <v>396</v>
      </c>
      <c r="E231" s="111">
        <v>45549</v>
      </c>
      <c r="G231" s="394"/>
      <c r="H231" s="395"/>
      <c r="I231" s="244" t="s">
        <v>396</v>
      </c>
      <c r="J231" s="111">
        <v>45579</v>
      </c>
      <c r="L231" s="394"/>
      <c r="M231" s="395"/>
      <c r="N231" s="244" t="s">
        <v>396</v>
      </c>
      <c r="O231" s="111">
        <v>45610</v>
      </c>
    </row>
    <row r="232" spans="2:15" ht="15.6" thickTop="1" thickBot="1" x14ac:dyDescent="0.35">
      <c r="B232" s="88" t="s">
        <v>91</v>
      </c>
      <c r="C232" s="2"/>
      <c r="D232" s="2"/>
      <c r="E232" s="170">
        <v>3250</v>
      </c>
      <c r="G232" s="88" t="s">
        <v>91</v>
      </c>
      <c r="H232" s="2"/>
      <c r="I232" s="2"/>
      <c r="J232" s="170">
        <v>3380</v>
      </c>
      <c r="L232" s="88" t="s">
        <v>91</v>
      </c>
      <c r="M232" s="2"/>
      <c r="N232" s="2"/>
      <c r="O232" s="170">
        <v>3510</v>
      </c>
    </row>
    <row r="233" spans="2:15" ht="15.6" thickTop="1" thickBot="1" x14ac:dyDescent="0.35">
      <c r="B233" s="89" t="s">
        <v>169</v>
      </c>
      <c r="C233" s="90"/>
      <c r="D233" s="90"/>
      <c r="E233" s="176"/>
      <c r="G233" s="89" t="s">
        <v>169</v>
      </c>
      <c r="H233" s="90"/>
      <c r="I233" s="90"/>
      <c r="J233" s="176"/>
      <c r="L233" s="89" t="s">
        <v>169</v>
      </c>
      <c r="M233" s="90"/>
      <c r="N233" s="90"/>
      <c r="O233" s="176"/>
    </row>
    <row r="234" spans="2:15" ht="15" thickTop="1" x14ac:dyDescent="0.3">
      <c r="B234" s="174" t="s">
        <v>225</v>
      </c>
      <c r="C234" s="2"/>
      <c r="D234" s="2"/>
      <c r="E234" s="169">
        <v>14210</v>
      </c>
      <c r="G234" s="174" t="s">
        <v>225</v>
      </c>
      <c r="H234" s="2"/>
      <c r="I234" s="2"/>
      <c r="J234" s="169">
        <v>14610</v>
      </c>
      <c r="L234" s="174" t="s">
        <v>225</v>
      </c>
      <c r="M234" s="2"/>
      <c r="N234" s="2"/>
      <c r="O234" s="169">
        <v>15610</v>
      </c>
    </row>
    <row r="235" spans="2:15" x14ac:dyDescent="0.3">
      <c r="B235" s="175" t="s">
        <v>226</v>
      </c>
      <c r="C235" s="2"/>
      <c r="D235" s="2"/>
      <c r="E235" s="97">
        <v>200</v>
      </c>
      <c r="G235" s="175" t="s">
        <v>226</v>
      </c>
      <c r="H235" s="2"/>
      <c r="I235" s="2"/>
      <c r="J235" s="97">
        <v>460</v>
      </c>
      <c r="L235" s="175" t="s">
        <v>226</v>
      </c>
      <c r="M235" s="2"/>
      <c r="N235" s="2"/>
      <c r="O235" s="97">
        <v>460</v>
      </c>
    </row>
    <row r="236" spans="2:15" x14ac:dyDescent="0.3">
      <c r="B236" s="88" t="s">
        <v>103</v>
      </c>
      <c r="C236" s="2"/>
      <c r="D236" s="2"/>
      <c r="E236" s="98">
        <v>900</v>
      </c>
      <c r="G236" s="88" t="s">
        <v>103</v>
      </c>
      <c r="H236" s="2"/>
      <c r="I236" s="2"/>
      <c r="J236" s="98">
        <v>660</v>
      </c>
      <c r="L236" s="88" t="s">
        <v>103</v>
      </c>
      <c r="M236" s="2"/>
      <c r="N236" s="2"/>
      <c r="O236" s="98">
        <v>1000</v>
      </c>
    </row>
    <row r="237" spans="2:15" x14ac:dyDescent="0.3">
      <c r="B237" s="175" t="s">
        <v>227</v>
      </c>
      <c r="C237" s="2"/>
      <c r="D237" s="2"/>
      <c r="E237" s="177">
        <v>1466</v>
      </c>
      <c r="G237" s="175" t="s">
        <v>227</v>
      </c>
      <c r="H237" s="2"/>
      <c r="I237" s="2"/>
      <c r="J237" s="177">
        <v>1498</v>
      </c>
      <c r="L237" s="175" t="s">
        <v>227</v>
      </c>
      <c r="M237" s="2"/>
      <c r="N237" s="2"/>
      <c r="O237" s="177">
        <v>1578</v>
      </c>
    </row>
    <row r="238" spans="2:15" ht="15" thickBot="1" x14ac:dyDescent="0.35">
      <c r="B238" s="88" t="s">
        <v>105</v>
      </c>
      <c r="C238" s="2"/>
      <c r="D238" s="2"/>
      <c r="E238" s="98">
        <v>108</v>
      </c>
      <c r="G238" s="88" t="s">
        <v>105</v>
      </c>
      <c r="H238" s="2"/>
      <c r="I238" s="2"/>
      <c r="J238" s="98">
        <v>32</v>
      </c>
      <c r="L238" s="88" t="s">
        <v>105</v>
      </c>
      <c r="M238" s="2"/>
      <c r="N238" s="2"/>
      <c r="O238" s="98">
        <v>80</v>
      </c>
    </row>
    <row r="239" spans="2:15" ht="15.6" thickTop="1" thickBot="1" x14ac:dyDescent="0.35">
      <c r="B239" s="178" t="s">
        <v>39</v>
      </c>
      <c r="C239" s="90"/>
      <c r="D239" s="90"/>
      <c r="E239" s="176"/>
      <c r="G239" s="178" t="s">
        <v>39</v>
      </c>
      <c r="H239" s="90"/>
      <c r="I239" s="90"/>
      <c r="J239" s="176"/>
      <c r="L239" s="178" t="s">
        <v>39</v>
      </c>
      <c r="M239" s="90"/>
      <c r="N239" s="90"/>
      <c r="O239" s="176"/>
    </row>
    <row r="240" spans="2:15" ht="15" thickTop="1" x14ac:dyDescent="0.3">
      <c r="B240" s="88" t="s">
        <v>101</v>
      </c>
      <c r="C240" s="2"/>
      <c r="D240" s="2"/>
      <c r="E240" s="97">
        <v>10638.830000000002</v>
      </c>
      <c r="G240" s="88" t="s">
        <v>101</v>
      </c>
      <c r="H240" s="2"/>
      <c r="I240" s="2"/>
      <c r="J240" s="97">
        <v>11506.210000000001</v>
      </c>
      <c r="L240" s="88" t="s">
        <v>101</v>
      </c>
      <c r="M240" s="2"/>
      <c r="N240" s="2"/>
      <c r="O240" s="97">
        <v>12413.59</v>
      </c>
    </row>
    <row r="241" spans="2:15" x14ac:dyDescent="0.3">
      <c r="B241" s="88" t="s">
        <v>104</v>
      </c>
      <c r="C241" s="2"/>
      <c r="D241" s="2"/>
      <c r="E241" s="98">
        <v>737.38</v>
      </c>
      <c r="G241" s="88" t="s">
        <v>104</v>
      </c>
      <c r="H241" s="2"/>
      <c r="I241" s="2"/>
      <c r="J241" s="98">
        <v>867.38</v>
      </c>
      <c r="L241" s="88" t="s">
        <v>104</v>
      </c>
      <c r="M241" s="2"/>
      <c r="N241" s="2"/>
      <c r="O241" s="98">
        <v>934.08</v>
      </c>
    </row>
    <row r="242" spans="2:15" ht="15" thickBot="1" x14ac:dyDescent="0.35">
      <c r="B242" s="102" t="s">
        <v>95</v>
      </c>
      <c r="C242" s="101"/>
      <c r="D242" s="92"/>
      <c r="E242" s="100">
        <v>3571.1699999999983</v>
      </c>
      <c r="G242" s="102" t="s">
        <v>95</v>
      </c>
      <c r="H242" s="101"/>
      <c r="I242" s="92"/>
      <c r="J242" s="100">
        <v>3103.7899999999991</v>
      </c>
      <c r="L242" s="102" t="s">
        <v>95</v>
      </c>
      <c r="M242" s="101"/>
      <c r="N242" s="92"/>
      <c r="O242" s="100">
        <v>3196.41</v>
      </c>
    </row>
    <row r="243" spans="2:15" ht="15" thickTop="1" x14ac:dyDescent="0.3">
      <c r="B243" s="88" t="s">
        <v>102</v>
      </c>
      <c r="C243" s="2"/>
      <c r="D243" s="2"/>
      <c r="E243" s="97">
        <v>920</v>
      </c>
      <c r="G243" s="88" t="s">
        <v>102</v>
      </c>
      <c r="H243" s="2"/>
      <c r="I243" s="2"/>
      <c r="J243" s="97">
        <v>1030</v>
      </c>
      <c r="L243" s="88" t="s">
        <v>102</v>
      </c>
      <c r="M243" s="2"/>
      <c r="N243" s="2"/>
      <c r="O243" s="97">
        <v>1148</v>
      </c>
    </row>
    <row r="244" spans="2:15" x14ac:dyDescent="0.3">
      <c r="B244" s="88" t="s">
        <v>106</v>
      </c>
      <c r="C244" s="2"/>
      <c r="D244" s="2"/>
      <c r="E244" s="98">
        <v>94</v>
      </c>
      <c r="G244" s="88" t="s">
        <v>106</v>
      </c>
      <c r="H244" s="2"/>
      <c r="I244" s="2"/>
      <c r="J244" s="98">
        <v>110</v>
      </c>
      <c r="L244" s="88" t="s">
        <v>106</v>
      </c>
      <c r="M244" s="2"/>
      <c r="N244" s="2"/>
      <c r="O244" s="98">
        <v>104</v>
      </c>
    </row>
    <row r="245" spans="2:15" ht="15" thickBot="1" x14ac:dyDescent="0.35">
      <c r="B245" s="102" t="s">
        <v>98</v>
      </c>
      <c r="C245" s="92"/>
      <c r="D245" s="92"/>
      <c r="E245" s="100">
        <v>546</v>
      </c>
      <c r="G245" s="102" t="s">
        <v>98</v>
      </c>
      <c r="H245" s="92"/>
      <c r="I245" s="92"/>
      <c r="J245" s="100">
        <v>468</v>
      </c>
      <c r="L245" s="102" t="s">
        <v>98</v>
      </c>
      <c r="M245" s="92"/>
      <c r="N245" s="92"/>
      <c r="O245" s="100">
        <v>430</v>
      </c>
    </row>
    <row r="246" spans="2:15" ht="15.6" thickTop="1" thickBot="1" x14ac:dyDescent="0.35">
      <c r="B246" s="89" t="s">
        <v>228</v>
      </c>
      <c r="C246" s="179"/>
      <c r="D246" s="90"/>
      <c r="E246" s="183"/>
      <c r="G246" s="89" t="s">
        <v>228</v>
      </c>
      <c r="H246" s="179"/>
      <c r="I246" s="90"/>
      <c r="J246" s="183"/>
      <c r="L246" s="89" t="s">
        <v>228</v>
      </c>
      <c r="M246" s="179"/>
      <c r="N246" s="90"/>
      <c r="O246" s="183"/>
    </row>
    <row r="247" spans="2:15" ht="15" thickTop="1" x14ac:dyDescent="0.3">
      <c r="B247" s="88" t="s">
        <v>295</v>
      </c>
      <c r="C247" s="171"/>
      <c r="D247" s="2"/>
      <c r="E247" s="99">
        <v>23.5</v>
      </c>
      <c r="G247" s="88" t="s">
        <v>295</v>
      </c>
      <c r="H247" s="171"/>
      <c r="I247" s="2"/>
      <c r="J247" s="99">
        <v>23.5</v>
      </c>
      <c r="L247" s="88" t="s">
        <v>295</v>
      </c>
      <c r="M247" s="171"/>
      <c r="N247" s="2"/>
      <c r="O247" s="99">
        <v>50.2</v>
      </c>
    </row>
    <row r="248" spans="2:15" x14ac:dyDescent="0.3">
      <c r="B248" s="88" t="s">
        <v>357</v>
      </c>
      <c r="C248" s="180"/>
      <c r="D248" s="181"/>
      <c r="E248" s="97">
        <v>400</v>
      </c>
      <c r="G248" s="88" t="s">
        <v>357</v>
      </c>
      <c r="H248" s="180"/>
      <c r="I248" s="181"/>
      <c r="J248" s="97">
        <v>660</v>
      </c>
      <c r="L248" s="88" t="s">
        <v>357</v>
      </c>
      <c r="M248" s="180"/>
      <c r="N248" s="181"/>
      <c r="O248" s="97">
        <v>860</v>
      </c>
    </row>
    <row r="249" spans="2:15" x14ac:dyDescent="0.3">
      <c r="B249" s="88" t="s">
        <v>248</v>
      </c>
      <c r="C249" s="180"/>
      <c r="D249" s="181"/>
      <c r="E249" s="97">
        <v>24</v>
      </c>
      <c r="G249" s="88" t="s">
        <v>248</v>
      </c>
      <c r="H249" s="180"/>
      <c r="I249" s="181"/>
      <c r="J249" s="97">
        <v>24</v>
      </c>
      <c r="L249" s="88" t="s">
        <v>248</v>
      </c>
      <c r="M249" s="180"/>
      <c r="N249" s="181"/>
      <c r="O249" s="97">
        <v>38</v>
      </c>
    </row>
    <row r="250" spans="2:15" x14ac:dyDescent="0.3">
      <c r="B250" s="88" t="s">
        <v>93</v>
      </c>
      <c r="C250" s="2"/>
      <c r="D250" s="2"/>
      <c r="E250" s="96">
        <v>3250</v>
      </c>
      <c r="G250" s="88" t="s">
        <v>93</v>
      </c>
      <c r="H250" s="2"/>
      <c r="I250" s="2"/>
      <c r="J250" s="96">
        <v>3380</v>
      </c>
      <c r="L250" s="88" t="s">
        <v>93</v>
      </c>
      <c r="M250" s="2"/>
      <c r="N250" s="2"/>
      <c r="O250" s="96">
        <v>3510</v>
      </c>
    </row>
    <row r="251" spans="2:15" x14ac:dyDescent="0.3">
      <c r="B251" s="88" t="s">
        <v>100</v>
      </c>
      <c r="C251" s="2"/>
      <c r="D251" s="2"/>
      <c r="E251" s="95">
        <v>250</v>
      </c>
      <c r="G251" s="88" t="s">
        <v>100</v>
      </c>
      <c r="H251" s="2"/>
      <c r="I251" s="2"/>
      <c r="J251" s="95">
        <v>260</v>
      </c>
      <c r="L251" s="88" t="s">
        <v>100</v>
      </c>
      <c r="M251" s="2"/>
      <c r="N251" s="2"/>
      <c r="O251" s="95">
        <v>270</v>
      </c>
    </row>
    <row r="252" spans="2:15" x14ac:dyDescent="0.3">
      <c r="B252" s="88" t="s">
        <v>358</v>
      </c>
      <c r="C252" s="2"/>
      <c r="D252" s="2"/>
      <c r="E252" s="96">
        <v>1065.5</v>
      </c>
      <c r="G252" s="88" t="s">
        <v>358</v>
      </c>
      <c r="H252" s="2"/>
      <c r="I252" s="2"/>
      <c r="J252" s="96">
        <v>837.5</v>
      </c>
      <c r="L252" s="88" t="s">
        <v>358</v>
      </c>
      <c r="M252" s="2"/>
      <c r="N252" s="2"/>
      <c r="O252" s="96">
        <v>730.2</v>
      </c>
    </row>
    <row r="253" spans="2:15" ht="15" thickBot="1" x14ac:dyDescent="0.35">
      <c r="B253" s="88" t="s">
        <v>96</v>
      </c>
      <c r="C253" s="2"/>
      <c r="D253" s="182"/>
      <c r="E253" s="243">
        <v>198.33</v>
      </c>
      <c r="G253" s="88" t="s">
        <v>96</v>
      </c>
      <c r="H253" s="2"/>
      <c r="I253" s="182"/>
      <c r="J253" s="243">
        <v>645.71</v>
      </c>
      <c r="L253" s="88" t="s">
        <v>96</v>
      </c>
      <c r="M253" s="2"/>
      <c r="N253" s="182"/>
      <c r="O253" s="243">
        <v>613.79</v>
      </c>
    </row>
    <row r="254" spans="2:15" ht="15.6" thickTop="1" thickBot="1" x14ac:dyDescent="0.35">
      <c r="B254" s="93" t="s">
        <v>94</v>
      </c>
      <c r="C254" s="94"/>
      <c r="D254" s="184"/>
      <c r="E254" s="185">
        <v>4315.5</v>
      </c>
      <c r="G254" s="93" t="s">
        <v>94</v>
      </c>
      <c r="H254" s="94"/>
      <c r="I254" s="184"/>
      <c r="J254" s="185">
        <v>4217.5</v>
      </c>
      <c r="L254" s="93" t="s">
        <v>94</v>
      </c>
      <c r="M254" s="94"/>
      <c r="N254" s="184"/>
      <c r="O254" s="185">
        <v>4240.2</v>
      </c>
    </row>
    <row r="255" spans="2:15" ht="15.6" thickTop="1" thickBot="1" x14ac:dyDescent="0.35">
      <c r="B255" s="93" t="s">
        <v>99</v>
      </c>
      <c r="C255" s="94"/>
      <c r="D255" s="184"/>
      <c r="E255" s="196">
        <v>4315.4999999999982</v>
      </c>
      <c r="G255" s="93" t="s">
        <v>99</v>
      </c>
      <c r="H255" s="94"/>
      <c r="I255" s="184"/>
      <c r="J255" s="196">
        <v>4217.4999999999991</v>
      </c>
      <c r="L255" s="93" t="s">
        <v>99</v>
      </c>
      <c r="M255" s="94"/>
      <c r="N255" s="184"/>
      <c r="O255" s="196">
        <v>4240.2</v>
      </c>
    </row>
    <row r="256" spans="2:15" ht="15.6" thickTop="1" thickBot="1" x14ac:dyDescent="0.35">
      <c r="E256" s="268"/>
      <c r="J256" s="268"/>
      <c r="O256" s="268"/>
    </row>
    <row r="257" spans="2:15" ht="15.6" thickTop="1" thickBot="1" x14ac:dyDescent="0.35">
      <c r="B257" s="390" t="s">
        <v>92</v>
      </c>
      <c r="C257" s="391"/>
      <c r="D257" s="244" t="s">
        <v>397</v>
      </c>
      <c r="E257" s="111">
        <v>45611</v>
      </c>
      <c r="G257" s="390" t="s">
        <v>92</v>
      </c>
      <c r="H257" s="391"/>
      <c r="I257" s="244" t="s">
        <v>397</v>
      </c>
      <c r="J257" s="111">
        <v>45641</v>
      </c>
      <c r="L257" s="390" t="s">
        <v>92</v>
      </c>
      <c r="M257" s="391"/>
      <c r="N257" s="244" t="s">
        <v>397</v>
      </c>
      <c r="O257" s="111">
        <v>45672</v>
      </c>
    </row>
    <row r="258" spans="2:15" ht="15.6" thickTop="1" thickBot="1" x14ac:dyDescent="0.35">
      <c r="B258" s="392"/>
      <c r="C258" s="393"/>
      <c r="D258" s="244" t="s">
        <v>398</v>
      </c>
      <c r="E258" s="111">
        <v>44788</v>
      </c>
      <c r="G258" s="392"/>
      <c r="H258" s="393"/>
      <c r="I258" s="244" t="s">
        <v>398</v>
      </c>
      <c r="J258" s="111">
        <v>44788</v>
      </c>
      <c r="L258" s="392"/>
      <c r="M258" s="393"/>
      <c r="N258" s="244" t="s">
        <v>398</v>
      </c>
      <c r="O258" s="111">
        <v>44788</v>
      </c>
    </row>
    <row r="259" spans="2:15" ht="15.6" thickTop="1" thickBot="1" x14ac:dyDescent="0.35">
      <c r="B259" s="394"/>
      <c r="C259" s="395"/>
      <c r="D259" s="244" t="s">
        <v>396</v>
      </c>
      <c r="E259" s="111">
        <v>45640</v>
      </c>
      <c r="G259" s="394"/>
      <c r="H259" s="395"/>
      <c r="I259" s="244" t="s">
        <v>396</v>
      </c>
      <c r="J259" s="111">
        <v>45671</v>
      </c>
      <c r="L259" s="394"/>
      <c r="M259" s="395"/>
      <c r="N259" s="244" t="s">
        <v>396</v>
      </c>
      <c r="O259" s="111">
        <v>45702</v>
      </c>
    </row>
    <row r="260" spans="2:15" ht="15.6" thickTop="1" thickBot="1" x14ac:dyDescent="0.35">
      <c r="B260" s="88" t="s">
        <v>91</v>
      </c>
      <c r="C260" s="2"/>
      <c r="D260" s="2"/>
      <c r="E260" s="170">
        <v>3640</v>
      </c>
      <c r="G260" s="88" t="s">
        <v>91</v>
      </c>
      <c r="H260" s="2"/>
      <c r="I260" s="2"/>
      <c r="J260" s="170">
        <v>3770</v>
      </c>
      <c r="L260" s="88" t="s">
        <v>91</v>
      </c>
      <c r="M260" s="2"/>
      <c r="N260" s="2"/>
      <c r="O260" s="170">
        <v>3900</v>
      </c>
    </row>
    <row r="261" spans="2:15" ht="15.6" thickTop="1" thickBot="1" x14ac:dyDescent="0.35">
      <c r="B261" s="89" t="s">
        <v>169</v>
      </c>
      <c r="C261" s="90"/>
      <c r="D261" s="90"/>
      <c r="E261" s="176"/>
      <c r="G261" s="89" t="s">
        <v>169</v>
      </c>
      <c r="H261" s="90"/>
      <c r="I261" s="90"/>
      <c r="J261" s="176"/>
      <c r="L261" s="89" t="s">
        <v>169</v>
      </c>
      <c r="M261" s="90"/>
      <c r="N261" s="90"/>
      <c r="O261" s="176"/>
    </row>
    <row r="262" spans="2:15" ht="15" thickTop="1" x14ac:dyDescent="0.3">
      <c r="B262" s="174" t="s">
        <v>225</v>
      </c>
      <c r="C262" s="2"/>
      <c r="D262" s="2"/>
      <c r="E262" s="169">
        <v>17310</v>
      </c>
      <c r="G262" s="174" t="s">
        <v>225</v>
      </c>
      <c r="H262" s="2"/>
      <c r="I262" s="2"/>
      <c r="J262" s="169">
        <v>18890</v>
      </c>
      <c r="L262" s="174" t="s">
        <v>225</v>
      </c>
      <c r="M262" s="2"/>
      <c r="N262" s="2"/>
      <c r="O262" s="169">
        <v>20440</v>
      </c>
    </row>
    <row r="263" spans="2:15" x14ac:dyDescent="0.3">
      <c r="B263" s="175" t="s">
        <v>226</v>
      </c>
      <c r="C263" s="2"/>
      <c r="D263" s="2"/>
      <c r="E263" s="97">
        <v>460</v>
      </c>
      <c r="G263" s="175" t="s">
        <v>226</v>
      </c>
      <c r="H263" s="2"/>
      <c r="I263" s="2"/>
      <c r="J263" s="97">
        <v>460</v>
      </c>
      <c r="L263" s="175" t="s">
        <v>226</v>
      </c>
      <c r="M263" s="2"/>
      <c r="N263" s="2"/>
      <c r="O263" s="97">
        <v>460</v>
      </c>
    </row>
    <row r="264" spans="2:15" x14ac:dyDescent="0.3">
      <c r="B264" s="88" t="s">
        <v>103</v>
      </c>
      <c r="C264" s="2"/>
      <c r="D264" s="2"/>
      <c r="E264" s="98">
        <v>1700</v>
      </c>
      <c r="G264" s="88" t="s">
        <v>103</v>
      </c>
      <c r="H264" s="2"/>
      <c r="I264" s="2"/>
      <c r="J264" s="98">
        <v>1580</v>
      </c>
      <c r="L264" s="88" t="s">
        <v>103</v>
      </c>
      <c r="M264" s="2"/>
      <c r="N264" s="2"/>
      <c r="O264" s="98">
        <v>1550</v>
      </c>
    </row>
    <row r="265" spans="2:15" x14ac:dyDescent="0.3">
      <c r="B265" s="175" t="s">
        <v>227</v>
      </c>
      <c r="C265" s="2"/>
      <c r="D265" s="2"/>
      <c r="E265" s="177">
        <v>1828</v>
      </c>
      <c r="G265" s="175" t="s">
        <v>227</v>
      </c>
      <c r="H265" s="2"/>
      <c r="I265" s="2"/>
      <c r="J265" s="177">
        <v>2079.6</v>
      </c>
      <c r="L265" s="175" t="s">
        <v>227</v>
      </c>
      <c r="M265" s="2"/>
      <c r="N265" s="2"/>
      <c r="O265" s="177">
        <v>2281.6</v>
      </c>
    </row>
    <row r="266" spans="2:15" ht="15" thickBot="1" x14ac:dyDescent="0.35">
      <c r="B266" s="88" t="s">
        <v>105</v>
      </c>
      <c r="C266" s="2"/>
      <c r="D266" s="2"/>
      <c r="E266" s="98">
        <v>250</v>
      </c>
      <c r="G266" s="88" t="s">
        <v>105</v>
      </c>
      <c r="H266" s="2"/>
      <c r="I266" s="2"/>
      <c r="J266" s="98">
        <v>251.6</v>
      </c>
      <c r="L266" s="88" t="s">
        <v>105</v>
      </c>
      <c r="M266" s="2"/>
      <c r="N266" s="2"/>
      <c r="O266" s="98">
        <v>202</v>
      </c>
    </row>
    <row r="267" spans="2:15" ht="15.6" thickTop="1" thickBot="1" x14ac:dyDescent="0.35">
      <c r="B267" s="178" t="s">
        <v>39</v>
      </c>
      <c r="C267" s="90"/>
      <c r="D267" s="90"/>
      <c r="E267" s="176"/>
      <c r="G267" s="178" t="s">
        <v>39</v>
      </c>
      <c r="H267" s="90"/>
      <c r="I267" s="90"/>
      <c r="J267" s="176"/>
      <c r="L267" s="178" t="s">
        <v>39</v>
      </c>
      <c r="M267" s="90"/>
      <c r="N267" s="90"/>
      <c r="O267" s="176"/>
    </row>
    <row r="268" spans="2:15" ht="15" thickTop="1" x14ac:dyDescent="0.3">
      <c r="B268" s="88" t="s">
        <v>101</v>
      </c>
      <c r="C268" s="2"/>
      <c r="D268" s="2"/>
      <c r="E268" s="97">
        <v>13376.68</v>
      </c>
      <c r="G268" s="88" t="s">
        <v>101</v>
      </c>
      <c r="H268" s="2"/>
      <c r="I268" s="2"/>
      <c r="J268" s="97">
        <v>14575.02</v>
      </c>
      <c r="L268" s="88" t="s">
        <v>101</v>
      </c>
      <c r="M268" s="2"/>
      <c r="N268" s="2"/>
      <c r="O268" s="97">
        <v>15978.359999999999</v>
      </c>
    </row>
    <row r="269" spans="2:15" x14ac:dyDescent="0.3">
      <c r="B269" s="88" t="s">
        <v>104</v>
      </c>
      <c r="C269" s="2"/>
      <c r="D269" s="2"/>
      <c r="E269" s="98">
        <v>984.18000000000018</v>
      </c>
      <c r="G269" s="88" t="s">
        <v>104</v>
      </c>
      <c r="H269" s="2"/>
      <c r="I269" s="2"/>
      <c r="J269" s="98">
        <v>1025.0400000000002</v>
      </c>
      <c r="L269" s="88" t="s">
        <v>104</v>
      </c>
      <c r="M269" s="2"/>
      <c r="N269" s="2"/>
      <c r="O269" s="98">
        <v>1016.24</v>
      </c>
    </row>
    <row r="270" spans="2:15" ht="15" thickBot="1" x14ac:dyDescent="0.35">
      <c r="B270" s="102" t="s">
        <v>95</v>
      </c>
      <c r="C270" s="101"/>
      <c r="D270" s="92"/>
      <c r="E270" s="100">
        <v>3933.3199999999997</v>
      </c>
      <c r="G270" s="102" t="s">
        <v>95</v>
      </c>
      <c r="H270" s="101"/>
      <c r="I270" s="92"/>
      <c r="J270" s="100">
        <v>4314.9799999999996</v>
      </c>
      <c r="L270" s="102" t="s">
        <v>95</v>
      </c>
      <c r="M270" s="101"/>
      <c r="N270" s="92"/>
      <c r="O270" s="100">
        <v>4461.6400000000012</v>
      </c>
    </row>
    <row r="271" spans="2:15" ht="15" thickTop="1" x14ac:dyDescent="0.3">
      <c r="B271" s="88" t="s">
        <v>102</v>
      </c>
      <c r="C271" s="2"/>
      <c r="D271" s="2"/>
      <c r="E271" s="97">
        <v>1270</v>
      </c>
      <c r="G271" s="88" t="s">
        <v>102</v>
      </c>
      <c r="H271" s="2"/>
      <c r="I271" s="2"/>
      <c r="J271" s="97">
        <v>1410</v>
      </c>
      <c r="L271" s="88" t="s">
        <v>102</v>
      </c>
      <c r="M271" s="2"/>
      <c r="N271" s="2"/>
      <c r="O271" s="97">
        <v>1577.6</v>
      </c>
    </row>
    <row r="272" spans="2:15" x14ac:dyDescent="0.3">
      <c r="B272" s="88" t="s">
        <v>106</v>
      </c>
      <c r="C272" s="2"/>
      <c r="D272" s="2"/>
      <c r="E272" s="98">
        <v>110</v>
      </c>
      <c r="G272" s="88" t="s">
        <v>106</v>
      </c>
      <c r="H272" s="2"/>
      <c r="I272" s="2"/>
      <c r="J272" s="98">
        <v>122</v>
      </c>
      <c r="L272" s="88" t="s">
        <v>106</v>
      </c>
      <c r="M272" s="2"/>
      <c r="N272" s="2"/>
      <c r="O272" s="98">
        <v>129.6</v>
      </c>
    </row>
    <row r="273" spans="2:15" ht="15" thickBot="1" x14ac:dyDescent="0.35">
      <c r="B273" s="102" t="s">
        <v>98</v>
      </c>
      <c r="C273" s="92"/>
      <c r="D273" s="92"/>
      <c r="E273" s="100">
        <v>558</v>
      </c>
      <c r="G273" s="102" t="s">
        <v>98</v>
      </c>
      <c r="H273" s="92"/>
      <c r="I273" s="92"/>
      <c r="J273" s="100">
        <v>669.59999999999991</v>
      </c>
      <c r="L273" s="102" t="s">
        <v>98</v>
      </c>
      <c r="M273" s="92"/>
      <c r="N273" s="92"/>
      <c r="O273" s="100">
        <v>704</v>
      </c>
    </row>
    <row r="274" spans="2:15" ht="15.6" thickTop="1" thickBot="1" x14ac:dyDescent="0.35">
      <c r="B274" s="89" t="s">
        <v>228</v>
      </c>
      <c r="C274" s="179"/>
      <c r="D274" s="90"/>
      <c r="E274" s="183"/>
      <c r="G274" s="89" t="s">
        <v>228</v>
      </c>
      <c r="H274" s="179"/>
      <c r="I274" s="90"/>
      <c r="J274" s="183"/>
      <c r="L274" s="89" t="s">
        <v>228</v>
      </c>
      <c r="M274" s="179"/>
      <c r="N274" s="90"/>
      <c r="O274" s="183"/>
    </row>
    <row r="275" spans="2:15" ht="15" thickTop="1" x14ac:dyDescent="0.3">
      <c r="B275" s="88" t="s">
        <v>295</v>
      </c>
      <c r="C275" s="171"/>
      <c r="D275" s="2"/>
      <c r="E275" s="99">
        <v>156.99999999999997</v>
      </c>
      <c r="G275" s="88" t="s">
        <v>295</v>
      </c>
      <c r="H275" s="171"/>
      <c r="I275" s="2"/>
      <c r="J275" s="99">
        <v>183.69999999999996</v>
      </c>
      <c r="L275" s="88" t="s">
        <v>295</v>
      </c>
      <c r="M275" s="171"/>
      <c r="N275" s="2"/>
      <c r="O275" s="99">
        <v>183.69999999999996</v>
      </c>
    </row>
    <row r="276" spans="2:15" x14ac:dyDescent="0.3">
      <c r="B276" s="88" t="s">
        <v>357</v>
      </c>
      <c r="C276" s="180"/>
      <c r="D276" s="181"/>
      <c r="E276" s="97">
        <v>860</v>
      </c>
      <c r="G276" s="88" t="s">
        <v>357</v>
      </c>
      <c r="H276" s="180"/>
      <c r="I276" s="181"/>
      <c r="J276" s="97">
        <v>860</v>
      </c>
      <c r="L276" s="88" t="s">
        <v>357</v>
      </c>
      <c r="M276" s="180"/>
      <c r="N276" s="181"/>
      <c r="O276" s="97">
        <v>860</v>
      </c>
    </row>
    <row r="277" spans="2:15" x14ac:dyDescent="0.3">
      <c r="B277" s="88" t="s">
        <v>248</v>
      </c>
      <c r="C277" s="180"/>
      <c r="D277" s="181"/>
      <c r="E277" s="97">
        <v>50</v>
      </c>
      <c r="G277" s="88" t="s">
        <v>248</v>
      </c>
      <c r="H277" s="180"/>
      <c r="I277" s="181"/>
      <c r="J277" s="97">
        <v>68</v>
      </c>
      <c r="L277" s="88" t="s">
        <v>248</v>
      </c>
      <c r="M277" s="180"/>
      <c r="N277" s="181"/>
      <c r="O277" s="97">
        <v>106</v>
      </c>
    </row>
    <row r="278" spans="2:15" x14ac:dyDescent="0.3">
      <c r="B278" s="88" t="s">
        <v>93</v>
      </c>
      <c r="C278" s="2"/>
      <c r="D278" s="2"/>
      <c r="E278" s="96">
        <v>3640</v>
      </c>
      <c r="G278" s="88" t="s">
        <v>93</v>
      </c>
      <c r="H278" s="2"/>
      <c r="I278" s="2"/>
      <c r="J278" s="96">
        <v>3770</v>
      </c>
      <c r="L278" s="88" t="s">
        <v>93</v>
      </c>
      <c r="M278" s="2"/>
      <c r="N278" s="2"/>
      <c r="O278" s="96">
        <v>3900</v>
      </c>
    </row>
    <row r="279" spans="2:15" x14ac:dyDescent="0.3">
      <c r="B279" s="88" t="s">
        <v>100</v>
      </c>
      <c r="C279" s="2"/>
      <c r="D279" s="2"/>
      <c r="E279" s="95">
        <v>280</v>
      </c>
      <c r="G279" s="88" t="s">
        <v>100</v>
      </c>
      <c r="H279" s="2"/>
      <c r="I279" s="2"/>
      <c r="J279" s="95">
        <v>290</v>
      </c>
      <c r="L279" s="88" t="s">
        <v>100</v>
      </c>
      <c r="M279" s="2"/>
      <c r="N279" s="2"/>
      <c r="O279" s="95">
        <v>300</v>
      </c>
    </row>
    <row r="280" spans="2:15" x14ac:dyDescent="0.3">
      <c r="B280" s="88" t="s">
        <v>358</v>
      </c>
      <c r="C280" s="2"/>
      <c r="D280" s="2"/>
      <c r="E280" s="96">
        <v>1075</v>
      </c>
      <c r="G280" s="88" t="s">
        <v>358</v>
      </c>
      <c r="H280" s="2"/>
      <c r="I280" s="2"/>
      <c r="J280" s="96">
        <v>1335.3</v>
      </c>
      <c r="L280" s="88" t="s">
        <v>358</v>
      </c>
      <c r="M280" s="2"/>
      <c r="N280" s="2"/>
      <c r="O280" s="96">
        <v>1499.3</v>
      </c>
    </row>
    <row r="281" spans="2:15" ht="15" thickBot="1" x14ac:dyDescent="0.35">
      <c r="B281" s="88" t="s">
        <v>96</v>
      </c>
      <c r="C281" s="2"/>
      <c r="D281" s="182"/>
      <c r="E281" s="243">
        <v>223.68</v>
      </c>
      <c r="G281" s="88" t="s">
        <v>96</v>
      </c>
      <c r="H281" s="2"/>
      <c r="I281" s="182"/>
      <c r="J281" s="243">
        <v>120.72</v>
      </c>
      <c r="L281" s="88" t="s">
        <v>96</v>
      </c>
      <c r="M281" s="2"/>
      <c r="N281" s="182"/>
      <c r="O281" s="243">
        <v>233.66</v>
      </c>
    </row>
    <row r="282" spans="2:15" ht="15.6" thickTop="1" thickBot="1" x14ac:dyDescent="0.35">
      <c r="B282" s="93" t="s">
        <v>94</v>
      </c>
      <c r="C282" s="94"/>
      <c r="D282" s="184"/>
      <c r="E282" s="185">
        <v>4715</v>
      </c>
      <c r="G282" s="93" t="s">
        <v>94</v>
      </c>
      <c r="H282" s="94"/>
      <c r="I282" s="184"/>
      <c r="J282" s="185">
        <v>5105.3</v>
      </c>
      <c r="L282" s="93" t="s">
        <v>94</v>
      </c>
      <c r="M282" s="94"/>
      <c r="N282" s="184"/>
      <c r="O282" s="185">
        <v>5399.3</v>
      </c>
    </row>
    <row r="283" spans="2:15" ht="15.6" thickTop="1" thickBot="1" x14ac:dyDescent="0.35">
      <c r="B283" s="93" t="s">
        <v>99</v>
      </c>
      <c r="C283" s="94"/>
      <c r="D283" s="184"/>
      <c r="E283" s="196">
        <v>4715</v>
      </c>
      <c r="G283" s="93" t="s">
        <v>99</v>
      </c>
      <c r="H283" s="94"/>
      <c r="I283" s="184"/>
      <c r="J283" s="196">
        <v>5105.3</v>
      </c>
      <c r="L283" s="93" t="s">
        <v>99</v>
      </c>
      <c r="M283" s="94"/>
      <c r="N283" s="184"/>
      <c r="O283" s="196">
        <v>5399.3000000000011</v>
      </c>
    </row>
    <row r="284" spans="2:15" ht="15.6" thickTop="1" thickBot="1" x14ac:dyDescent="0.35">
      <c r="E284" s="268"/>
      <c r="J284" s="268"/>
      <c r="O284" s="268"/>
    </row>
    <row r="285" spans="2:15" ht="15.6" thickTop="1" thickBot="1" x14ac:dyDescent="0.35">
      <c r="B285" s="390" t="s">
        <v>92</v>
      </c>
      <c r="C285" s="391"/>
      <c r="D285" s="244" t="s">
        <v>397</v>
      </c>
      <c r="E285" s="111">
        <v>45703</v>
      </c>
      <c r="G285" s="390" t="s">
        <v>92</v>
      </c>
      <c r="H285" s="391"/>
      <c r="I285" s="244" t="s">
        <v>397</v>
      </c>
      <c r="J285" s="111">
        <v>45731</v>
      </c>
      <c r="L285" s="390" t="s">
        <v>92</v>
      </c>
      <c r="M285" s="391"/>
      <c r="N285" s="244" t="s">
        <v>397</v>
      </c>
      <c r="O285" s="111">
        <v>45762</v>
      </c>
    </row>
    <row r="286" spans="2:15" ht="15.6" thickTop="1" thickBot="1" x14ac:dyDescent="0.35">
      <c r="B286" s="392"/>
      <c r="C286" s="393"/>
      <c r="D286" s="244" t="s">
        <v>398</v>
      </c>
      <c r="E286" s="111">
        <v>44788</v>
      </c>
      <c r="G286" s="392"/>
      <c r="H286" s="393"/>
      <c r="I286" s="244" t="s">
        <v>398</v>
      </c>
      <c r="J286" s="111">
        <v>44788</v>
      </c>
      <c r="L286" s="392"/>
      <c r="M286" s="393"/>
      <c r="N286" s="244" t="s">
        <v>398</v>
      </c>
      <c r="O286" s="111">
        <v>44788</v>
      </c>
    </row>
    <row r="287" spans="2:15" ht="15.6" thickTop="1" thickBot="1" x14ac:dyDescent="0.35">
      <c r="B287" s="394"/>
      <c r="C287" s="395"/>
      <c r="D287" s="244" t="s">
        <v>396</v>
      </c>
      <c r="E287" s="111">
        <v>45730</v>
      </c>
      <c r="G287" s="394"/>
      <c r="H287" s="395"/>
      <c r="I287" s="244" t="s">
        <v>396</v>
      </c>
      <c r="J287" s="111">
        <v>45761</v>
      </c>
      <c r="L287" s="394"/>
      <c r="M287" s="395"/>
      <c r="N287" s="244" t="s">
        <v>396</v>
      </c>
      <c r="O287" s="111">
        <v>45791</v>
      </c>
    </row>
    <row r="288" spans="2:15" ht="15.6" thickTop="1" thickBot="1" x14ac:dyDescent="0.35">
      <c r="B288" s="88" t="s">
        <v>91</v>
      </c>
      <c r="C288" s="2"/>
      <c r="D288" s="2"/>
      <c r="E288" s="170">
        <v>4030</v>
      </c>
      <c r="G288" s="88" t="s">
        <v>91</v>
      </c>
      <c r="H288" s="2"/>
      <c r="I288" s="2"/>
      <c r="J288" s="170">
        <v>4160</v>
      </c>
      <c r="L288" s="88" t="s">
        <v>91</v>
      </c>
      <c r="M288" s="2"/>
      <c r="N288" s="2"/>
      <c r="O288" s="170">
        <v>4810</v>
      </c>
    </row>
    <row r="289" spans="2:15" ht="15.6" thickTop="1" thickBot="1" x14ac:dyDescent="0.35">
      <c r="B289" s="89" t="s">
        <v>169</v>
      </c>
      <c r="C289" s="90"/>
      <c r="D289" s="90"/>
      <c r="E289" s="176"/>
      <c r="G289" s="89" t="s">
        <v>169</v>
      </c>
      <c r="H289" s="90"/>
      <c r="I289" s="90"/>
      <c r="J289" s="176"/>
      <c r="L289" s="89" t="s">
        <v>169</v>
      </c>
      <c r="M289" s="90"/>
      <c r="N289" s="90"/>
      <c r="O289" s="176"/>
    </row>
    <row r="290" spans="2:15" ht="15" thickTop="1" x14ac:dyDescent="0.3">
      <c r="B290" s="174" t="s">
        <v>225</v>
      </c>
      <c r="C290" s="2"/>
      <c r="D290" s="2"/>
      <c r="E290" s="169">
        <v>21640</v>
      </c>
      <c r="G290" s="174" t="s">
        <v>225</v>
      </c>
      <c r="H290" s="2"/>
      <c r="I290" s="2"/>
      <c r="J290" s="169">
        <v>23540</v>
      </c>
      <c r="L290" s="174" t="s">
        <v>225</v>
      </c>
      <c r="M290" s="2"/>
      <c r="N290" s="2"/>
      <c r="O290" s="169">
        <v>24840</v>
      </c>
    </row>
    <row r="291" spans="2:15" x14ac:dyDescent="0.3">
      <c r="B291" s="175" t="s">
        <v>226</v>
      </c>
      <c r="C291" s="2"/>
      <c r="D291" s="2"/>
      <c r="E291" s="97">
        <v>460</v>
      </c>
      <c r="G291" s="175" t="s">
        <v>226</v>
      </c>
      <c r="H291" s="2"/>
      <c r="I291" s="2"/>
      <c r="J291" s="97">
        <v>460</v>
      </c>
      <c r="L291" s="175" t="s">
        <v>226</v>
      </c>
      <c r="M291" s="2"/>
      <c r="N291" s="2"/>
      <c r="O291" s="97">
        <v>460</v>
      </c>
    </row>
    <row r="292" spans="2:15" x14ac:dyDescent="0.3">
      <c r="B292" s="88" t="s">
        <v>103</v>
      </c>
      <c r="C292" s="2"/>
      <c r="D292" s="2"/>
      <c r="E292" s="98">
        <v>1200</v>
      </c>
      <c r="G292" s="88" t="s">
        <v>103</v>
      </c>
      <c r="H292" s="2"/>
      <c r="I292" s="2"/>
      <c r="J292" s="98">
        <v>1900</v>
      </c>
      <c r="L292" s="88" t="s">
        <v>103</v>
      </c>
      <c r="M292" s="2"/>
      <c r="N292" s="2"/>
      <c r="O292" s="98">
        <v>1300</v>
      </c>
    </row>
    <row r="293" spans="2:15" x14ac:dyDescent="0.3">
      <c r="B293" s="175" t="s">
        <v>227</v>
      </c>
      <c r="C293" s="2"/>
      <c r="D293" s="2"/>
      <c r="E293" s="177">
        <v>2357.6</v>
      </c>
      <c r="G293" s="175" t="s">
        <v>227</v>
      </c>
      <c r="H293" s="2"/>
      <c r="I293" s="2"/>
      <c r="J293" s="177">
        <v>2423.6</v>
      </c>
      <c r="L293" s="175" t="s">
        <v>227</v>
      </c>
      <c r="M293" s="2"/>
      <c r="N293" s="2"/>
      <c r="O293" s="177">
        <v>2529.6</v>
      </c>
    </row>
    <row r="294" spans="2:15" ht="15" thickBot="1" x14ac:dyDescent="0.35">
      <c r="B294" s="88" t="s">
        <v>105</v>
      </c>
      <c r="C294" s="2"/>
      <c r="D294" s="2"/>
      <c r="E294" s="98">
        <v>76</v>
      </c>
      <c r="G294" s="88" t="s">
        <v>105</v>
      </c>
      <c r="H294" s="2"/>
      <c r="I294" s="2"/>
      <c r="J294" s="98">
        <v>66</v>
      </c>
      <c r="L294" s="88" t="s">
        <v>105</v>
      </c>
      <c r="M294" s="2"/>
      <c r="N294" s="2"/>
      <c r="O294" s="98">
        <v>106</v>
      </c>
    </row>
    <row r="295" spans="2:15" ht="15.6" thickTop="1" thickBot="1" x14ac:dyDescent="0.35">
      <c r="B295" s="178" t="s">
        <v>39</v>
      </c>
      <c r="C295" s="90"/>
      <c r="D295" s="90"/>
      <c r="E295" s="176"/>
      <c r="G295" s="178" t="s">
        <v>39</v>
      </c>
      <c r="H295" s="90"/>
      <c r="I295" s="90"/>
      <c r="J295" s="176"/>
      <c r="L295" s="178" t="s">
        <v>39</v>
      </c>
      <c r="M295" s="90"/>
      <c r="N295" s="90"/>
      <c r="O295" s="176"/>
    </row>
    <row r="296" spans="2:15" ht="15" thickTop="1" x14ac:dyDescent="0.3">
      <c r="B296" s="88" t="s">
        <v>101</v>
      </c>
      <c r="C296" s="2"/>
      <c r="D296" s="2"/>
      <c r="E296" s="97">
        <v>17026.7</v>
      </c>
      <c r="G296" s="88" t="s">
        <v>101</v>
      </c>
      <c r="H296" s="2"/>
      <c r="I296" s="2"/>
      <c r="J296" s="97">
        <v>18333.37</v>
      </c>
      <c r="L296" s="88" t="s">
        <v>101</v>
      </c>
      <c r="M296" s="2"/>
      <c r="N296" s="2"/>
      <c r="O296" s="97">
        <v>20415.04</v>
      </c>
    </row>
    <row r="297" spans="2:15" x14ac:dyDescent="0.3">
      <c r="B297" s="88" t="s">
        <v>104</v>
      </c>
      <c r="C297" s="2"/>
      <c r="D297" s="2"/>
      <c r="E297" s="98">
        <v>1048.3400000000001</v>
      </c>
      <c r="G297" s="88" t="s">
        <v>104</v>
      </c>
      <c r="H297" s="2"/>
      <c r="I297" s="2"/>
      <c r="J297" s="98">
        <v>1306.67</v>
      </c>
      <c r="L297" s="88" t="s">
        <v>104</v>
      </c>
      <c r="M297" s="2"/>
      <c r="N297" s="2"/>
      <c r="O297" s="98">
        <v>1941.67</v>
      </c>
    </row>
    <row r="298" spans="2:15" ht="15" thickBot="1" x14ac:dyDescent="0.35">
      <c r="B298" s="102" t="s">
        <v>95</v>
      </c>
      <c r="C298" s="101"/>
      <c r="D298" s="92"/>
      <c r="E298" s="100">
        <v>4613.2999999999993</v>
      </c>
      <c r="G298" s="102" t="s">
        <v>95</v>
      </c>
      <c r="H298" s="101"/>
      <c r="I298" s="92"/>
      <c r="J298" s="100">
        <v>5206.630000000001</v>
      </c>
      <c r="L298" s="102" t="s">
        <v>95</v>
      </c>
      <c r="M298" s="101"/>
      <c r="N298" s="92"/>
      <c r="O298" s="100">
        <v>4424.9599999999991</v>
      </c>
    </row>
    <row r="299" spans="2:15" ht="15" thickTop="1" x14ac:dyDescent="0.3">
      <c r="B299" s="88" t="s">
        <v>102</v>
      </c>
      <c r="C299" s="2"/>
      <c r="D299" s="2"/>
      <c r="E299" s="97">
        <v>1710.6</v>
      </c>
      <c r="G299" s="88" t="s">
        <v>102</v>
      </c>
      <c r="H299" s="2"/>
      <c r="I299" s="2"/>
      <c r="J299" s="97">
        <v>1841.6</v>
      </c>
      <c r="L299" s="88" t="s">
        <v>102</v>
      </c>
      <c r="M299" s="2"/>
      <c r="N299" s="2"/>
      <c r="O299" s="97">
        <v>1979.6</v>
      </c>
    </row>
    <row r="300" spans="2:15" x14ac:dyDescent="0.3">
      <c r="B300" s="88" t="s">
        <v>106</v>
      </c>
      <c r="C300" s="2"/>
      <c r="D300" s="2"/>
      <c r="E300" s="98">
        <v>134</v>
      </c>
      <c r="G300" s="88" t="s">
        <v>106</v>
      </c>
      <c r="H300" s="2"/>
      <c r="I300" s="2"/>
      <c r="J300" s="98">
        <v>131</v>
      </c>
      <c r="L300" s="88" t="s">
        <v>106</v>
      </c>
      <c r="M300" s="2"/>
      <c r="N300" s="2"/>
      <c r="O300" s="98">
        <v>128</v>
      </c>
    </row>
    <row r="301" spans="2:15" ht="15" thickBot="1" x14ac:dyDescent="0.35">
      <c r="B301" s="102" t="s">
        <v>98</v>
      </c>
      <c r="C301" s="92"/>
      <c r="D301" s="92"/>
      <c r="E301" s="100">
        <v>647</v>
      </c>
      <c r="G301" s="102" t="s">
        <v>98</v>
      </c>
      <c r="H301" s="92"/>
      <c r="I301" s="92"/>
      <c r="J301" s="100">
        <v>582</v>
      </c>
      <c r="L301" s="102" t="s">
        <v>98</v>
      </c>
      <c r="M301" s="92"/>
      <c r="N301" s="92"/>
      <c r="O301" s="100">
        <v>550</v>
      </c>
    </row>
    <row r="302" spans="2:15" ht="15.6" thickTop="1" thickBot="1" x14ac:dyDescent="0.35">
      <c r="B302" s="89" t="s">
        <v>228</v>
      </c>
      <c r="C302" s="179"/>
      <c r="D302" s="90"/>
      <c r="E302" s="183"/>
      <c r="G302" s="89" t="s">
        <v>228</v>
      </c>
      <c r="H302" s="179"/>
      <c r="I302" s="90"/>
      <c r="J302" s="183"/>
      <c r="L302" s="89" t="s">
        <v>228</v>
      </c>
      <c r="M302" s="179"/>
      <c r="N302" s="90"/>
      <c r="O302" s="183"/>
    </row>
    <row r="303" spans="2:15" ht="15" thickTop="1" x14ac:dyDescent="0.3">
      <c r="B303" s="88" t="s">
        <v>295</v>
      </c>
      <c r="C303" s="171"/>
      <c r="D303" s="2"/>
      <c r="E303" s="99">
        <v>184.69999999999996</v>
      </c>
      <c r="G303" s="88" t="s">
        <v>295</v>
      </c>
      <c r="H303" s="171"/>
      <c r="I303" s="2"/>
      <c r="J303" s="99">
        <v>184.69999999999996</v>
      </c>
      <c r="L303" s="88" t="s">
        <v>295</v>
      </c>
      <c r="M303" s="171"/>
      <c r="N303" s="2"/>
      <c r="O303" s="99">
        <v>184.69999999999996</v>
      </c>
    </row>
    <row r="304" spans="2:15" x14ac:dyDescent="0.3">
      <c r="B304" s="88" t="s">
        <v>357</v>
      </c>
      <c r="C304" s="180"/>
      <c r="D304" s="181"/>
      <c r="E304" s="97">
        <v>860</v>
      </c>
      <c r="G304" s="88" t="s">
        <v>357</v>
      </c>
      <c r="H304" s="180"/>
      <c r="I304" s="181"/>
      <c r="J304" s="97">
        <v>860</v>
      </c>
      <c r="L304" s="88" t="s">
        <v>357</v>
      </c>
      <c r="M304" s="180"/>
      <c r="N304" s="181"/>
      <c r="O304" s="97">
        <v>860</v>
      </c>
    </row>
    <row r="305" spans="2:15" x14ac:dyDescent="0.3">
      <c r="B305" s="88" t="s">
        <v>248</v>
      </c>
      <c r="C305" s="180"/>
      <c r="D305" s="181"/>
      <c r="E305" s="97">
        <v>106</v>
      </c>
      <c r="G305" s="88" t="s">
        <v>248</v>
      </c>
      <c r="H305" s="180"/>
      <c r="I305" s="181"/>
      <c r="J305" s="97">
        <v>106</v>
      </c>
      <c r="L305" s="88" t="s">
        <v>248</v>
      </c>
      <c r="M305" s="180"/>
      <c r="N305" s="181"/>
      <c r="O305" s="97">
        <v>116</v>
      </c>
    </row>
    <row r="306" spans="2:15" x14ac:dyDescent="0.3">
      <c r="B306" s="88" t="s">
        <v>93</v>
      </c>
      <c r="C306" s="2"/>
      <c r="D306" s="2"/>
      <c r="E306" s="96">
        <v>4030</v>
      </c>
      <c r="G306" s="88" t="s">
        <v>93</v>
      </c>
      <c r="H306" s="2"/>
      <c r="I306" s="2"/>
      <c r="J306" s="96">
        <v>4160</v>
      </c>
      <c r="L306" s="88" t="s">
        <v>93</v>
      </c>
      <c r="M306" s="2"/>
      <c r="N306" s="2"/>
      <c r="O306" s="96">
        <v>4810</v>
      </c>
    </row>
    <row r="307" spans="2:15" x14ac:dyDescent="0.3">
      <c r="B307" s="88" t="s">
        <v>100</v>
      </c>
      <c r="C307" s="2"/>
      <c r="D307" s="2"/>
      <c r="E307" s="95">
        <v>310</v>
      </c>
      <c r="G307" s="88" t="s">
        <v>100</v>
      </c>
      <c r="H307" s="2"/>
      <c r="I307" s="2"/>
      <c r="J307" s="95">
        <v>320</v>
      </c>
      <c r="L307" s="88" t="s">
        <v>100</v>
      </c>
      <c r="M307" s="2"/>
      <c r="N307" s="2"/>
      <c r="O307" s="95">
        <v>300.625</v>
      </c>
    </row>
    <row r="308" spans="2:15" x14ac:dyDescent="0.3">
      <c r="B308" s="88" t="s">
        <v>358</v>
      </c>
      <c r="C308" s="2"/>
      <c r="D308" s="2"/>
      <c r="E308" s="96">
        <v>1576.3</v>
      </c>
      <c r="G308" s="88" t="s">
        <v>358</v>
      </c>
      <c r="H308" s="2"/>
      <c r="I308" s="2"/>
      <c r="J308" s="96">
        <v>1642.3</v>
      </c>
      <c r="L308" s="88" t="s">
        <v>358</v>
      </c>
      <c r="M308" s="2"/>
      <c r="N308" s="2"/>
      <c r="O308" s="96">
        <v>1738.3</v>
      </c>
    </row>
    <row r="309" spans="2:15" ht="15" thickBot="1" x14ac:dyDescent="0.35">
      <c r="B309" s="88" t="s">
        <v>96</v>
      </c>
      <c r="C309" s="2"/>
      <c r="D309" s="182"/>
      <c r="E309" s="243">
        <v>346</v>
      </c>
      <c r="G309" s="88" t="s">
        <v>96</v>
      </c>
      <c r="H309" s="2"/>
      <c r="I309" s="182"/>
      <c r="J309" s="243">
        <v>13.67</v>
      </c>
      <c r="L309" s="88" t="s">
        <v>96</v>
      </c>
      <c r="M309" s="2"/>
      <c r="N309" s="182"/>
      <c r="O309" s="243">
        <v>1573.34</v>
      </c>
    </row>
    <row r="310" spans="2:15" ht="15.6" thickTop="1" thickBot="1" x14ac:dyDescent="0.35">
      <c r="B310" s="93" t="s">
        <v>94</v>
      </c>
      <c r="C310" s="94"/>
      <c r="D310" s="184"/>
      <c r="E310" s="185">
        <v>5606.3</v>
      </c>
      <c r="G310" s="93" t="s">
        <v>94</v>
      </c>
      <c r="H310" s="94"/>
      <c r="I310" s="184"/>
      <c r="J310" s="185">
        <v>5802.3</v>
      </c>
      <c r="L310" s="93" t="s">
        <v>94</v>
      </c>
      <c r="M310" s="94"/>
      <c r="N310" s="184"/>
      <c r="O310" s="185">
        <v>6548.3</v>
      </c>
    </row>
    <row r="311" spans="2:15" ht="15.6" thickTop="1" thickBot="1" x14ac:dyDescent="0.35">
      <c r="B311" s="93" t="s">
        <v>99</v>
      </c>
      <c r="C311" s="94"/>
      <c r="D311" s="184"/>
      <c r="E311" s="196">
        <v>5606.2999999999993</v>
      </c>
      <c r="G311" s="93" t="s">
        <v>99</v>
      </c>
      <c r="H311" s="94"/>
      <c r="I311" s="184"/>
      <c r="J311" s="196">
        <v>5802.3000000000011</v>
      </c>
      <c r="L311" s="93" t="s">
        <v>99</v>
      </c>
      <c r="M311" s="94"/>
      <c r="N311" s="184"/>
      <c r="O311" s="196">
        <v>6548.2999999999993</v>
      </c>
    </row>
    <row r="312" spans="2:15" ht="15.6" thickTop="1" thickBot="1" x14ac:dyDescent="0.35">
      <c r="E312" s="268"/>
      <c r="J312" s="268"/>
      <c r="O312" s="268"/>
    </row>
    <row r="313" spans="2:15" ht="15.6" thickTop="1" thickBot="1" x14ac:dyDescent="0.35">
      <c r="B313" s="390" t="s">
        <v>92</v>
      </c>
      <c r="C313" s="391"/>
      <c r="D313" s="244" t="s">
        <v>397</v>
      </c>
      <c r="E313" s="111">
        <v>45792</v>
      </c>
      <c r="G313" s="390" t="s">
        <v>92</v>
      </c>
      <c r="H313" s="391"/>
      <c r="I313" s="244" t="s">
        <v>397</v>
      </c>
      <c r="J313" s="111">
        <v>45823</v>
      </c>
      <c r="L313" s="390" t="s">
        <v>92</v>
      </c>
      <c r="M313" s="391"/>
      <c r="N313" s="244" t="s">
        <v>397</v>
      </c>
      <c r="O313" s="111">
        <v>45853</v>
      </c>
    </row>
    <row r="314" spans="2:15" ht="15.6" thickTop="1" thickBot="1" x14ac:dyDescent="0.35">
      <c r="B314" s="392"/>
      <c r="C314" s="393"/>
      <c r="D314" s="244" t="s">
        <v>398</v>
      </c>
      <c r="E314" s="111">
        <v>44788</v>
      </c>
      <c r="G314" s="392"/>
      <c r="H314" s="393"/>
      <c r="I314" s="244" t="s">
        <v>398</v>
      </c>
      <c r="J314" s="111">
        <v>44788</v>
      </c>
      <c r="L314" s="392"/>
      <c r="M314" s="393"/>
      <c r="N314" s="244" t="s">
        <v>398</v>
      </c>
      <c r="O314" s="111">
        <v>44788</v>
      </c>
    </row>
    <row r="315" spans="2:15" ht="15.6" thickTop="1" thickBot="1" x14ac:dyDescent="0.35">
      <c r="B315" s="394"/>
      <c r="C315" s="395"/>
      <c r="D315" s="244" t="s">
        <v>396</v>
      </c>
      <c r="E315" s="111">
        <v>45822</v>
      </c>
      <c r="G315" s="394"/>
      <c r="H315" s="395"/>
      <c r="I315" s="244" t="s">
        <v>396</v>
      </c>
      <c r="J315" s="111">
        <v>45852</v>
      </c>
      <c r="L315" s="394"/>
      <c r="M315" s="395"/>
      <c r="N315" s="244" t="s">
        <v>396</v>
      </c>
      <c r="O315" s="111">
        <v>45883</v>
      </c>
    </row>
    <row r="316" spans="2:15" ht="15.6" thickTop="1" thickBot="1" x14ac:dyDescent="0.35">
      <c r="B316" s="88" t="s">
        <v>91</v>
      </c>
      <c r="C316" s="2"/>
      <c r="D316" s="2"/>
      <c r="E316" s="170">
        <v>5290</v>
      </c>
      <c r="G316" s="88" t="s">
        <v>91</v>
      </c>
      <c r="H316" s="2"/>
      <c r="I316" s="2"/>
      <c r="J316" s="170">
        <v>5450</v>
      </c>
      <c r="L316" s="88" t="s">
        <v>91</v>
      </c>
      <c r="M316" s="2"/>
      <c r="N316" s="2"/>
      <c r="O316" s="170">
        <v>5760</v>
      </c>
    </row>
    <row r="317" spans="2:15" ht="15.6" thickTop="1" thickBot="1" x14ac:dyDescent="0.35">
      <c r="B317" s="89" t="s">
        <v>169</v>
      </c>
      <c r="C317" s="90"/>
      <c r="D317" s="90"/>
      <c r="E317" s="176"/>
      <c r="G317" s="89" t="s">
        <v>169</v>
      </c>
      <c r="H317" s="90"/>
      <c r="I317" s="90"/>
      <c r="J317" s="176"/>
      <c r="L317" s="89" t="s">
        <v>169</v>
      </c>
      <c r="M317" s="90"/>
      <c r="N317" s="90"/>
      <c r="O317" s="176"/>
    </row>
    <row r="318" spans="2:15" ht="15" thickTop="1" x14ac:dyDescent="0.3">
      <c r="B318" s="174" t="s">
        <v>225</v>
      </c>
      <c r="C318" s="2"/>
      <c r="D318" s="2"/>
      <c r="E318" s="169">
        <v>28380</v>
      </c>
      <c r="G318" s="174" t="s">
        <v>225</v>
      </c>
      <c r="H318" s="2"/>
      <c r="I318" s="2"/>
      <c r="J318" s="169">
        <v>28380</v>
      </c>
      <c r="L318" s="174" t="s">
        <v>225</v>
      </c>
      <c r="M318" s="2"/>
      <c r="N318" s="2"/>
      <c r="O318" s="169">
        <v>28680</v>
      </c>
    </row>
    <row r="319" spans="2:15" x14ac:dyDescent="0.3">
      <c r="B319" s="175" t="s">
        <v>226</v>
      </c>
      <c r="C319" s="2"/>
      <c r="D319" s="2"/>
      <c r="E319" s="97">
        <v>460</v>
      </c>
      <c r="G319" s="175" t="s">
        <v>226</v>
      </c>
      <c r="H319" s="2"/>
      <c r="I319" s="2"/>
      <c r="J319" s="97">
        <v>460</v>
      </c>
      <c r="L319" s="175" t="s">
        <v>226</v>
      </c>
      <c r="M319" s="2"/>
      <c r="N319" s="2"/>
      <c r="O319" s="97">
        <v>460</v>
      </c>
    </row>
    <row r="320" spans="2:15" x14ac:dyDescent="0.3">
      <c r="B320" s="88" t="s">
        <v>103</v>
      </c>
      <c r="C320" s="2"/>
      <c r="D320" s="2"/>
      <c r="E320" s="98">
        <v>3540</v>
      </c>
      <c r="G320" s="88" t="s">
        <v>103</v>
      </c>
      <c r="H320" s="2"/>
      <c r="I320" s="2"/>
      <c r="J320" s="98">
        <v>0</v>
      </c>
      <c r="L320" s="88" t="s">
        <v>103</v>
      </c>
      <c r="M320" s="2"/>
      <c r="N320" s="2"/>
      <c r="O320" s="98">
        <v>300</v>
      </c>
    </row>
    <row r="321" spans="2:15" x14ac:dyDescent="0.3">
      <c r="B321" s="175" t="s">
        <v>227</v>
      </c>
      <c r="C321" s="2"/>
      <c r="D321" s="2"/>
      <c r="E321" s="177">
        <v>3316.4</v>
      </c>
      <c r="G321" s="175" t="s">
        <v>227</v>
      </c>
      <c r="H321" s="2"/>
      <c r="I321" s="2"/>
      <c r="J321" s="177">
        <v>3316.4</v>
      </c>
      <c r="L321" s="175" t="s">
        <v>227</v>
      </c>
      <c r="M321" s="2"/>
      <c r="N321" s="2"/>
      <c r="O321" s="177">
        <v>3322.4</v>
      </c>
    </row>
    <row r="322" spans="2:15" ht="15" thickBot="1" x14ac:dyDescent="0.35">
      <c r="B322" s="88" t="s">
        <v>105</v>
      </c>
      <c r="C322" s="2"/>
      <c r="D322" s="2"/>
      <c r="E322" s="98">
        <v>786.8</v>
      </c>
      <c r="G322" s="88" t="s">
        <v>105</v>
      </c>
      <c r="H322" s="2"/>
      <c r="I322" s="2"/>
      <c r="J322" s="98">
        <v>0</v>
      </c>
      <c r="L322" s="88" t="s">
        <v>105</v>
      </c>
      <c r="M322" s="2"/>
      <c r="N322" s="2"/>
      <c r="O322" s="98">
        <v>6</v>
      </c>
    </row>
    <row r="323" spans="2:15" ht="15.6" thickTop="1" thickBot="1" x14ac:dyDescent="0.35">
      <c r="B323" s="178" t="s">
        <v>39</v>
      </c>
      <c r="C323" s="90"/>
      <c r="D323" s="90"/>
      <c r="E323" s="176"/>
      <c r="G323" s="178" t="s">
        <v>39</v>
      </c>
      <c r="H323" s="90"/>
      <c r="I323" s="90"/>
      <c r="J323" s="176"/>
      <c r="L323" s="178" t="s">
        <v>39</v>
      </c>
      <c r="M323" s="90"/>
      <c r="N323" s="90"/>
      <c r="O323" s="176"/>
    </row>
    <row r="324" spans="2:15" ht="15" thickTop="1" x14ac:dyDescent="0.3">
      <c r="B324" s="88" t="s">
        <v>101</v>
      </c>
      <c r="C324" s="2"/>
      <c r="D324" s="2"/>
      <c r="E324" s="97">
        <v>21830.04</v>
      </c>
      <c r="G324" s="88" t="s">
        <v>101</v>
      </c>
      <c r="H324" s="2"/>
      <c r="I324" s="2"/>
      <c r="J324" s="97">
        <v>23251.71</v>
      </c>
      <c r="L324" s="88" t="s">
        <v>101</v>
      </c>
      <c r="M324" s="2"/>
      <c r="N324" s="2"/>
      <c r="O324" s="97">
        <v>24733.389999999996</v>
      </c>
    </row>
    <row r="325" spans="2:15" x14ac:dyDescent="0.3">
      <c r="B325" s="88" t="s">
        <v>104</v>
      </c>
      <c r="C325" s="2"/>
      <c r="D325" s="2"/>
      <c r="E325" s="98">
        <v>1215</v>
      </c>
      <c r="G325" s="88" t="s">
        <v>104</v>
      </c>
      <c r="H325" s="2"/>
      <c r="I325" s="2"/>
      <c r="J325" s="98">
        <v>1421.67</v>
      </c>
      <c r="L325" s="88" t="s">
        <v>104</v>
      </c>
      <c r="M325" s="2"/>
      <c r="N325" s="2"/>
      <c r="O325" s="98">
        <v>1481.68</v>
      </c>
    </row>
    <row r="326" spans="2:15" ht="15" thickBot="1" x14ac:dyDescent="0.35">
      <c r="B326" s="102" t="s">
        <v>95</v>
      </c>
      <c r="C326" s="101"/>
      <c r="D326" s="92"/>
      <c r="E326" s="100">
        <v>6549.9599999999991</v>
      </c>
      <c r="G326" s="102" t="s">
        <v>95</v>
      </c>
      <c r="H326" s="101"/>
      <c r="I326" s="92"/>
      <c r="J326" s="100">
        <v>5128.2900000000009</v>
      </c>
      <c r="L326" s="102" t="s">
        <v>95</v>
      </c>
      <c r="M326" s="101"/>
      <c r="N326" s="92"/>
      <c r="O326" s="100">
        <v>3946.6100000000042</v>
      </c>
    </row>
    <row r="327" spans="2:15" ht="15" thickTop="1" x14ac:dyDescent="0.3">
      <c r="B327" s="88" t="s">
        <v>102</v>
      </c>
      <c r="C327" s="2"/>
      <c r="D327" s="2"/>
      <c r="E327" s="97">
        <v>2137.6</v>
      </c>
      <c r="G327" s="88" t="s">
        <v>102</v>
      </c>
      <c r="H327" s="2"/>
      <c r="I327" s="2"/>
      <c r="J327" s="97">
        <v>2326.3999999999996</v>
      </c>
      <c r="L327" s="88" t="s">
        <v>102</v>
      </c>
      <c r="M327" s="2"/>
      <c r="N327" s="2"/>
      <c r="O327" s="97">
        <v>2516.3999999999996</v>
      </c>
    </row>
    <row r="328" spans="2:15" x14ac:dyDescent="0.3">
      <c r="B328" s="88" t="s">
        <v>106</v>
      </c>
      <c r="C328" s="2"/>
      <c r="D328" s="2"/>
      <c r="E328" s="98">
        <v>138</v>
      </c>
      <c r="G328" s="88" t="s">
        <v>106</v>
      </c>
      <c r="H328" s="2"/>
      <c r="I328" s="2"/>
      <c r="J328" s="98">
        <v>188.8</v>
      </c>
      <c r="L328" s="88" t="s">
        <v>106</v>
      </c>
      <c r="M328" s="2"/>
      <c r="N328" s="2"/>
      <c r="O328" s="98">
        <v>190</v>
      </c>
    </row>
    <row r="329" spans="2:15" ht="15" thickBot="1" x14ac:dyDescent="0.35">
      <c r="B329" s="102" t="s">
        <v>98</v>
      </c>
      <c r="C329" s="92"/>
      <c r="D329" s="92"/>
      <c r="E329" s="100">
        <v>1178.8000000000002</v>
      </c>
      <c r="G329" s="102" t="s">
        <v>98</v>
      </c>
      <c r="H329" s="92"/>
      <c r="I329" s="92"/>
      <c r="J329" s="100">
        <v>990.00000000000045</v>
      </c>
      <c r="L329" s="102" t="s">
        <v>98</v>
      </c>
      <c r="M329" s="92"/>
      <c r="N329" s="92"/>
      <c r="O329" s="100">
        <v>806.00000000000045</v>
      </c>
    </row>
    <row r="330" spans="2:15" ht="15.6" thickTop="1" thickBot="1" x14ac:dyDescent="0.35">
      <c r="B330" s="89" t="s">
        <v>228</v>
      </c>
      <c r="C330" s="179"/>
      <c r="D330" s="90"/>
      <c r="E330" s="183"/>
      <c r="G330" s="89" t="s">
        <v>228</v>
      </c>
      <c r="H330" s="179"/>
      <c r="I330" s="90"/>
      <c r="J330" s="183"/>
      <c r="L330" s="89" t="s">
        <v>228</v>
      </c>
      <c r="M330" s="179"/>
      <c r="N330" s="90"/>
      <c r="O330" s="183"/>
    </row>
    <row r="331" spans="2:15" ht="15" thickTop="1" x14ac:dyDescent="0.3">
      <c r="B331" s="88" t="s">
        <v>295</v>
      </c>
      <c r="C331" s="171"/>
      <c r="D331" s="2"/>
      <c r="E331" s="99">
        <v>184.69999999999996</v>
      </c>
      <c r="G331" s="88" t="s">
        <v>295</v>
      </c>
      <c r="H331" s="171"/>
      <c r="I331" s="2"/>
      <c r="J331" s="99">
        <v>184.69999999999996</v>
      </c>
      <c r="L331" s="88" t="s">
        <v>295</v>
      </c>
      <c r="M331" s="171"/>
      <c r="N331" s="2"/>
      <c r="O331" s="99">
        <v>184.69999999999996</v>
      </c>
    </row>
    <row r="332" spans="2:15" x14ac:dyDescent="0.3">
      <c r="B332" s="88" t="s">
        <v>357</v>
      </c>
      <c r="C332" s="180"/>
      <c r="D332" s="181"/>
      <c r="E332" s="97">
        <v>860</v>
      </c>
      <c r="G332" s="88" t="s">
        <v>357</v>
      </c>
      <c r="H332" s="180"/>
      <c r="I332" s="181"/>
      <c r="J332" s="97">
        <v>860</v>
      </c>
      <c r="L332" s="88" t="s">
        <v>357</v>
      </c>
      <c r="M332" s="180"/>
      <c r="N332" s="181"/>
      <c r="O332" s="97">
        <v>860</v>
      </c>
    </row>
    <row r="333" spans="2:15" x14ac:dyDescent="0.3">
      <c r="B333" s="88" t="s">
        <v>248</v>
      </c>
      <c r="C333" s="180"/>
      <c r="D333" s="181"/>
      <c r="E333" s="97">
        <v>136</v>
      </c>
      <c r="G333" s="88" t="s">
        <v>248</v>
      </c>
      <c r="H333" s="180"/>
      <c r="I333" s="181"/>
      <c r="J333" s="97">
        <v>136</v>
      </c>
      <c r="L333" s="88" t="s">
        <v>248</v>
      </c>
      <c r="M333" s="180"/>
      <c r="N333" s="181"/>
      <c r="O333" s="97">
        <v>136</v>
      </c>
    </row>
    <row r="334" spans="2:15" x14ac:dyDescent="0.3">
      <c r="B334" s="88" t="s">
        <v>93</v>
      </c>
      <c r="C334" s="2"/>
      <c r="D334" s="2"/>
      <c r="E334" s="96">
        <v>5290</v>
      </c>
      <c r="G334" s="88" t="s">
        <v>93</v>
      </c>
      <c r="H334" s="2"/>
      <c r="I334" s="2"/>
      <c r="J334" s="96">
        <v>5450</v>
      </c>
      <c r="L334" s="88" t="s">
        <v>93</v>
      </c>
      <c r="M334" s="2"/>
      <c r="N334" s="2"/>
      <c r="O334" s="96">
        <v>5760</v>
      </c>
    </row>
    <row r="335" spans="2:15" x14ac:dyDescent="0.3">
      <c r="B335" s="88" t="s">
        <v>100</v>
      </c>
      <c r="C335" s="2"/>
      <c r="D335" s="2"/>
      <c r="E335" s="95">
        <v>330.625</v>
      </c>
      <c r="G335" s="88" t="s">
        <v>100</v>
      </c>
      <c r="H335" s="2"/>
      <c r="I335" s="2"/>
      <c r="J335" s="95">
        <v>340.625</v>
      </c>
      <c r="L335" s="88" t="s">
        <v>100</v>
      </c>
      <c r="M335" s="2"/>
      <c r="N335" s="2"/>
      <c r="O335" s="95">
        <v>360</v>
      </c>
    </row>
    <row r="336" spans="2:15" x14ac:dyDescent="0.3">
      <c r="B336" s="88" t="s">
        <v>358</v>
      </c>
      <c r="C336" s="2"/>
      <c r="D336" s="2"/>
      <c r="E336" s="96">
        <v>2505.1</v>
      </c>
      <c r="G336" s="88" t="s">
        <v>358</v>
      </c>
      <c r="H336" s="2"/>
      <c r="I336" s="2"/>
      <c r="J336" s="96">
        <v>2505.1</v>
      </c>
      <c r="L336" s="88" t="s">
        <v>358</v>
      </c>
      <c r="M336" s="2"/>
      <c r="N336" s="2"/>
      <c r="O336" s="96">
        <v>2511.1</v>
      </c>
    </row>
    <row r="337" spans="2:15" ht="15" thickBot="1" x14ac:dyDescent="0.35">
      <c r="B337" s="88" t="s">
        <v>96</v>
      </c>
      <c r="C337" s="2"/>
      <c r="D337" s="182"/>
      <c r="E337" s="243">
        <v>66.34</v>
      </c>
      <c r="G337" s="88" t="s">
        <v>96</v>
      </c>
      <c r="H337" s="2"/>
      <c r="I337" s="182"/>
      <c r="J337" s="243">
        <v>1836.81</v>
      </c>
      <c r="L337" s="88" t="s">
        <v>96</v>
      </c>
      <c r="M337" s="2"/>
      <c r="N337" s="182"/>
      <c r="O337" s="243">
        <v>3518.49</v>
      </c>
    </row>
    <row r="338" spans="2:15" ht="15.6" thickTop="1" thickBot="1" x14ac:dyDescent="0.35">
      <c r="B338" s="93" t="s">
        <v>94</v>
      </c>
      <c r="C338" s="94"/>
      <c r="D338" s="184"/>
      <c r="E338" s="185">
        <v>7795.1</v>
      </c>
      <c r="G338" s="93" t="s">
        <v>94</v>
      </c>
      <c r="H338" s="94"/>
      <c r="I338" s="184"/>
      <c r="J338" s="185">
        <v>7955.1</v>
      </c>
      <c r="L338" s="93" t="s">
        <v>94</v>
      </c>
      <c r="M338" s="94"/>
      <c r="N338" s="184"/>
      <c r="O338" s="185">
        <v>8271.1</v>
      </c>
    </row>
    <row r="339" spans="2:15" ht="15.6" thickTop="1" thickBot="1" x14ac:dyDescent="0.35">
      <c r="B339" s="93" t="s">
        <v>99</v>
      </c>
      <c r="C339" s="94"/>
      <c r="D339" s="184"/>
      <c r="E339" s="196">
        <v>7795.0999999999995</v>
      </c>
      <c r="G339" s="93" t="s">
        <v>99</v>
      </c>
      <c r="H339" s="93"/>
      <c r="I339" s="184"/>
      <c r="J339" s="196">
        <v>7955.1</v>
      </c>
      <c r="L339" s="93" t="s">
        <v>99</v>
      </c>
      <c r="M339" s="94"/>
      <c r="N339" s="184"/>
      <c r="O339" s="196">
        <v>8271.100000000004</v>
      </c>
    </row>
    <row r="340" spans="2:15" ht="15.6" thickTop="1" thickBot="1" x14ac:dyDescent="0.35">
      <c r="E340" s="268"/>
      <c r="J340" s="268"/>
      <c r="O340" s="268"/>
    </row>
    <row r="341" spans="2:15" ht="15.6" thickTop="1" thickBot="1" x14ac:dyDescent="0.35">
      <c r="B341" s="390" t="s">
        <v>92</v>
      </c>
      <c r="C341" s="391"/>
      <c r="D341" s="244" t="s">
        <v>397</v>
      </c>
      <c r="E341" s="111">
        <v>45884</v>
      </c>
      <c r="G341" s="390" t="s">
        <v>92</v>
      </c>
      <c r="H341" s="391"/>
      <c r="I341" s="244" t="s">
        <v>397</v>
      </c>
      <c r="J341" s="111">
        <v>45915</v>
      </c>
      <c r="L341" s="390" t="s">
        <v>92</v>
      </c>
      <c r="M341" s="391"/>
      <c r="N341" s="244" t="s">
        <v>397</v>
      </c>
      <c r="O341" s="111"/>
    </row>
    <row r="342" spans="2:15" ht="15.6" thickTop="1" thickBot="1" x14ac:dyDescent="0.35">
      <c r="B342" s="392"/>
      <c r="C342" s="393"/>
      <c r="D342" s="244" t="s">
        <v>398</v>
      </c>
      <c r="E342" s="111">
        <v>44788</v>
      </c>
      <c r="G342" s="392"/>
      <c r="H342" s="393"/>
      <c r="I342" s="244" t="s">
        <v>398</v>
      </c>
      <c r="J342" s="111">
        <v>44788</v>
      </c>
      <c r="L342" s="392"/>
      <c r="M342" s="393"/>
      <c r="N342" s="244" t="s">
        <v>398</v>
      </c>
      <c r="O342" s="111"/>
    </row>
    <row r="343" spans="2:15" ht="15.6" thickTop="1" thickBot="1" x14ac:dyDescent="0.35">
      <c r="B343" s="394"/>
      <c r="C343" s="395"/>
      <c r="D343" s="244" t="s">
        <v>396</v>
      </c>
      <c r="E343" s="111">
        <v>45914</v>
      </c>
      <c r="G343" s="394"/>
      <c r="H343" s="395"/>
      <c r="I343" s="244" t="s">
        <v>396</v>
      </c>
      <c r="J343" s="111">
        <v>45944</v>
      </c>
      <c r="L343" s="394"/>
      <c r="M343" s="395"/>
      <c r="N343" s="244" t="s">
        <v>396</v>
      </c>
      <c r="O343" s="111"/>
    </row>
    <row r="344" spans="2:15" ht="15.6" thickTop="1" thickBot="1" x14ac:dyDescent="0.35">
      <c r="B344" s="88" t="s">
        <v>91</v>
      </c>
      <c r="C344" s="2"/>
      <c r="D344" s="2"/>
      <c r="E344" s="170">
        <v>5920</v>
      </c>
      <c r="G344" s="88" t="s">
        <v>91</v>
      </c>
      <c r="H344" s="2"/>
      <c r="I344" s="2"/>
      <c r="J344" s="170">
        <v>6080</v>
      </c>
      <c r="L344" s="88" t="s">
        <v>91</v>
      </c>
      <c r="M344" s="2"/>
      <c r="N344" s="2"/>
      <c r="O344" s="170"/>
    </row>
    <row r="345" spans="2:15" ht="15.6" thickTop="1" thickBot="1" x14ac:dyDescent="0.35">
      <c r="B345" s="89" t="s">
        <v>169</v>
      </c>
      <c r="C345" s="90"/>
      <c r="D345" s="90"/>
      <c r="E345" s="176"/>
      <c r="G345" s="89" t="s">
        <v>169</v>
      </c>
      <c r="H345" s="90"/>
      <c r="I345" s="90"/>
      <c r="J345" s="176"/>
      <c r="L345" s="89" t="s">
        <v>169</v>
      </c>
      <c r="M345" s="90"/>
      <c r="N345" s="90"/>
      <c r="O345" s="176"/>
    </row>
    <row r="346" spans="2:15" ht="15" thickTop="1" x14ac:dyDescent="0.3">
      <c r="B346" s="174" t="s">
        <v>225</v>
      </c>
      <c r="C346" s="2"/>
      <c r="D346" s="2"/>
      <c r="E346" s="169">
        <v>32280</v>
      </c>
      <c r="G346" s="174" t="s">
        <v>225</v>
      </c>
      <c r="H346" s="2"/>
      <c r="I346" s="2"/>
      <c r="J346" s="169">
        <v>34230</v>
      </c>
      <c r="L346" s="174" t="s">
        <v>225</v>
      </c>
      <c r="M346" s="2"/>
      <c r="N346" s="2"/>
      <c r="O346" s="169"/>
    </row>
    <row r="347" spans="2:15" x14ac:dyDescent="0.3">
      <c r="B347" s="175" t="s">
        <v>226</v>
      </c>
      <c r="C347" s="2"/>
      <c r="D347" s="2"/>
      <c r="E347" s="97">
        <v>460</v>
      </c>
      <c r="G347" s="175" t="s">
        <v>226</v>
      </c>
      <c r="H347" s="2"/>
      <c r="I347" s="2"/>
      <c r="J347" s="97">
        <v>460</v>
      </c>
      <c r="L347" s="175" t="s">
        <v>226</v>
      </c>
      <c r="M347" s="2"/>
      <c r="N347" s="2"/>
      <c r="O347" s="97"/>
    </row>
    <row r="348" spans="2:15" x14ac:dyDescent="0.3">
      <c r="B348" s="88" t="s">
        <v>103</v>
      </c>
      <c r="C348" s="2"/>
      <c r="D348" s="2"/>
      <c r="E348" s="98">
        <v>3600</v>
      </c>
      <c r="G348" s="88" t="s">
        <v>103</v>
      </c>
      <c r="H348" s="2"/>
      <c r="I348" s="2"/>
      <c r="J348" s="98">
        <v>1000</v>
      </c>
      <c r="L348" s="88" t="s">
        <v>103</v>
      </c>
      <c r="M348" s="2"/>
      <c r="N348" s="2"/>
      <c r="O348" s="98"/>
    </row>
    <row r="349" spans="2:15" x14ac:dyDescent="0.3">
      <c r="B349" s="175" t="s">
        <v>227</v>
      </c>
      <c r="C349" s="2"/>
      <c r="D349" s="2"/>
      <c r="E349" s="177">
        <v>3976.4</v>
      </c>
      <c r="G349" s="175" t="s">
        <v>227</v>
      </c>
      <c r="H349" s="2"/>
      <c r="I349" s="2"/>
      <c r="J349" s="177">
        <v>4086.6000000000004</v>
      </c>
      <c r="L349" s="175" t="s">
        <v>227</v>
      </c>
      <c r="M349" s="2"/>
      <c r="N349" s="2"/>
      <c r="O349" s="177"/>
    </row>
    <row r="350" spans="2:15" ht="15" thickBot="1" x14ac:dyDescent="0.35">
      <c r="B350" s="88" t="s">
        <v>105</v>
      </c>
      <c r="C350" s="2"/>
      <c r="D350" s="2"/>
      <c r="E350" s="98">
        <v>654</v>
      </c>
      <c r="G350" s="88" t="s">
        <v>105</v>
      </c>
      <c r="H350" s="2"/>
      <c r="I350" s="2"/>
      <c r="J350" s="98">
        <v>76</v>
      </c>
      <c r="L350" s="88" t="s">
        <v>105</v>
      </c>
      <c r="M350" s="2"/>
      <c r="N350" s="2"/>
      <c r="O350" s="98"/>
    </row>
    <row r="351" spans="2:15" ht="15.6" thickTop="1" thickBot="1" x14ac:dyDescent="0.35">
      <c r="B351" s="178" t="s">
        <v>39</v>
      </c>
      <c r="C351" s="90"/>
      <c r="D351" s="90"/>
      <c r="E351" s="176"/>
      <c r="G351" s="178" t="s">
        <v>39</v>
      </c>
      <c r="H351" s="90"/>
      <c r="I351" s="90"/>
      <c r="J351" s="176"/>
      <c r="L351" s="178" t="s">
        <v>39</v>
      </c>
      <c r="M351" s="90"/>
      <c r="N351" s="90"/>
      <c r="O351" s="176"/>
    </row>
    <row r="352" spans="2:15" ht="15" thickTop="1" x14ac:dyDescent="0.3">
      <c r="B352" s="88" t="s">
        <v>101</v>
      </c>
      <c r="C352" s="2"/>
      <c r="D352" s="2"/>
      <c r="E352" s="97">
        <v>25940.059999999987</v>
      </c>
      <c r="G352" s="88" t="s">
        <v>101</v>
      </c>
      <c r="H352" s="2"/>
      <c r="I352" s="2"/>
      <c r="J352" s="320">
        <v>27570.729999999985</v>
      </c>
      <c r="L352" s="88" t="s">
        <v>101</v>
      </c>
      <c r="M352" s="2"/>
      <c r="N352" s="2"/>
      <c r="O352" s="320"/>
    </row>
    <row r="353" spans="2:15" x14ac:dyDescent="0.3">
      <c r="B353" s="88" t="s">
        <v>104</v>
      </c>
      <c r="C353" s="2"/>
      <c r="D353" s="2"/>
      <c r="E353" s="98">
        <v>1206.67</v>
      </c>
      <c r="G353" s="88" t="s">
        <v>104</v>
      </c>
      <c r="H353" s="2"/>
      <c r="I353" s="2"/>
      <c r="J353" s="98">
        <v>1095.67</v>
      </c>
      <c r="L353" s="88" t="s">
        <v>104</v>
      </c>
      <c r="M353" s="2"/>
      <c r="N353" s="2"/>
      <c r="O353" s="98"/>
    </row>
    <row r="354" spans="2:15" ht="15" thickBot="1" x14ac:dyDescent="0.35">
      <c r="B354" s="102" t="s">
        <v>95</v>
      </c>
      <c r="C354" s="101"/>
      <c r="D354" s="92"/>
      <c r="E354" s="100">
        <v>6339.9400000000132</v>
      </c>
      <c r="G354" s="102" t="s">
        <v>95</v>
      </c>
      <c r="H354" s="101"/>
      <c r="I354" s="92"/>
      <c r="J354" s="100">
        <v>6659.270000000015</v>
      </c>
      <c r="L354" s="102" t="s">
        <v>95</v>
      </c>
      <c r="M354" s="101"/>
      <c r="N354" s="92"/>
      <c r="O354" s="100"/>
    </row>
    <row r="355" spans="2:15" ht="15" thickTop="1" x14ac:dyDescent="0.3">
      <c r="B355" s="88" t="s">
        <v>102</v>
      </c>
      <c r="C355" s="2"/>
      <c r="D355" s="2"/>
      <c r="E355" s="97">
        <v>2728.3999999999996</v>
      </c>
      <c r="G355" s="88" t="s">
        <v>102</v>
      </c>
      <c r="H355" s="2"/>
      <c r="I355" s="2"/>
      <c r="J355" s="320">
        <v>2899.3999999999996</v>
      </c>
      <c r="L355" s="88" t="s">
        <v>102</v>
      </c>
      <c r="M355" s="2"/>
      <c r="N355" s="2"/>
      <c r="O355" s="320"/>
    </row>
    <row r="356" spans="2:15" x14ac:dyDescent="0.3">
      <c r="B356" s="88" t="s">
        <v>106</v>
      </c>
      <c r="C356" s="2"/>
      <c r="D356" s="2"/>
      <c r="E356" s="98">
        <v>162</v>
      </c>
      <c r="G356" s="88" t="s">
        <v>106</v>
      </c>
      <c r="H356" s="2"/>
      <c r="I356" s="2"/>
      <c r="J356" s="98">
        <v>156.19999999999999</v>
      </c>
      <c r="L356" s="88" t="s">
        <v>106</v>
      </c>
      <c r="M356" s="2"/>
      <c r="N356" s="2"/>
      <c r="O356" s="98"/>
    </row>
    <row r="357" spans="2:15" ht="15" thickBot="1" x14ac:dyDescent="0.35">
      <c r="B357" s="102" t="s">
        <v>98</v>
      </c>
      <c r="C357" s="92"/>
      <c r="D357" s="92"/>
      <c r="E357" s="100">
        <v>1248.0000000000005</v>
      </c>
      <c r="G357" s="102" t="s">
        <v>98</v>
      </c>
      <c r="H357" s="92"/>
      <c r="I357" s="92"/>
      <c r="J357" s="100">
        <v>1187.2000000000007</v>
      </c>
      <c r="L357" s="102" t="s">
        <v>98</v>
      </c>
      <c r="M357" s="92"/>
      <c r="N357" s="92"/>
      <c r="O357" s="100"/>
    </row>
    <row r="358" spans="2:15" ht="15.6" thickTop="1" thickBot="1" x14ac:dyDescent="0.35">
      <c r="B358" s="89" t="s">
        <v>228</v>
      </c>
      <c r="C358" s="179"/>
      <c r="D358" s="90"/>
      <c r="E358" s="183"/>
      <c r="G358" s="89" t="s">
        <v>228</v>
      </c>
      <c r="H358" s="179"/>
      <c r="I358" s="90"/>
      <c r="J358" s="318"/>
      <c r="L358" s="89" t="s">
        <v>228</v>
      </c>
      <c r="M358" s="179"/>
      <c r="N358" s="90"/>
      <c r="O358" s="318"/>
    </row>
    <row r="359" spans="2:15" ht="15" thickTop="1" x14ac:dyDescent="0.3">
      <c r="B359" s="88" t="s">
        <v>295</v>
      </c>
      <c r="C359" s="171"/>
      <c r="D359" s="2"/>
      <c r="E359" s="99">
        <v>194.69999999999996</v>
      </c>
      <c r="G359" s="88" t="s">
        <v>295</v>
      </c>
      <c r="H359" s="171"/>
      <c r="I359" s="2"/>
      <c r="J359" s="99">
        <v>199.69999999999996</v>
      </c>
      <c r="L359" s="88" t="s">
        <v>295</v>
      </c>
      <c r="M359" s="171"/>
      <c r="N359" s="2"/>
      <c r="O359" s="99"/>
    </row>
    <row r="360" spans="2:15" x14ac:dyDescent="0.3">
      <c r="B360" s="88" t="s">
        <v>357</v>
      </c>
      <c r="C360" s="180"/>
      <c r="D360" s="181"/>
      <c r="E360" s="97">
        <v>860</v>
      </c>
      <c r="G360" s="88" t="s">
        <v>422</v>
      </c>
      <c r="H360" s="180"/>
      <c r="I360" s="181"/>
      <c r="J360" s="97">
        <v>860</v>
      </c>
      <c r="L360" s="88" t="s">
        <v>422</v>
      </c>
      <c r="M360" s="180"/>
      <c r="N360" s="181"/>
      <c r="O360" s="97"/>
    </row>
    <row r="361" spans="2:15" x14ac:dyDescent="0.3">
      <c r="B361" s="88" t="s">
        <v>248</v>
      </c>
      <c r="C361" s="180"/>
      <c r="D361" s="181"/>
      <c r="E361" s="97">
        <v>196</v>
      </c>
      <c r="G361" s="88" t="s">
        <v>248</v>
      </c>
      <c r="H361" s="180"/>
      <c r="I361" s="181"/>
      <c r="J361" s="97">
        <v>206</v>
      </c>
      <c r="L361" s="88" t="s">
        <v>248</v>
      </c>
      <c r="M361" s="180"/>
      <c r="N361" s="181"/>
      <c r="O361" s="97"/>
    </row>
    <row r="362" spans="2:15" x14ac:dyDescent="0.3">
      <c r="B362" s="88" t="s">
        <v>93</v>
      </c>
      <c r="C362" s="2"/>
      <c r="D362" s="2"/>
      <c r="E362" s="96">
        <v>5920</v>
      </c>
      <c r="G362" s="88" t="s">
        <v>93</v>
      </c>
      <c r="H362" s="2"/>
      <c r="I362" s="2"/>
      <c r="J362" s="96">
        <v>6080</v>
      </c>
      <c r="L362" s="88" t="s">
        <v>93</v>
      </c>
      <c r="M362" s="2"/>
      <c r="N362" s="2"/>
      <c r="O362" s="96"/>
    </row>
    <row r="363" spans="2:15" x14ac:dyDescent="0.3">
      <c r="B363" s="88" t="s">
        <v>100</v>
      </c>
      <c r="C363" s="2"/>
      <c r="D363" s="2"/>
      <c r="E363" s="95">
        <v>370</v>
      </c>
      <c r="G363" s="88" t="s">
        <v>100</v>
      </c>
      <c r="H363" s="2"/>
      <c r="I363" s="2"/>
      <c r="J363" s="95">
        <v>380</v>
      </c>
      <c r="L363" s="88" t="s">
        <v>100</v>
      </c>
      <c r="M363" s="2"/>
      <c r="N363" s="2"/>
      <c r="O363" s="95"/>
    </row>
    <row r="364" spans="2:15" x14ac:dyDescent="0.3">
      <c r="B364" s="88" t="s">
        <v>358</v>
      </c>
      <c r="C364" s="2"/>
      <c r="D364" s="2"/>
      <c r="E364" s="96">
        <v>3115.1</v>
      </c>
      <c r="G364" s="88" t="s">
        <v>358</v>
      </c>
      <c r="H364" s="2"/>
      <c r="I364" s="2"/>
      <c r="J364" s="96">
        <v>3220.3</v>
      </c>
      <c r="L364" s="88" t="s">
        <v>358</v>
      </c>
      <c r="M364" s="2"/>
      <c r="N364" s="2"/>
      <c r="O364" s="96"/>
    </row>
    <row r="365" spans="2:15" ht="15" thickBot="1" x14ac:dyDescent="0.35">
      <c r="B365" s="88" t="s">
        <v>96</v>
      </c>
      <c r="C365" s="2"/>
      <c r="D365" s="182"/>
      <c r="E365" s="243">
        <v>1041.96</v>
      </c>
      <c r="G365" s="88" t="s">
        <v>96</v>
      </c>
      <c r="H365" s="2"/>
      <c r="I365" s="182"/>
      <c r="J365" s="243">
        <v>1453.83</v>
      </c>
      <c r="L365" s="88" t="s">
        <v>96</v>
      </c>
      <c r="M365" s="2"/>
      <c r="N365" s="182"/>
      <c r="O365" s="243"/>
    </row>
    <row r="366" spans="2:15" ht="15.6" thickTop="1" thickBot="1" x14ac:dyDescent="0.35">
      <c r="B366" s="93" t="s">
        <v>94</v>
      </c>
      <c r="C366" s="94"/>
      <c r="D366" s="184"/>
      <c r="E366" s="185">
        <v>9035.1</v>
      </c>
      <c r="G366" s="93" t="s">
        <v>94</v>
      </c>
      <c r="H366" s="94"/>
      <c r="I366" s="184"/>
      <c r="J366" s="185">
        <v>9300.2999999999993</v>
      </c>
      <c r="L366" s="93" t="s">
        <v>94</v>
      </c>
      <c r="M366" s="94"/>
      <c r="N366" s="184"/>
      <c r="O366" s="185"/>
    </row>
    <row r="367" spans="2:15" ht="15.6" thickTop="1" thickBot="1" x14ac:dyDescent="0.35">
      <c r="B367" s="93" t="s">
        <v>99</v>
      </c>
      <c r="C367" s="94"/>
      <c r="D367" s="184"/>
      <c r="E367" s="196">
        <v>9035.1000000000131</v>
      </c>
      <c r="G367" s="93" t="s">
        <v>99</v>
      </c>
      <c r="H367" s="94"/>
      <c r="I367" s="184"/>
      <c r="J367" s="196">
        <v>9300.3000000000156</v>
      </c>
      <c r="L367" s="93" t="s">
        <v>99</v>
      </c>
      <c r="M367" s="94"/>
      <c r="N367" s="184"/>
      <c r="O367" s="196"/>
    </row>
    <row r="368" spans="2:15" ht="15" thickTop="1" x14ac:dyDescent="0.3"/>
  </sheetData>
  <mergeCells count="40"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  <mergeCell ref="G60:H62"/>
    <mergeCell ref="L60:M62"/>
    <mergeCell ref="B88:C90"/>
    <mergeCell ref="G88:H90"/>
    <mergeCell ref="L88:M90"/>
    <mergeCell ref="B229:C231"/>
    <mergeCell ref="G229:H231"/>
    <mergeCell ref="B257:C259"/>
    <mergeCell ref="G257:H259"/>
    <mergeCell ref="B285:C287"/>
    <mergeCell ref="G285:H287"/>
    <mergeCell ref="B173:C175"/>
    <mergeCell ref="G173:H175"/>
    <mergeCell ref="L173:M175"/>
    <mergeCell ref="B201:C203"/>
    <mergeCell ref="G201:H203"/>
    <mergeCell ref="L201:M203"/>
    <mergeCell ref="B341:C343"/>
    <mergeCell ref="L285:M287"/>
    <mergeCell ref="B313:C315"/>
    <mergeCell ref="G313:H315"/>
    <mergeCell ref="L313:M315"/>
    <mergeCell ref="G341:H343"/>
    <mergeCell ref="L341:M343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96" t="s">
        <v>296</v>
      </c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</row>
    <row r="3" spans="2:17" x14ac:dyDescent="0.3">
      <c r="B3" s="396"/>
      <c r="C3" s="396"/>
      <c r="D3" s="396"/>
      <c r="E3" s="396"/>
      <c r="F3" s="396"/>
      <c r="G3" s="396"/>
      <c r="H3" s="396"/>
      <c r="I3" s="396"/>
      <c r="J3" s="396"/>
      <c r="K3" s="396"/>
      <c r="L3" s="396"/>
      <c r="M3" s="396"/>
      <c r="N3" s="396"/>
      <c r="O3" s="396"/>
      <c r="Q3" s="24"/>
    </row>
    <row r="4" spans="2:17" x14ac:dyDescent="0.3">
      <c r="B4" s="396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Q4" s="24"/>
    </row>
    <row r="5" spans="2:17" ht="15" thickBot="1" x14ac:dyDescent="0.35">
      <c r="Q5" s="24"/>
    </row>
    <row r="6" spans="2:17" ht="15.6" thickTop="1" thickBot="1" x14ac:dyDescent="0.35">
      <c r="B6" s="390" t="s">
        <v>92</v>
      </c>
      <c r="C6" s="397"/>
      <c r="D6" s="391"/>
      <c r="E6" s="111">
        <v>44788</v>
      </c>
      <c r="G6" s="390" t="s">
        <v>92</v>
      </c>
      <c r="H6" s="397"/>
      <c r="I6" s="391"/>
      <c r="J6" s="111">
        <v>44788</v>
      </c>
      <c r="L6" s="390" t="s">
        <v>92</v>
      </c>
      <c r="M6" s="397"/>
      <c r="N6" s="391"/>
      <c r="O6" s="111">
        <v>44788</v>
      </c>
      <c r="Q6" s="24"/>
    </row>
    <row r="7" spans="2:17" ht="15.6" thickTop="1" thickBot="1" x14ac:dyDescent="0.35">
      <c r="B7" s="394"/>
      <c r="C7" s="398"/>
      <c r="D7" s="395"/>
      <c r="E7" s="111">
        <v>44788</v>
      </c>
      <c r="G7" s="394"/>
      <c r="H7" s="398"/>
      <c r="I7" s="395"/>
      <c r="J7" s="111">
        <v>44819</v>
      </c>
      <c r="L7" s="394"/>
      <c r="M7" s="398"/>
      <c r="N7" s="395"/>
      <c r="O7" s="111">
        <v>44849</v>
      </c>
      <c r="Q7" s="24"/>
    </row>
    <row r="8" spans="2:17" ht="15.6" thickTop="1" thickBot="1" x14ac:dyDescent="0.35">
      <c r="B8" s="88" t="s">
        <v>91</v>
      </c>
      <c r="C8" s="2"/>
      <c r="D8" s="2"/>
      <c r="E8" s="170">
        <v>130</v>
      </c>
      <c r="G8" s="88" t="s">
        <v>91</v>
      </c>
      <c r="H8" s="2"/>
      <c r="I8" s="2"/>
      <c r="J8" s="170">
        <v>260</v>
      </c>
      <c r="L8" s="88" t="s">
        <v>91</v>
      </c>
      <c r="M8" s="2"/>
      <c r="N8" s="2"/>
      <c r="O8" s="170">
        <v>390</v>
      </c>
      <c r="Q8" s="24"/>
    </row>
    <row r="9" spans="2:17" ht="15.6" thickTop="1" thickBot="1" x14ac:dyDescent="0.35">
      <c r="B9" s="89" t="s">
        <v>169</v>
      </c>
      <c r="C9" s="90"/>
      <c r="D9" s="90"/>
      <c r="E9" s="176"/>
      <c r="G9" s="89" t="s">
        <v>169</v>
      </c>
      <c r="H9" s="90"/>
      <c r="I9" s="90"/>
      <c r="J9" s="176"/>
      <c r="L9" s="89" t="s">
        <v>169</v>
      </c>
      <c r="M9" s="90"/>
      <c r="N9" s="90"/>
      <c r="O9" s="176"/>
      <c r="Q9" s="24"/>
    </row>
    <row r="10" spans="2:17" ht="15" thickTop="1" x14ac:dyDescent="0.3">
      <c r="B10" s="174" t="s">
        <v>225</v>
      </c>
      <c r="C10" s="2"/>
      <c r="D10" s="2"/>
      <c r="E10" s="169">
        <v>0</v>
      </c>
      <c r="G10" s="174" t="s">
        <v>225</v>
      </c>
      <c r="H10" s="2"/>
      <c r="I10" s="2"/>
      <c r="J10" s="169">
        <v>160</v>
      </c>
      <c r="L10" s="174" t="s">
        <v>225</v>
      </c>
      <c r="M10" s="2"/>
      <c r="N10" s="2"/>
      <c r="O10" s="169">
        <v>360</v>
      </c>
      <c r="Q10" s="24"/>
    </row>
    <row r="11" spans="2:17" x14ac:dyDescent="0.3">
      <c r="B11" s="175" t="s">
        <v>226</v>
      </c>
      <c r="C11" s="2"/>
      <c r="D11" s="2"/>
      <c r="E11" s="97">
        <v>0</v>
      </c>
      <c r="G11" s="175" t="s">
        <v>226</v>
      </c>
      <c r="H11" s="2"/>
      <c r="I11" s="2"/>
      <c r="J11" s="97">
        <v>100</v>
      </c>
      <c r="L11" s="175" t="s">
        <v>226</v>
      </c>
      <c r="M11" s="2"/>
      <c r="N11" s="2"/>
      <c r="O11" s="97">
        <v>100</v>
      </c>
    </row>
    <row r="12" spans="2:17" x14ac:dyDescent="0.3">
      <c r="B12" s="88" t="s">
        <v>103</v>
      </c>
      <c r="C12" s="2"/>
      <c r="D12" s="2"/>
      <c r="E12" s="98">
        <v>0</v>
      </c>
      <c r="G12" s="88" t="s">
        <v>103</v>
      </c>
      <c r="H12" s="2"/>
      <c r="I12" s="2"/>
      <c r="J12" s="98">
        <v>160</v>
      </c>
      <c r="L12" s="88" t="s">
        <v>103</v>
      </c>
      <c r="M12" s="2"/>
      <c r="N12" s="2"/>
      <c r="O12" s="98">
        <v>200</v>
      </c>
    </row>
    <row r="13" spans="2:17" x14ac:dyDescent="0.3">
      <c r="B13" s="175" t="s">
        <v>227</v>
      </c>
      <c r="C13" s="2"/>
      <c r="D13" s="2"/>
      <c r="E13" s="177">
        <v>0</v>
      </c>
      <c r="G13" s="175" t="s">
        <v>227</v>
      </c>
      <c r="H13" s="2"/>
      <c r="I13" s="2"/>
      <c r="J13" s="177">
        <v>6.4</v>
      </c>
      <c r="L13" s="175" t="s">
        <v>227</v>
      </c>
      <c r="M13" s="2"/>
      <c r="N13" s="2"/>
      <c r="O13" s="177">
        <v>10.4</v>
      </c>
    </row>
    <row r="14" spans="2:17" ht="15" thickBot="1" x14ac:dyDescent="0.35">
      <c r="B14" s="88" t="s">
        <v>105</v>
      </c>
      <c r="C14" s="2"/>
      <c r="D14" s="2"/>
      <c r="E14" s="98">
        <v>0</v>
      </c>
      <c r="G14" s="88" t="s">
        <v>105</v>
      </c>
      <c r="H14" s="2"/>
      <c r="I14" s="2"/>
      <c r="J14" s="98">
        <v>6.4</v>
      </c>
      <c r="L14" s="88" t="s">
        <v>105</v>
      </c>
      <c r="M14" s="2"/>
      <c r="N14" s="2"/>
      <c r="O14" s="98">
        <v>4</v>
      </c>
    </row>
    <row r="15" spans="2:17" ht="15.6" thickTop="1" thickBot="1" x14ac:dyDescent="0.35">
      <c r="B15" s="178" t="s">
        <v>39</v>
      </c>
      <c r="C15" s="90"/>
      <c r="D15" s="90"/>
      <c r="E15" s="176"/>
      <c r="G15" s="178" t="s">
        <v>39</v>
      </c>
      <c r="H15" s="90"/>
      <c r="I15" s="90"/>
      <c r="J15" s="176"/>
      <c r="L15" s="178" t="s">
        <v>39</v>
      </c>
      <c r="M15" s="90"/>
      <c r="N15" s="90"/>
      <c r="O15" s="176"/>
    </row>
    <row r="16" spans="2:17" ht="15" thickTop="1" x14ac:dyDescent="0.3">
      <c r="B16" s="88" t="s">
        <v>101</v>
      </c>
      <c r="C16" s="2"/>
      <c r="D16" s="2"/>
      <c r="E16" s="97">
        <v>0</v>
      </c>
      <c r="G16" s="88" t="s">
        <v>101</v>
      </c>
      <c r="H16" s="2"/>
      <c r="I16" s="2"/>
      <c r="J16" s="97">
        <v>0</v>
      </c>
      <c r="L16" s="88" t="s">
        <v>101</v>
      </c>
      <c r="M16" s="2"/>
      <c r="N16" s="2"/>
      <c r="O16" s="97">
        <v>160</v>
      </c>
    </row>
    <row r="17" spans="2:15" x14ac:dyDescent="0.3">
      <c r="B17" s="88" t="s">
        <v>104</v>
      </c>
      <c r="C17" s="2"/>
      <c r="D17" s="2"/>
      <c r="E17" s="98">
        <v>0</v>
      </c>
      <c r="G17" s="88" t="s">
        <v>104</v>
      </c>
      <c r="H17" s="2"/>
      <c r="I17" s="2"/>
      <c r="J17" s="98">
        <v>0</v>
      </c>
      <c r="L17" s="88" t="s">
        <v>104</v>
      </c>
      <c r="M17" s="2"/>
      <c r="N17" s="2"/>
      <c r="O17" s="98">
        <v>160</v>
      </c>
    </row>
    <row r="18" spans="2:15" ht="15" thickBot="1" x14ac:dyDescent="0.35">
      <c r="B18" s="102" t="s">
        <v>95</v>
      </c>
      <c r="C18" s="101"/>
      <c r="D18" s="92"/>
      <c r="E18" s="100">
        <v>0</v>
      </c>
      <c r="G18" s="102" t="s">
        <v>95</v>
      </c>
      <c r="H18" s="101"/>
      <c r="I18" s="92"/>
      <c r="J18" s="100">
        <v>160</v>
      </c>
      <c r="L18" s="102" t="s">
        <v>95</v>
      </c>
      <c r="M18" s="101"/>
      <c r="N18" s="92"/>
      <c r="O18" s="100">
        <v>200</v>
      </c>
    </row>
    <row r="19" spans="2:15" ht="15" thickTop="1" x14ac:dyDescent="0.3">
      <c r="B19" s="88" t="s">
        <v>102</v>
      </c>
      <c r="C19" s="2"/>
      <c r="D19" s="2"/>
      <c r="E19" s="97">
        <v>0</v>
      </c>
      <c r="G19" s="88" t="s">
        <v>102</v>
      </c>
      <c r="H19" s="2"/>
      <c r="I19" s="2"/>
      <c r="J19" s="97">
        <v>0</v>
      </c>
      <c r="L19" s="88" t="s">
        <v>102</v>
      </c>
      <c r="M19" s="2"/>
      <c r="N19" s="2"/>
      <c r="O19" s="97">
        <v>6.4</v>
      </c>
    </row>
    <row r="20" spans="2:15" x14ac:dyDescent="0.3">
      <c r="B20" s="88" t="s">
        <v>106</v>
      </c>
      <c r="C20" s="2"/>
      <c r="D20" s="2"/>
      <c r="E20" s="98">
        <v>0</v>
      </c>
      <c r="G20" s="88" t="s">
        <v>106</v>
      </c>
      <c r="H20" s="2"/>
      <c r="I20" s="2"/>
      <c r="J20" s="98">
        <v>0</v>
      </c>
      <c r="L20" s="88" t="s">
        <v>106</v>
      </c>
      <c r="M20" s="2"/>
      <c r="N20" s="2"/>
      <c r="O20" s="98">
        <v>6.4</v>
      </c>
    </row>
    <row r="21" spans="2:15" ht="15" thickBot="1" x14ac:dyDescent="0.35">
      <c r="B21" s="102" t="s">
        <v>98</v>
      </c>
      <c r="C21" s="92"/>
      <c r="D21" s="92"/>
      <c r="E21" s="100">
        <v>0</v>
      </c>
      <c r="G21" s="102" t="s">
        <v>98</v>
      </c>
      <c r="H21" s="92"/>
      <c r="I21" s="92"/>
      <c r="J21" s="100">
        <v>6.4</v>
      </c>
      <c r="L21" s="102" t="s">
        <v>98</v>
      </c>
      <c r="M21" s="92"/>
      <c r="N21" s="92"/>
      <c r="O21" s="100">
        <v>4</v>
      </c>
    </row>
    <row r="22" spans="2:15" ht="15.6" thickTop="1" thickBot="1" x14ac:dyDescent="0.35">
      <c r="B22" s="89" t="s">
        <v>228</v>
      </c>
      <c r="C22" s="179"/>
      <c r="D22" s="90"/>
      <c r="E22" s="183"/>
      <c r="G22" s="89" t="s">
        <v>228</v>
      </c>
      <c r="H22" s="179"/>
      <c r="I22" s="90"/>
      <c r="J22" s="183"/>
      <c r="L22" s="89" t="s">
        <v>228</v>
      </c>
      <c r="M22" s="179"/>
      <c r="N22" s="90"/>
      <c r="O22" s="183"/>
    </row>
    <row r="23" spans="2:15" ht="15" thickTop="1" x14ac:dyDescent="0.3">
      <c r="B23" s="88" t="s">
        <v>229</v>
      </c>
      <c r="C23" s="171"/>
      <c r="D23" s="2"/>
      <c r="E23" s="99">
        <v>0</v>
      </c>
      <c r="G23" s="88" t="s">
        <v>229</v>
      </c>
      <c r="H23" s="171"/>
      <c r="I23" s="2"/>
      <c r="J23" s="99">
        <v>0</v>
      </c>
      <c r="L23" s="88" t="s">
        <v>229</v>
      </c>
      <c r="M23" s="171"/>
      <c r="N23" s="2"/>
      <c r="O23" s="99">
        <v>0</v>
      </c>
    </row>
    <row r="24" spans="2:15" x14ac:dyDescent="0.3">
      <c r="B24" s="88" t="s">
        <v>249</v>
      </c>
      <c r="C24" s="180"/>
      <c r="D24" s="181"/>
      <c r="E24" s="97">
        <v>0</v>
      </c>
      <c r="G24" s="88" t="s">
        <v>249</v>
      </c>
      <c r="H24" s="180"/>
      <c r="I24" s="181"/>
      <c r="J24" s="97">
        <v>0</v>
      </c>
      <c r="L24" s="88" t="s">
        <v>249</v>
      </c>
      <c r="M24" s="180"/>
      <c r="N24" s="181"/>
      <c r="O24" s="97">
        <v>0</v>
      </c>
    </row>
    <row r="25" spans="2:15" x14ac:dyDescent="0.3">
      <c r="B25" s="88" t="s">
        <v>248</v>
      </c>
      <c r="C25" s="180"/>
      <c r="D25" s="181"/>
      <c r="E25" s="97">
        <v>0</v>
      </c>
      <c r="G25" s="88" t="s">
        <v>248</v>
      </c>
      <c r="H25" s="180"/>
      <c r="I25" s="181"/>
      <c r="J25" s="97">
        <v>0</v>
      </c>
      <c r="L25" s="88" t="s">
        <v>248</v>
      </c>
      <c r="M25" s="180"/>
      <c r="N25" s="181"/>
      <c r="O25" s="97">
        <v>0</v>
      </c>
    </row>
    <row r="26" spans="2:15" x14ac:dyDescent="0.3">
      <c r="B26" s="88" t="s">
        <v>93</v>
      </c>
      <c r="C26" s="2"/>
      <c r="D26" s="2"/>
      <c r="E26" s="96">
        <v>130</v>
      </c>
      <c r="G26" s="88" t="s">
        <v>93</v>
      </c>
      <c r="H26" s="2"/>
      <c r="I26" s="2"/>
      <c r="J26" s="96">
        <v>160</v>
      </c>
      <c r="L26" s="88" t="s">
        <v>93</v>
      </c>
      <c r="M26" s="2"/>
      <c r="N26" s="2"/>
      <c r="O26" s="96">
        <v>290</v>
      </c>
    </row>
    <row r="27" spans="2:15" x14ac:dyDescent="0.3">
      <c r="B27" s="88" t="s">
        <v>100</v>
      </c>
      <c r="C27" s="2"/>
      <c r="D27" s="2"/>
      <c r="E27" s="95">
        <v>10</v>
      </c>
      <c r="G27" s="88" t="s">
        <v>100</v>
      </c>
      <c r="H27" s="2"/>
      <c r="I27" s="2"/>
      <c r="J27" s="95">
        <v>12.307692307692308</v>
      </c>
      <c r="L27" s="88" t="s">
        <v>100</v>
      </c>
      <c r="M27" s="2"/>
      <c r="N27" s="2"/>
      <c r="O27" s="95">
        <v>22.307692307692307</v>
      </c>
    </row>
    <row r="28" spans="2:15" x14ac:dyDescent="0.3">
      <c r="B28" s="88" t="s">
        <v>236</v>
      </c>
      <c r="C28" s="2"/>
      <c r="D28" s="2"/>
      <c r="E28" s="96">
        <v>0</v>
      </c>
      <c r="G28" s="88" t="s">
        <v>236</v>
      </c>
      <c r="H28" s="2"/>
      <c r="I28" s="2"/>
      <c r="J28" s="96">
        <v>6.4</v>
      </c>
      <c r="L28" s="88" t="s">
        <v>236</v>
      </c>
      <c r="M28" s="2"/>
      <c r="N28" s="2"/>
      <c r="O28" s="96">
        <v>10.4</v>
      </c>
    </row>
    <row r="29" spans="2:15" ht="15" thickBot="1" x14ac:dyDescent="0.35">
      <c r="B29" s="88" t="s">
        <v>96</v>
      </c>
      <c r="C29" s="2"/>
      <c r="D29" s="182"/>
      <c r="E29" s="187">
        <v>0</v>
      </c>
      <c r="G29" s="88" t="s">
        <v>96</v>
      </c>
      <c r="H29" s="2"/>
      <c r="I29" s="182"/>
      <c r="J29" s="187">
        <v>0</v>
      </c>
      <c r="L29" s="88" t="s">
        <v>96</v>
      </c>
      <c r="M29" s="2"/>
      <c r="N29" s="182"/>
      <c r="O29" s="187">
        <v>0</v>
      </c>
    </row>
    <row r="30" spans="2:15" ht="15.6" thickTop="1" thickBot="1" x14ac:dyDescent="0.35">
      <c r="B30" s="93" t="s">
        <v>94</v>
      </c>
      <c r="C30" s="94"/>
      <c r="D30" s="184"/>
      <c r="E30" s="185">
        <v>130</v>
      </c>
      <c r="G30" s="93" t="s">
        <v>94</v>
      </c>
      <c r="H30" s="94"/>
      <c r="I30" s="184"/>
      <c r="J30" s="185">
        <v>166.4</v>
      </c>
      <c r="L30" s="93" t="s">
        <v>94</v>
      </c>
      <c r="M30" s="94"/>
      <c r="N30" s="184"/>
      <c r="O30" s="185">
        <v>300.39999999999998</v>
      </c>
    </row>
    <row r="31" spans="2:15" ht="15.6" thickTop="1" thickBot="1" x14ac:dyDescent="0.35">
      <c r="B31" s="93" t="s">
        <v>99</v>
      </c>
      <c r="C31" s="94"/>
      <c r="D31" s="184"/>
      <c r="E31" s="196">
        <v>0</v>
      </c>
      <c r="G31" s="93" t="s">
        <v>99</v>
      </c>
      <c r="H31" s="94"/>
      <c r="I31" s="184"/>
      <c r="J31" s="196">
        <v>166.4</v>
      </c>
      <c r="L31" s="93" t="s">
        <v>99</v>
      </c>
      <c r="M31" s="94"/>
      <c r="N31" s="184"/>
      <c r="O31" s="196">
        <v>204</v>
      </c>
    </row>
    <row r="32" spans="2:15" ht="15.6" thickTop="1" thickBot="1" x14ac:dyDescent="0.35"/>
    <row r="33" spans="2:15" ht="15.6" thickTop="1" thickBot="1" x14ac:dyDescent="0.35">
      <c r="B33" s="390" t="s">
        <v>92</v>
      </c>
      <c r="C33" s="397"/>
      <c r="D33" s="391"/>
      <c r="E33" s="111">
        <v>44788</v>
      </c>
      <c r="G33" s="390" t="s">
        <v>92</v>
      </c>
      <c r="H33" s="397"/>
      <c r="I33" s="391"/>
      <c r="J33" s="111">
        <v>44788</v>
      </c>
      <c r="L33" s="390" t="s">
        <v>92</v>
      </c>
      <c r="M33" s="397"/>
      <c r="N33" s="391"/>
      <c r="O33" s="111">
        <v>44788</v>
      </c>
    </row>
    <row r="34" spans="2:15" ht="15.6" thickTop="1" thickBot="1" x14ac:dyDescent="0.35">
      <c r="B34" s="394"/>
      <c r="C34" s="398"/>
      <c r="D34" s="395"/>
      <c r="E34" s="111">
        <v>44880</v>
      </c>
      <c r="G34" s="394"/>
      <c r="H34" s="398"/>
      <c r="I34" s="395"/>
      <c r="J34" s="111">
        <v>44910</v>
      </c>
      <c r="L34" s="394"/>
      <c r="M34" s="398"/>
      <c r="N34" s="395"/>
      <c r="O34" s="111">
        <v>44941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1480</v>
      </c>
    </row>
    <row r="38" spans="2:15" x14ac:dyDescent="0.3">
      <c r="B38" s="175" t="s">
        <v>226</v>
      </c>
      <c r="C38" s="2"/>
      <c r="D38" s="2"/>
      <c r="E38" s="97">
        <v>100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370</v>
      </c>
      <c r="L39" s="88" t="s">
        <v>103</v>
      </c>
      <c r="M39" s="2"/>
      <c r="N39" s="2"/>
      <c r="O39" s="98">
        <v>720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78.400000000000006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56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360</v>
      </c>
      <c r="L43" s="88" t="s">
        <v>101</v>
      </c>
      <c r="M43" s="2"/>
      <c r="N43" s="2"/>
      <c r="O43" s="97">
        <v>594</v>
      </c>
    </row>
    <row r="44" spans="2:15" x14ac:dyDescent="0.3">
      <c r="B44" s="88" t="s">
        <v>104</v>
      </c>
      <c r="C44" s="2"/>
      <c r="D44" s="2"/>
      <c r="E44" s="98">
        <v>200</v>
      </c>
      <c r="G44" s="88" t="s">
        <v>104</v>
      </c>
      <c r="H44" s="2"/>
      <c r="I44" s="2"/>
      <c r="J44" s="98">
        <v>0</v>
      </c>
      <c r="L44" s="88" t="s">
        <v>104</v>
      </c>
      <c r="M44" s="2"/>
      <c r="N44" s="2"/>
      <c r="O44" s="98">
        <v>234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770</v>
      </c>
      <c r="L45" s="102" t="s">
        <v>95</v>
      </c>
      <c r="M45" s="101"/>
      <c r="N45" s="92"/>
      <c r="O45" s="100">
        <v>886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10.4</v>
      </c>
      <c r="L46" s="88" t="s">
        <v>102</v>
      </c>
      <c r="M46" s="2"/>
      <c r="N46" s="2"/>
      <c r="O46" s="97">
        <v>13.8</v>
      </c>
    </row>
    <row r="47" spans="2:15" x14ac:dyDescent="0.3">
      <c r="B47" s="88" t="s">
        <v>106</v>
      </c>
      <c r="C47" s="2"/>
      <c r="D47" s="2"/>
      <c r="E47" s="98">
        <v>4</v>
      </c>
      <c r="G47" s="88" t="s">
        <v>106</v>
      </c>
      <c r="H47" s="2"/>
      <c r="I47" s="2"/>
      <c r="J47" s="98">
        <v>0</v>
      </c>
      <c r="L47" s="88" t="s">
        <v>106</v>
      </c>
      <c r="M47" s="2"/>
      <c r="N47" s="2"/>
      <c r="O47" s="98">
        <v>3.4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45</v>
      </c>
      <c r="L48" s="102" t="s">
        <v>98</v>
      </c>
      <c r="M48" s="92"/>
      <c r="N48" s="92"/>
      <c r="O48" s="100">
        <v>64.600000000000009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229</v>
      </c>
      <c r="C50" s="171"/>
      <c r="D50" s="2"/>
      <c r="E50" s="99">
        <v>0</v>
      </c>
      <c r="G50" s="88" t="s">
        <v>229</v>
      </c>
      <c r="H50" s="171"/>
      <c r="I50" s="2"/>
      <c r="J50" s="99">
        <v>0</v>
      </c>
      <c r="L50" s="88" t="s">
        <v>229</v>
      </c>
      <c r="M50" s="171"/>
      <c r="N50" s="2"/>
      <c r="O50" s="99">
        <v>10</v>
      </c>
    </row>
    <row r="51" spans="2:15" x14ac:dyDescent="0.3">
      <c r="B51" s="88" t="s">
        <v>249</v>
      </c>
      <c r="C51" s="180"/>
      <c r="D51" s="181"/>
      <c r="E51" s="97">
        <v>0</v>
      </c>
      <c r="G51" s="88" t="s">
        <v>249</v>
      </c>
      <c r="H51" s="180"/>
      <c r="I51" s="181"/>
      <c r="J51" s="97">
        <v>0</v>
      </c>
      <c r="L51" s="88" t="s">
        <v>249</v>
      </c>
      <c r="M51" s="180"/>
      <c r="N51" s="181"/>
      <c r="O51" s="97">
        <v>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420</v>
      </c>
      <c r="G53" s="88" t="s">
        <v>93</v>
      </c>
      <c r="H53" s="2"/>
      <c r="I53" s="2"/>
      <c r="J53" s="96">
        <v>550</v>
      </c>
      <c r="L53" s="88" t="s">
        <v>93</v>
      </c>
      <c r="M53" s="2"/>
      <c r="N53" s="2"/>
      <c r="O53" s="96">
        <v>680</v>
      </c>
    </row>
    <row r="54" spans="2:15" x14ac:dyDescent="0.3">
      <c r="B54" s="88" t="s">
        <v>100</v>
      </c>
      <c r="C54" s="2"/>
      <c r="D54" s="2"/>
      <c r="E54" s="95">
        <v>32.307692307692307</v>
      </c>
      <c r="G54" s="88" t="s">
        <v>100</v>
      </c>
      <c r="H54" s="2"/>
      <c r="I54" s="2"/>
      <c r="J54" s="95">
        <v>42.307692307692307</v>
      </c>
      <c r="L54" s="88" t="s">
        <v>100</v>
      </c>
      <c r="M54" s="2"/>
      <c r="N54" s="2"/>
      <c r="O54" s="95">
        <v>52.307692307692307</v>
      </c>
    </row>
    <row r="55" spans="2:15" x14ac:dyDescent="0.3">
      <c r="B55" s="88" t="s">
        <v>236</v>
      </c>
      <c r="C55" s="2"/>
      <c r="D55" s="2"/>
      <c r="E55" s="96">
        <v>22.4</v>
      </c>
      <c r="G55" s="88" t="s">
        <v>236</v>
      </c>
      <c r="H55" s="2"/>
      <c r="I55" s="2"/>
      <c r="J55" s="96">
        <v>55.4</v>
      </c>
      <c r="L55" s="88" t="s">
        <v>236</v>
      </c>
      <c r="M55" s="2"/>
      <c r="N55" s="2"/>
      <c r="O55" s="96">
        <v>88.4</v>
      </c>
    </row>
    <row r="56" spans="2:15" ht="15" thickBot="1" x14ac:dyDescent="0.35">
      <c r="B56" s="88" t="s">
        <v>96</v>
      </c>
      <c r="C56" s="2"/>
      <c r="D56" s="182"/>
      <c r="E56" s="187">
        <v>0</v>
      </c>
      <c r="G56" s="88" t="s">
        <v>96</v>
      </c>
      <c r="H56" s="2"/>
      <c r="I56" s="182"/>
      <c r="J56" s="187">
        <v>0</v>
      </c>
      <c r="L56" s="88" t="s">
        <v>96</v>
      </c>
      <c r="M56" s="2"/>
      <c r="N56" s="182"/>
      <c r="O56" s="187">
        <v>0</v>
      </c>
    </row>
    <row r="57" spans="2:15" ht="15.6" thickTop="1" thickBot="1" x14ac:dyDescent="0.35">
      <c r="B57" s="93" t="s">
        <v>94</v>
      </c>
      <c r="C57" s="94"/>
      <c r="D57" s="184"/>
      <c r="E57" s="185">
        <v>442.4</v>
      </c>
      <c r="G57" s="93" t="s">
        <v>94</v>
      </c>
      <c r="H57" s="94"/>
      <c r="I57" s="184"/>
      <c r="J57" s="185">
        <v>605.4</v>
      </c>
      <c r="L57" s="93" t="s">
        <v>94</v>
      </c>
      <c r="M57" s="94"/>
      <c r="N57" s="184"/>
      <c r="O57" s="185">
        <v>768.4</v>
      </c>
    </row>
    <row r="58" spans="2:15" ht="15.6" thickTop="1" thickBot="1" x14ac:dyDescent="0.35">
      <c r="B58" s="93" t="s">
        <v>99</v>
      </c>
      <c r="C58" s="94"/>
      <c r="D58" s="184"/>
      <c r="E58" s="196">
        <v>412</v>
      </c>
      <c r="G58" s="93" t="s">
        <v>99</v>
      </c>
      <c r="H58" s="94"/>
      <c r="I58" s="184"/>
      <c r="J58" s="196">
        <v>815</v>
      </c>
      <c r="L58" s="93" t="s">
        <v>99</v>
      </c>
      <c r="M58" s="94"/>
      <c r="N58" s="184"/>
      <c r="O58" s="196">
        <v>950.6</v>
      </c>
    </row>
    <row r="59" spans="2:15" ht="15.6" thickTop="1" thickBot="1" x14ac:dyDescent="0.35"/>
    <row r="60" spans="2:15" ht="15.6" thickTop="1" thickBot="1" x14ac:dyDescent="0.35">
      <c r="B60" s="390" t="s">
        <v>92</v>
      </c>
      <c r="C60" s="397"/>
      <c r="D60" s="391"/>
      <c r="E60" s="111">
        <v>44788</v>
      </c>
      <c r="G60" s="390" t="s">
        <v>92</v>
      </c>
      <c r="H60" s="397"/>
      <c r="I60" s="391"/>
      <c r="J60" s="111">
        <v>44788</v>
      </c>
      <c r="L60" s="390" t="s">
        <v>92</v>
      </c>
      <c r="M60" s="397"/>
      <c r="N60" s="391"/>
      <c r="O60" s="111">
        <v>44788</v>
      </c>
    </row>
    <row r="61" spans="2:15" ht="15.6" thickTop="1" thickBot="1" x14ac:dyDescent="0.35">
      <c r="B61" s="394"/>
      <c r="C61" s="398"/>
      <c r="D61" s="395"/>
      <c r="E61" s="111">
        <v>44972</v>
      </c>
      <c r="G61" s="394"/>
      <c r="H61" s="398"/>
      <c r="I61" s="395"/>
      <c r="J61" s="111">
        <v>45000</v>
      </c>
      <c r="L61" s="394"/>
      <c r="M61" s="398"/>
      <c r="N61" s="395"/>
      <c r="O61" s="111">
        <v>45031</v>
      </c>
    </row>
    <row r="62" spans="2:15" ht="15.6" thickTop="1" thickBot="1" x14ac:dyDescent="0.35">
      <c r="B62" s="88" t="s">
        <v>91</v>
      </c>
      <c r="C62" s="2"/>
      <c r="D62" s="2"/>
      <c r="E62" s="170">
        <v>910</v>
      </c>
      <c r="G62" s="88" t="s">
        <v>91</v>
      </c>
      <c r="H62" s="2"/>
      <c r="I62" s="2"/>
      <c r="J62" s="170">
        <v>1040</v>
      </c>
      <c r="L62" s="88" t="s">
        <v>91</v>
      </c>
      <c r="M62" s="2"/>
      <c r="N62" s="2"/>
      <c r="O62" s="170">
        <v>1170</v>
      </c>
    </row>
    <row r="63" spans="2:15" ht="15.6" thickTop="1" thickBot="1" x14ac:dyDescent="0.35">
      <c r="B63" s="89" t="s">
        <v>169</v>
      </c>
      <c r="C63" s="90"/>
      <c r="D63" s="90"/>
      <c r="E63" s="176"/>
      <c r="G63" s="89" t="s">
        <v>169</v>
      </c>
      <c r="H63" s="90"/>
      <c r="I63" s="90"/>
      <c r="J63" s="176"/>
      <c r="L63" s="89" t="s">
        <v>169</v>
      </c>
      <c r="M63" s="90"/>
      <c r="N63" s="90"/>
      <c r="O63" s="176"/>
    </row>
    <row r="64" spans="2:15" ht="15" thickTop="1" x14ac:dyDescent="0.3">
      <c r="B64" s="174" t="s">
        <v>225</v>
      </c>
      <c r="C64" s="2"/>
      <c r="D64" s="2"/>
      <c r="E64" s="169">
        <v>1880</v>
      </c>
      <c r="G64" s="174" t="s">
        <v>225</v>
      </c>
      <c r="H64" s="2"/>
      <c r="I64" s="2"/>
      <c r="J64" s="169">
        <v>2360</v>
      </c>
      <c r="L64" s="174" t="s">
        <v>225</v>
      </c>
      <c r="M64" s="2"/>
      <c r="N64" s="2"/>
      <c r="O64" s="169">
        <v>2660</v>
      </c>
    </row>
    <row r="65" spans="2:15" x14ac:dyDescent="0.3">
      <c r="B65" s="175" t="s">
        <v>226</v>
      </c>
      <c r="C65" s="2"/>
      <c r="D65" s="2"/>
      <c r="E65" s="97">
        <v>100</v>
      </c>
      <c r="G65" s="175" t="s">
        <v>226</v>
      </c>
      <c r="H65" s="2"/>
      <c r="I65" s="2"/>
      <c r="J65" s="97">
        <v>100</v>
      </c>
      <c r="L65" s="175" t="s">
        <v>226</v>
      </c>
      <c r="M65" s="2"/>
      <c r="N65" s="2"/>
      <c r="O65" s="97">
        <v>100</v>
      </c>
    </row>
    <row r="66" spans="2:15" x14ac:dyDescent="0.3">
      <c r="B66" s="88" t="s">
        <v>103</v>
      </c>
      <c r="C66" s="2"/>
      <c r="D66" s="2"/>
      <c r="E66" s="98">
        <v>400</v>
      </c>
      <c r="G66" s="88" t="s">
        <v>103</v>
      </c>
      <c r="H66" s="2"/>
      <c r="I66" s="2"/>
      <c r="J66" s="98">
        <v>480</v>
      </c>
      <c r="L66" s="88" t="s">
        <v>103</v>
      </c>
      <c r="M66" s="2"/>
      <c r="N66" s="2"/>
      <c r="O66" s="98">
        <v>300</v>
      </c>
    </row>
    <row r="67" spans="2:15" x14ac:dyDescent="0.3">
      <c r="B67" s="175" t="s">
        <v>227</v>
      </c>
      <c r="C67" s="2"/>
      <c r="D67" s="2"/>
      <c r="E67" s="177">
        <v>104.4</v>
      </c>
      <c r="G67" s="175" t="s">
        <v>227</v>
      </c>
      <c r="H67" s="2"/>
      <c r="I67" s="2"/>
      <c r="J67" s="177">
        <v>138</v>
      </c>
      <c r="L67" s="175" t="s">
        <v>227</v>
      </c>
      <c r="M67" s="2"/>
      <c r="N67" s="2"/>
      <c r="O67" s="177">
        <v>162</v>
      </c>
    </row>
    <row r="68" spans="2:15" ht="15" thickBot="1" x14ac:dyDescent="0.35">
      <c r="B68" s="88" t="s">
        <v>105</v>
      </c>
      <c r="C68" s="2"/>
      <c r="D68" s="2"/>
      <c r="E68" s="98">
        <v>26</v>
      </c>
      <c r="G68" s="88" t="s">
        <v>105</v>
      </c>
      <c r="H68" s="2"/>
      <c r="I68" s="2"/>
      <c r="J68" s="98">
        <v>33.6</v>
      </c>
      <c r="L68" s="88" t="s">
        <v>105</v>
      </c>
      <c r="M68" s="2"/>
      <c r="N68" s="2"/>
      <c r="O68" s="98">
        <v>24</v>
      </c>
    </row>
    <row r="69" spans="2:15" ht="15.6" thickTop="1" thickBot="1" x14ac:dyDescent="0.35">
      <c r="B69" s="178" t="s">
        <v>39</v>
      </c>
      <c r="C69" s="90"/>
      <c r="D69" s="90"/>
      <c r="E69" s="176"/>
      <c r="G69" s="178" t="s">
        <v>39</v>
      </c>
      <c r="H69" s="90"/>
      <c r="I69" s="90"/>
      <c r="J69" s="176"/>
      <c r="L69" s="178" t="s">
        <v>39</v>
      </c>
      <c r="M69" s="90"/>
      <c r="N69" s="90"/>
      <c r="O69" s="176"/>
    </row>
    <row r="70" spans="2:15" ht="15" thickTop="1" x14ac:dyDescent="0.3">
      <c r="B70" s="88" t="s">
        <v>101</v>
      </c>
      <c r="C70" s="2"/>
      <c r="D70" s="2"/>
      <c r="E70" s="97">
        <v>936.33</v>
      </c>
      <c r="G70" s="88" t="s">
        <v>101</v>
      </c>
      <c r="H70" s="2"/>
      <c r="I70" s="2"/>
      <c r="J70" s="97">
        <v>1203.6599999999999</v>
      </c>
      <c r="L70" s="88" t="s">
        <v>101</v>
      </c>
      <c r="M70" s="2"/>
      <c r="N70" s="2"/>
      <c r="O70" s="97">
        <v>1850.9899999999998</v>
      </c>
    </row>
    <row r="71" spans="2:15" x14ac:dyDescent="0.3">
      <c r="B71" s="88" t="s">
        <v>104</v>
      </c>
      <c r="C71" s="2"/>
      <c r="D71" s="2"/>
      <c r="E71" s="98">
        <v>342.33</v>
      </c>
      <c r="G71" s="88" t="s">
        <v>104</v>
      </c>
      <c r="H71" s="2"/>
      <c r="I71" s="2"/>
      <c r="J71" s="98">
        <v>267.33</v>
      </c>
      <c r="L71" s="88" t="s">
        <v>104</v>
      </c>
      <c r="M71" s="2"/>
      <c r="N71" s="2"/>
      <c r="O71" s="98">
        <v>647.32999999999993</v>
      </c>
    </row>
    <row r="72" spans="2:15" ht="15" thickBot="1" x14ac:dyDescent="0.35">
      <c r="B72" s="102" t="s">
        <v>95</v>
      </c>
      <c r="C72" s="101"/>
      <c r="D72" s="92"/>
      <c r="E72" s="100">
        <v>943.67</v>
      </c>
      <c r="G72" s="102" t="s">
        <v>95</v>
      </c>
      <c r="H72" s="101"/>
      <c r="I72" s="92"/>
      <c r="J72" s="100">
        <v>1156.3400000000001</v>
      </c>
      <c r="L72" s="102" t="s">
        <v>95</v>
      </c>
      <c r="M72" s="101"/>
      <c r="N72" s="92"/>
      <c r="O72" s="100">
        <v>809.01000000000022</v>
      </c>
    </row>
    <row r="73" spans="2:15" ht="15" thickTop="1" x14ac:dyDescent="0.3">
      <c r="B73" s="88" t="s">
        <v>102</v>
      </c>
      <c r="C73" s="2"/>
      <c r="D73" s="2"/>
      <c r="E73" s="97">
        <v>36.200000000000003</v>
      </c>
      <c r="G73" s="88" t="s">
        <v>102</v>
      </c>
      <c r="H73" s="2"/>
      <c r="I73" s="2"/>
      <c r="J73" s="97">
        <v>54.6</v>
      </c>
      <c r="L73" s="88" t="s">
        <v>102</v>
      </c>
      <c r="M73" s="2"/>
      <c r="N73" s="2"/>
      <c r="O73" s="97">
        <v>98.600000000000009</v>
      </c>
    </row>
    <row r="74" spans="2:15" x14ac:dyDescent="0.3">
      <c r="B74" s="88" t="s">
        <v>106</v>
      </c>
      <c r="C74" s="2"/>
      <c r="D74" s="2"/>
      <c r="E74" s="98">
        <v>22.4</v>
      </c>
      <c r="G74" s="88" t="s">
        <v>106</v>
      </c>
      <c r="H74" s="2"/>
      <c r="I74" s="2"/>
      <c r="J74" s="98">
        <v>18.399999999999999</v>
      </c>
      <c r="L74" s="88" t="s">
        <v>106</v>
      </c>
      <c r="M74" s="2"/>
      <c r="N74" s="2"/>
      <c r="O74" s="98">
        <v>44</v>
      </c>
    </row>
    <row r="75" spans="2:15" ht="15" thickBot="1" x14ac:dyDescent="0.35">
      <c r="B75" s="102" t="s">
        <v>98</v>
      </c>
      <c r="C75" s="92"/>
      <c r="D75" s="92"/>
      <c r="E75" s="100">
        <v>68.2</v>
      </c>
      <c r="G75" s="102" t="s">
        <v>98</v>
      </c>
      <c r="H75" s="92"/>
      <c r="I75" s="92"/>
      <c r="J75" s="100">
        <v>83.4</v>
      </c>
      <c r="L75" s="102" t="s">
        <v>98</v>
      </c>
      <c r="M75" s="92"/>
      <c r="N75" s="92"/>
      <c r="O75" s="100">
        <v>63.399999999999991</v>
      </c>
    </row>
    <row r="76" spans="2:15" ht="15.6" thickTop="1" thickBot="1" x14ac:dyDescent="0.35">
      <c r="B76" s="89" t="s">
        <v>228</v>
      </c>
      <c r="C76" s="179"/>
      <c r="D76" s="90"/>
      <c r="E76" s="183"/>
      <c r="G76" s="89" t="s">
        <v>228</v>
      </c>
      <c r="H76" s="179"/>
      <c r="I76" s="90"/>
      <c r="J76" s="183"/>
      <c r="L76" s="89" t="s">
        <v>228</v>
      </c>
      <c r="M76" s="179"/>
      <c r="N76" s="90"/>
      <c r="O76" s="183"/>
    </row>
    <row r="77" spans="2:15" ht="15" thickTop="1" x14ac:dyDescent="0.3">
      <c r="B77" s="88" t="s">
        <v>229</v>
      </c>
      <c r="C77" s="171"/>
      <c r="D77" s="2"/>
      <c r="E77" s="99">
        <v>10</v>
      </c>
      <c r="G77" s="88" t="s">
        <v>229</v>
      </c>
      <c r="H77" s="171"/>
      <c r="I77" s="2"/>
      <c r="J77" s="99">
        <v>10</v>
      </c>
      <c r="L77" s="88" t="s">
        <v>229</v>
      </c>
      <c r="M77" s="171"/>
      <c r="N77" s="2"/>
      <c r="O77" s="99">
        <v>10</v>
      </c>
    </row>
    <row r="78" spans="2:15" x14ac:dyDescent="0.3">
      <c r="B78" s="88" t="s">
        <v>249</v>
      </c>
      <c r="C78" s="180"/>
      <c r="D78" s="181"/>
      <c r="E78" s="97">
        <v>0</v>
      </c>
      <c r="G78" s="88" t="s">
        <v>249</v>
      </c>
      <c r="H78" s="180"/>
      <c r="I78" s="181"/>
      <c r="J78" s="97">
        <v>0</v>
      </c>
      <c r="L78" s="88" t="s">
        <v>249</v>
      </c>
      <c r="M78" s="180"/>
      <c r="N78" s="181"/>
      <c r="O78" s="97">
        <v>0</v>
      </c>
    </row>
    <row r="79" spans="2:15" x14ac:dyDescent="0.3">
      <c r="B79" s="88" t="s">
        <v>248</v>
      </c>
      <c r="C79" s="180"/>
      <c r="D79" s="181"/>
      <c r="E79" s="97">
        <v>0</v>
      </c>
      <c r="G79" s="88" t="s">
        <v>248</v>
      </c>
      <c r="H79" s="180"/>
      <c r="I79" s="181"/>
      <c r="J79" s="97">
        <v>0</v>
      </c>
      <c r="L79" s="88" t="s">
        <v>248</v>
      </c>
      <c r="M79" s="180"/>
      <c r="N79" s="181"/>
      <c r="O79" s="97">
        <v>0</v>
      </c>
    </row>
    <row r="80" spans="2:15" x14ac:dyDescent="0.3">
      <c r="B80" s="88" t="s">
        <v>93</v>
      </c>
      <c r="C80" s="2"/>
      <c r="D80" s="2"/>
      <c r="E80" s="96">
        <v>810</v>
      </c>
      <c r="G80" s="88" t="s">
        <v>93</v>
      </c>
      <c r="H80" s="2"/>
      <c r="I80" s="2"/>
      <c r="J80" s="96">
        <v>940</v>
      </c>
      <c r="L80" s="88" t="s">
        <v>93</v>
      </c>
      <c r="M80" s="2"/>
      <c r="N80" s="2"/>
      <c r="O80" s="96">
        <v>1070</v>
      </c>
    </row>
    <row r="81" spans="2:15" x14ac:dyDescent="0.3">
      <c r="B81" s="88" t="s">
        <v>100</v>
      </c>
      <c r="C81" s="2"/>
      <c r="D81" s="2"/>
      <c r="E81" s="95">
        <v>62.307692307692307</v>
      </c>
      <c r="G81" s="88" t="s">
        <v>100</v>
      </c>
      <c r="H81" s="2"/>
      <c r="I81" s="2"/>
      <c r="J81" s="95">
        <v>72.307692307692307</v>
      </c>
      <c r="L81" s="88" t="s">
        <v>100</v>
      </c>
      <c r="M81" s="2"/>
      <c r="N81" s="2"/>
      <c r="O81" s="95">
        <v>82.307692307692307</v>
      </c>
    </row>
    <row r="82" spans="2:15" x14ac:dyDescent="0.3">
      <c r="B82" s="88" t="s">
        <v>236</v>
      </c>
      <c r="C82" s="2"/>
      <c r="D82" s="2"/>
      <c r="E82" s="96">
        <v>114.4</v>
      </c>
      <c r="G82" s="88" t="s">
        <v>236</v>
      </c>
      <c r="H82" s="2"/>
      <c r="I82" s="2"/>
      <c r="J82" s="96">
        <v>148</v>
      </c>
      <c r="L82" s="88" t="s">
        <v>236</v>
      </c>
      <c r="M82" s="2"/>
      <c r="N82" s="2"/>
      <c r="O82" s="96">
        <v>172</v>
      </c>
    </row>
    <row r="83" spans="2:15" ht="15" thickBot="1" x14ac:dyDescent="0.35">
      <c r="B83" s="88" t="s">
        <v>96</v>
      </c>
      <c r="C83" s="2"/>
      <c r="D83" s="182"/>
      <c r="E83" s="187">
        <v>0</v>
      </c>
      <c r="G83" s="88" t="s">
        <v>96</v>
      </c>
      <c r="H83" s="2"/>
      <c r="I83" s="182"/>
      <c r="J83" s="187">
        <v>0</v>
      </c>
      <c r="L83" s="88" t="s">
        <v>96</v>
      </c>
      <c r="M83" s="2"/>
      <c r="N83" s="182"/>
      <c r="O83" s="187">
        <v>0</v>
      </c>
    </row>
    <row r="84" spans="2:15" ht="15.6" thickTop="1" thickBot="1" x14ac:dyDescent="0.35">
      <c r="B84" s="93" t="s">
        <v>94</v>
      </c>
      <c r="C84" s="94"/>
      <c r="D84" s="184"/>
      <c r="E84" s="185">
        <v>924.4</v>
      </c>
      <c r="G84" s="93" t="s">
        <v>94</v>
      </c>
      <c r="H84" s="94"/>
      <c r="I84" s="184"/>
      <c r="J84" s="185">
        <v>1088</v>
      </c>
      <c r="L84" s="93" t="s">
        <v>94</v>
      </c>
      <c r="M84" s="94"/>
      <c r="N84" s="184"/>
      <c r="O84" s="185">
        <v>1242</v>
      </c>
    </row>
    <row r="85" spans="2:15" ht="15.6" thickTop="1" thickBot="1" x14ac:dyDescent="0.35">
      <c r="B85" s="93" t="s">
        <v>99</v>
      </c>
      <c r="C85" s="94"/>
      <c r="D85" s="184"/>
      <c r="E85" s="196">
        <v>1011.87</v>
      </c>
      <c r="G85" s="93" t="s">
        <v>99</v>
      </c>
      <c r="H85" s="94"/>
      <c r="I85" s="184"/>
      <c r="J85" s="196">
        <v>1239.7400000000002</v>
      </c>
      <c r="L85" s="93" t="s">
        <v>99</v>
      </c>
      <c r="M85" s="94"/>
      <c r="N85" s="184"/>
      <c r="O85" s="196">
        <v>872.4100000000002</v>
      </c>
    </row>
    <row r="86" spans="2:15" ht="15.6" thickTop="1" thickBot="1" x14ac:dyDescent="0.35"/>
    <row r="87" spans="2:15" ht="15.6" thickTop="1" thickBot="1" x14ac:dyDescent="0.35">
      <c r="B87" s="390" t="s">
        <v>92</v>
      </c>
      <c r="C87" s="397"/>
      <c r="D87" s="391"/>
      <c r="E87" s="111">
        <v>44788</v>
      </c>
      <c r="G87" s="390" t="s">
        <v>92</v>
      </c>
      <c r="H87" s="397"/>
      <c r="I87" s="391"/>
      <c r="J87" s="111">
        <v>44788</v>
      </c>
      <c r="L87" s="390" t="s">
        <v>92</v>
      </c>
      <c r="M87" s="397"/>
      <c r="N87" s="391"/>
      <c r="O87" s="111">
        <v>44788</v>
      </c>
    </row>
    <row r="88" spans="2:15" ht="15.6" thickTop="1" thickBot="1" x14ac:dyDescent="0.35">
      <c r="B88" s="394"/>
      <c r="C88" s="398"/>
      <c r="D88" s="395"/>
      <c r="E88" s="111">
        <v>45061</v>
      </c>
      <c r="G88" s="394"/>
      <c r="H88" s="398"/>
      <c r="I88" s="395"/>
      <c r="J88" s="111">
        <v>45092</v>
      </c>
      <c r="L88" s="394"/>
      <c r="M88" s="398"/>
      <c r="N88" s="395"/>
      <c r="O88" s="111">
        <v>45122</v>
      </c>
    </row>
    <row r="89" spans="2:15" ht="15.6" thickTop="1" thickBot="1" x14ac:dyDescent="0.35">
      <c r="B89" s="88" t="s">
        <v>91</v>
      </c>
      <c r="C89" s="2"/>
      <c r="D89" s="2"/>
      <c r="E89" s="170">
        <v>1300</v>
      </c>
      <c r="G89" s="88" t="s">
        <v>91</v>
      </c>
      <c r="H89" s="2"/>
      <c r="I89" s="2"/>
      <c r="J89" s="170">
        <v>1430</v>
      </c>
      <c r="L89" s="88" t="s">
        <v>91</v>
      </c>
      <c r="M89" s="2"/>
      <c r="N89" s="2"/>
      <c r="O89" s="170">
        <v>1560</v>
      </c>
    </row>
    <row r="90" spans="2:15" ht="15.6" thickTop="1" thickBot="1" x14ac:dyDescent="0.35">
      <c r="B90" s="89" t="s">
        <v>169</v>
      </c>
      <c r="C90" s="90"/>
      <c r="D90" s="90"/>
      <c r="E90" s="176"/>
      <c r="G90" s="89" t="s">
        <v>169</v>
      </c>
      <c r="H90" s="90"/>
      <c r="I90" s="90"/>
      <c r="J90" s="176"/>
      <c r="L90" s="89" t="s">
        <v>169</v>
      </c>
      <c r="M90" s="90"/>
      <c r="N90" s="90"/>
      <c r="O90" s="176"/>
    </row>
    <row r="91" spans="2:15" ht="15" thickTop="1" x14ac:dyDescent="0.3">
      <c r="B91" s="174" t="s">
        <v>225</v>
      </c>
      <c r="C91" s="2"/>
      <c r="D91" s="2"/>
      <c r="E91" s="169">
        <v>2960</v>
      </c>
      <c r="G91" s="174" t="s">
        <v>225</v>
      </c>
      <c r="H91" s="2"/>
      <c r="I91" s="2"/>
      <c r="J91" s="169">
        <v>3960</v>
      </c>
      <c r="L91" s="174" t="s">
        <v>225</v>
      </c>
      <c r="M91" s="2"/>
      <c r="N91" s="2"/>
      <c r="O91" s="169">
        <v>3960</v>
      </c>
    </row>
    <row r="92" spans="2:15" x14ac:dyDescent="0.3">
      <c r="B92" s="175" t="s">
        <v>226</v>
      </c>
      <c r="C92" s="2"/>
      <c r="D92" s="2"/>
      <c r="E92" s="97">
        <v>100</v>
      </c>
      <c r="G92" s="175" t="s">
        <v>226</v>
      </c>
      <c r="H92" s="2"/>
      <c r="I92" s="2"/>
      <c r="J92" s="97">
        <v>100</v>
      </c>
      <c r="L92" s="175" t="s">
        <v>226</v>
      </c>
      <c r="M92" s="2"/>
      <c r="N92" s="2"/>
      <c r="O92" s="97">
        <v>100</v>
      </c>
    </row>
    <row r="93" spans="2:15" x14ac:dyDescent="0.3">
      <c r="B93" s="88" t="s">
        <v>103</v>
      </c>
      <c r="C93" s="2"/>
      <c r="D93" s="2"/>
      <c r="E93" s="98">
        <v>300</v>
      </c>
      <c r="G93" s="88" t="s">
        <v>103</v>
      </c>
      <c r="H93" s="2"/>
      <c r="I93" s="2"/>
      <c r="J93" s="98">
        <v>1000</v>
      </c>
      <c r="L93" s="88" t="s">
        <v>103</v>
      </c>
      <c r="M93" s="2"/>
      <c r="N93" s="2"/>
      <c r="O93" s="98">
        <v>0</v>
      </c>
    </row>
    <row r="94" spans="2:15" x14ac:dyDescent="0.3">
      <c r="B94" s="175" t="s">
        <v>227</v>
      </c>
      <c r="C94" s="2"/>
      <c r="D94" s="2"/>
      <c r="E94" s="177">
        <v>178</v>
      </c>
      <c r="G94" s="175" t="s">
        <v>227</v>
      </c>
      <c r="H94" s="2"/>
      <c r="I94" s="2"/>
      <c r="J94" s="177">
        <v>258</v>
      </c>
      <c r="L94" s="175" t="s">
        <v>227</v>
      </c>
      <c r="M94" s="2"/>
      <c r="N94" s="2"/>
      <c r="O94" s="177">
        <v>258</v>
      </c>
    </row>
    <row r="95" spans="2:15" ht="15" thickBot="1" x14ac:dyDescent="0.35">
      <c r="B95" s="88" t="s">
        <v>105</v>
      </c>
      <c r="C95" s="2"/>
      <c r="D95" s="2"/>
      <c r="E95" s="98">
        <v>16</v>
      </c>
      <c r="G95" s="88" t="s">
        <v>105</v>
      </c>
      <c r="H95" s="2"/>
      <c r="I95" s="2"/>
      <c r="J95" s="98">
        <v>80</v>
      </c>
      <c r="L95" s="88" t="s">
        <v>105</v>
      </c>
      <c r="M95" s="2"/>
      <c r="N95" s="2"/>
      <c r="O95" s="98">
        <v>0</v>
      </c>
    </row>
    <row r="96" spans="2:15" ht="15.6" thickTop="1" thickBot="1" x14ac:dyDescent="0.35">
      <c r="B96" s="178" t="s">
        <v>39</v>
      </c>
      <c r="C96" s="90"/>
      <c r="D96" s="90"/>
      <c r="E96" s="176"/>
      <c r="G96" s="178" t="s">
        <v>39</v>
      </c>
      <c r="H96" s="90"/>
      <c r="I96" s="90"/>
      <c r="J96" s="176"/>
      <c r="L96" s="178" t="s">
        <v>39</v>
      </c>
      <c r="M96" s="90"/>
      <c r="N96" s="90"/>
      <c r="O96" s="176"/>
    </row>
    <row r="97" spans="2:15" ht="15" thickTop="1" x14ac:dyDescent="0.3">
      <c r="B97" s="88" t="s">
        <v>101</v>
      </c>
      <c r="C97" s="2"/>
      <c r="D97" s="2"/>
      <c r="E97" s="97">
        <v>2209.9899999999998</v>
      </c>
      <c r="G97" s="88" t="s">
        <v>101</v>
      </c>
      <c r="H97" s="2"/>
      <c r="I97" s="2"/>
      <c r="J97" s="97">
        <v>2534.9899999999998</v>
      </c>
      <c r="L97" s="88" t="s">
        <v>101</v>
      </c>
      <c r="M97" s="2"/>
      <c r="N97" s="2"/>
      <c r="O97" s="97">
        <v>2834.99</v>
      </c>
    </row>
    <row r="98" spans="2:15" x14ac:dyDescent="0.3">
      <c r="B98" s="88" t="s">
        <v>104</v>
      </c>
      <c r="C98" s="2"/>
      <c r="D98" s="2"/>
      <c r="E98" s="98">
        <v>359</v>
      </c>
      <c r="G98" s="88" t="s">
        <v>104</v>
      </c>
      <c r="H98" s="2"/>
      <c r="I98" s="2"/>
      <c r="J98" s="98">
        <v>325</v>
      </c>
      <c r="L98" s="88" t="s">
        <v>104</v>
      </c>
      <c r="M98" s="2"/>
      <c r="N98" s="2"/>
      <c r="O98" s="98">
        <v>300</v>
      </c>
    </row>
    <row r="99" spans="2:15" ht="15" thickBot="1" x14ac:dyDescent="0.35">
      <c r="B99" s="102" t="s">
        <v>95</v>
      </c>
      <c r="C99" s="101"/>
      <c r="D99" s="92"/>
      <c r="E99" s="100">
        <v>750.01000000000022</v>
      </c>
      <c r="G99" s="102" t="s">
        <v>95</v>
      </c>
      <c r="H99" s="101"/>
      <c r="I99" s="92"/>
      <c r="J99" s="100">
        <v>1425.0100000000002</v>
      </c>
      <c r="L99" s="102" t="s">
        <v>95</v>
      </c>
      <c r="M99" s="101"/>
      <c r="N99" s="92"/>
      <c r="O99" s="100">
        <v>1125.0100000000002</v>
      </c>
    </row>
    <row r="100" spans="2:15" ht="15" thickTop="1" x14ac:dyDescent="0.3">
      <c r="B100" s="88" t="s">
        <v>102</v>
      </c>
      <c r="C100" s="2"/>
      <c r="D100" s="2"/>
      <c r="E100" s="97">
        <v>126.00000000000001</v>
      </c>
      <c r="G100" s="88" t="s">
        <v>102</v>
      </c>
      <c r="H100" s="2"/>
      <c r="I100" s="2"/>
      <c r="J100" s="97">
        <v>148</v>
      </c>
      <c r="L100" s="88" t="s">
        <v>102</v>
      </c>
      <c r="M100" s="2"/>
      <c r="N100" s="2"/>
      <c r="O100" s="97">
        <v>188</v>
      </c>
    </row>
    <row r="101" spans="2:15" x14ac:dyDescent="0.3">
      <c r="B101" s="88" t="s">
        <v>106</v>
      </c>
      <c r="C101" s="2"/>
      <c r="D101" s="2"/>
      <c r="E101" s="98">
        <v>27.4</v>
      </c>
      <c r="G101" s="88" t="s">
        <v>106</v>
      </c>
      <c r="H101" s="2"/>
      <c r="I101" s="2"/>
      <c r="J101" s="98">
        <v>22</v>
      </c>
      <c r="L101" s="88" t="s">
        <v>106</v>
      </c>
      <c r="M101" s="2"/>
      <c r="N101" s="2"/>
      <c r="O101" s="98">
        <v>40</v>
      </c>
    </row>
    <row r="102" spans="2:15" ht="15" thickBot="1" x14ac:dyDescent="0.35">
      <c r="B102" s="102" t="s">
        <v>98</v>
      </c>
      <c r="C102" s="92"/>
      <c r="D102" s="92"/>
      <c r="E102" s="100">
        <v>51.999999999999986</v>
      </c>
      <c r="G102" s="102" t="s">
        <v>98</v>
      </c>
      <c r="H102" s="92"/>
      <c r="I102" s="92"/>
      <c r="J102" s="100">
        <v>110</v>
      </c>
      <c r="L102" s="102" t="s">
        <v>98</v>
      </c>
      <c r="M102" s="92"/>
      <c r="N102" s="92"/>
      <c r="O102" s="100">
        <v>70</v>
      </c>
    </row>
    <row r="103" spans="2:15" ht="15.6" thickTop="1" thickBot="1" x14ac:dyDescent="0.35">
      <c r="B103" s="89" t="s">
        <v>228</v>
      </c>
      <c r="C103" s="179"/>
      <c r="D103" s="90"/>
      <c r="E103" s="183"/>
      <c r="G103" s="89" t="s">
        <v>228</v>
      </c>
      <c r="H103" s="179"/>
      <c r="I103" s="90"/>
      <c r="J103" s="183"/>
      <c r="L103" s="89" t="s">
        <v>228</v>
      </c>
      <c r="M103" s="179"/>
      <c r="N103" s="90"/>
      <c r="O103" s="183"/>
    </row>
    <row r="104" spans="2:15" ht="15" thickTop="1" x14ac:dyDescent="0.3">
      <c r="B104" s="88" t="s">
        <v>229</v>
      </c>
      <c r="C104" s="171"/>
      <c r="D104" s="2"/>
      <c r="E104" s="99">
        <v>10</v>
      </c>
      <c r="G104" s="88" t="s">
        <v>229</v>
      </c>
      <c r="H104" s="171"/>
      <c r="I104" s="2"/>
      <c r="J104" s="99">
        <v>10</v>
      </c>
      <c r="L104" s="88" t="s">
        <v>229</v>
      </c>
      <c r="M104" s="171"/>
      <c r="N104" s="2"/>
      <c r="O104" s="99">
        <v>10</v>
      </c>
    </row>
    <row r="105" spans="2:15" x14ac:dyDescent="0.3">
      <c r="B105" s="88" t="s">
        <v>249</v>
      </c>
      <c r="C105" s="180"/>
      <c r="D105" s="181"/>
      <c r="E105" s="97">
        <v>0</v>
      </c>
      <c r="G105" s="88" t="s">
        <v>249</v>
      </c>
      <c r="H105" s="180"/>
      <c r="I105" s="181"/>
      <c r="J105" s="97">
        <v>0</v>
      </c>
      <c r="L105" s="88" t="s">
        <v>249</v>
      </c>
      <c r="M105" s="180"/>
      <c r="N105" s="181"/>
      <c r="O105" s="97">
        <v>0</v>
      </c>
    </row>
    <row r="106" spans="2:15" x14ac:dyDescent="0.3">
      <c r="B106" s="88" t="s">
        <v>248</v>
      </c>
      <c r="C106" s="180"/>
      <c r="D106" s="181"/>
      <c r="E106" s="97">
        <v>0</v>
      </c>
      <c r="G106" s="88" t="s">
        <v>248</v>
      </c>
      <c r="H106" s="180"/>
      <c r="I106" s="181"/>
      <c r="J106" s="97">
        <v>0</v>
      </c>
      <c r="L106" s="88" t="s">
        <v>248</v>
      </c>
      <c r="M106" s="180"/>
      <c r="N106" s="181"/>
      <c r="O106" s="97">
        <v>0</v>
      </c>
    </row>
    <row r="107" spans="2:15" x14ac:dyDescent="0.3">
      <c r="B107" s="88" t="s">
        <v>93</v>
      </c>
      <c r="C107" s="2"/>
      <c r="D107" s="2"/>
      <c r="E107" s="96">
        <v>1200</v>
      </c>
      <c r="G107" s="88" t="s">
        <v>93</v>
      </c>
      <c r="H107" s="2"/>
      <c r="I107" s="2"/>
      <c r="J107" s="96">
        <v>1330</v>
      </c>
      <c r="L107" s="88" t="s">
        <v>93</v>
      </c>
      <c r="M107" s="2"/>
      <c r="N107" s="2"/>
      <c r="O107" s="96">
        <v>1460</v>
      </c>
    </row>
    <row r="108" spans="2:15" x14ac:dyDescent="0.3">
      <c r="B108" s="88" t="s">
        <v>100</v>
      </c>
      <c r="C108" s="2"/>
      <c r="D108" s="2"/>
      <c r="E108" s="95">
        <v>92.307692307692307</v>
      </c>
      <c r="G108" s="88" t="s">
        <v>100</v>
      </c>
      <c r="H108" s="2"/>
      <c r="I108" s="2"/>
      <c r="J108" s="95">
        <v>102.30769230769231</v>
      </c>
      <c r="L108" s="88" t="s">
        <v>100</v>
      </c>
      <c r="M108" s="2"/>
      <c r="N108" s="2"/>
      <c r="O108" s="95">
        <v>112.30769230769231</v>
      </c>
    </row>
    <row r="109" spans="2:15" x14ac:dyDescent="0.3">
      <c r="B109" s="88" t="s">
        <v>236</v>
      </c>
      <c r="C109" s="2"/>
      <c r="D109" s="2"/>
      <c r="E109" s="96">
        <v>188</v>
      </c>
      <c r="G109" s="88" t="s">
        <v>236</v>
      </c>
      <c r="H109" s="2"/>
      <c r="I109" s="2"/>
      <c r="J109" s="96">
        <v>268</v>
      </c>
      <c r="L109" s="88" t="s">
        <v>236</v>
      </c>
      <c r="M109" s="2"/>
      <c r="N109" s="2"/>
      <c r="O109" s="96">
        <v>268</v>
      </c>
    </row>
    <row r="110" spans="2:15" ht="15" thickBot="1" x14ac:dyDescent="0.35">
      <c r="B110" s="88" t="s">
        <v>96</v>
      </c>
      <c r="C110" s="2"/>
      <c r="D110" s="182"/>
      <c r="E110" s="187">
        <v>0</v>
      </c>
      <c r="G110" s="88" t="s">
        <v>96</v>
      </c>
      <c r="H110" s="2"/>
      <c r="I110" s="182"/>
      <c r="J110" s="187">
        <v>0</v>
      </c>
      <c r="L110" s="88" t="s">
        <v>96</v>
      </c>
      <c r="M110" s="2"/>
      <c r="N110" s="182"/>
      <c r="O110" s="187">
        <v>0</v>
      </c>
    </row>
    <row r="111" spans="2:15" ht="15.6" thickTop="1" thickBot="1" x14ac:dyDescent="0.35">
      <c r="B111" s="93" t="s">
        <v>94</v>
      </c>
      <c r="C111" s="94"/>
      <c r="D111" s="184"/>
      <c r="E111" s="185">
        <v>1388</v>
      </c>
      <c r="G111" s="93" t="s">
        <v>94</v>
      </c>
      <c r="H111" s="94"/>
      <c r="I111" s="184"/>
      <c r="J111" s="185">
        <v>1598</v>
      </c>
      <c r="L111" s="93" t="s">
        <v>94</v>
      </c>
      <c r="M111" s="94"/>
      <c r="N111" s="184"/>
      <c r="O111" s="185">
        <v>1728</v>
      </c>
    </row>
    <row r="112" spans="2:15" ht="15.6" thickTop="1" thickBot="1" x14ac:dyDescent="0.35">
      <c r="B112" s="93" t="s">
        <v>99</v>
      </c>
      <c r="C112" s="94"/>
      <c r="D112" s="184"/>
      <c r="E112" s="196">
        <v>802.01000000000022</v>
      </c>
      <c r="G112" s="93" t="s">
        <v>99</v>
      </c>
      <c r="H112" s="94"/>
      <c r="I112" s="184"/>
      <c r="J112" s="196">
        <v>1535.0100000000002</v>
      </c>
      <c r="L112" s="93" t="s">
        <v>99</v>
      </c>
      <c r="M112" s="94"/>
      <c r="N112" s="184"/>
      <c r="O112" s="196">
        <v>1195.0100000000002</v>
      </c>
    </row>
    <row r="113" spans="2:15" ht="15.6" thickTop="1" thickBot="1" x14ac:dyDescent="0.35"/>
    <row r="114" spans="2:15" ht="15.6" thickTop="1" thickBot="1" x14ac:dyDescent="0.35">
      <c r="B114" s="390" t="s">
        <v>92</v>
      </c>
      <c r="C114" s="397"/>
      <c r="D114" s="391"/>
      <c r="E114" s="111">
        <v>44788</v>
      </c>
      <c r="G114" s="390" t="s">
        <v>92</v>
      </c>
      <c r="H114" s="397"/>
      <c r="I114" s="391"/>
      <c r="J114" s="111">
        <v>44788</v>
      </c>
      <c r="L114" s="390" t="s">
        <v>92</v>
      </c>
      <c r="M114" s="397"/>
      <c r="N114" s="391"/>
      <c r="O114" s="111">
        <v>44788</v>
      </c>
    </row>
    <row r="115" spans="2:15" ht="15.6" thickTop="1" thickBot="1" x14ac:dyDescent="0.35">
      <c r="B115" s="394"/>
      <c r="C115" s="398"/>
      <c r="D115" s="395"/>
      <c r="E115" s="111">
        <v>45153</v>
      </c>
      <c r="G115" s="394"/>
      <c r="H115" s="398"/>
      <c r="I115" s="395"/>
      <c r="J115" s="111">
        <v>45184</v>
      </c>
      <c r="L115" s="394"/>
      <c r="M115" s="398"/>
      <c r="N115" s="395"/>
      <c r="O115" s="111">
        <v>45214</v>
      </c>
    </row>
    <row r="116" spans="2:15" ht="15.6" thickTop="1" thickBot="1" x14ac:dyDescent="0.35">
      <c r="B116" s="88" t="s">
        <v>91</v>
      </c>
      <c r="C116" s="2"/>
      <c r="D116" s="2"/>
      <c r="E116" s="170">
        <v>1690</v>
      </c>
      <c r="G116" s="88" t="s">
        <v>91</v>
      </c>
      <c r="H116" s="2"/>
      <c r="I116" s="2"/>
      <c r="J116" s="170">
        <v>1820</v>
      </c>
      <c r="L116" s="88" t="s">
        <v>91</v>
      </c>
      <c r="M116" s="2"/>
      <c r="N116" s="2"/>
      <c r="O116" s="170">
        <v>1950</v>
      </c>
    </row>
    <row r="117" spans="2:15" ht="15.6" thickTop="1" thickBot="1" x14ac:dyDescent="0.35">
      <c r="B117" s="89" t="s">
        <v>169</v>
      </c>
      <c r="C117" s="90"/>
      <c r="D117" s="90"/>
      <c r="E117" s="176"/>
      <c r="G117" s="89" t="s">
        <v>169</v>
      </c>
      <c r="H117" s="90"/>
      <c r="I117" s="90"/>
      <c r="J117" s="176"/>
      <c r="L117" s="89" t="s">
        <v>169</v>
      </c>
      <c r="M117" s="90"/>
      <c r="N117" s="90"/>
      <c r="O117" s="176"/>
    </row>
    <row r="118" spans="2:15" ht="15" thickTop="1" x14ac:dyDescent="0.3">
      <c r="B118" s="174" t="s">
        <v>225</v>
      </c>
      <c r="C118" s="2"/>
      <c r="D118" s="2"/>
      <c r="E118" s="169">
        <v>4460</v>
      </c>
      <c r="G118" s="174" t="s">
        <v>225</v>
      </c>
      <c r="H118" s="2"/>
      <c r="I118" s="2"/>
      <c r="J118" s="169">
        <v>5160</v>
      </c>
      <c r="L118" s="174" t="s">
        <v>225</v>
      </c>
      <c r="M118" s="2"/>
      <c r="N118" s="2"/>
      <c r="O118" s="169">
        <v>6360</v>
      </c>
    </row>
    <row r="119" spans="2:15" x14ac:dyDescent="0.3">
      <c r="B119" s="175" t="s">
        <v>226</v>
      </c>
      <c r="C119" s="2"/>
      <c r="D119" s="2"/>
      <c r="E119" s="97">
        <v>100</v>
      </c>
      <c r="G119" s="175" t="s">
        <v>226</v>
      </c>
      <c r="H119" s="2"/>
      <c r="I119" s="2"/>
      <c r="J119" s="97">
        <v>100</v>
      </c>
      <c r="L119" s="175" t="s">
        <v>226</v>
      </c>
      <c r="M119" s="2"/>
      <c r="N119" s="2"/>
      <c r="O119" s="97">
        <v>100</v>
      </c>
    </row>
    <row r="120" spans="2:15" x14ac:dyDescent="0.3">
      <c r="B120" s="88" t="s">
        <v>103</v>
      </c>
      <c r="C120" s="2"/>
      <c r="D120" s="2"/>
      <c r="E120" s="98">
        <v>200</v>
      </c>
      <c r="G120" s="88" t="s">
        <v>103</v>
      </c>
      <c r="H120" s="2"/>
      <c r="I120" s="2"/>
      <c r="J120" s="98">
        <v>700</v>
      </c>
      <c r="L120" s="88" t="s">
        <v>103</v>
      </c>
      <c r="M120" s="2"/>
      <c r="N120" s="2"/>
      <c r="O120" s="98">
        <v>1200</v>
      </c>
    </row>
    <row r="121" spans="2:15" x14ac:dyDescent="0.3">
      <c r="B121" s="175" t="s">
        <v>227</v>
      </c>
      <c r="C121" s="2"/>
      <c r="D121" s="2"/>
      <c r="E121" s="177">
        <v>268</v>
      </c>
      <c r="G121" s="175" t="s">
        <v>227</v>
      </c>
      <c r="H121" s="2"/>
      <c r="I121" s="2"/>
      <c r="J121" s="177">
        <v>338</v>
      </c>
      <c r="L121" s="175" t="s">
        <v>227</v>
      </c>
      <c r="M121" s="2"/>
      <c r="N121" s="2"/>
      <c r="O121" s="177">
        <v>458</v>
      </c>
    </row>
    <row r="122" spans="2:15" ht="15" thickBot="1" x14ac:dyDescent="0.35">
      <c r="B122" s="88" t="s">
        <v>105</v>
      </c>
      <c r="C122" s="2"/>
      <c r="D122" s="2"/>
      <c r="E122" s="98">
        <v>4</v>
      </c>
      <c r="G122" s="88" t="s">
        <v>105</v>
      </c>
      <c r="H122" s="2"/>
      <c r="I122" s="2"/>
      <c r="J122" s="98">
        <v>70</v>
      </c>
      <c r="L122" s="88" t="s">
        <v>105</v>
      </c>
      <c r="M122" s="2"/>
      <c r="N122" s="2"/>
      <c r="O122" s="98">
        <v>120</v>
      </c>
    </row>
    <row r="123" spans="2:15" ht="15.6" thickTop="1" thickBot="1" x14ac:dyDescent="0.35">
      <c r="B123" s="178" t="s">
        <v>39</v>
      </c>
      <c r="C123" s="90"/>
      <c r="D123" s="90"/>
      <c r="E123" s="176"/>
      <c r="G123" s="178" t="s">
        <v>39</v>
      </c>
      <c r="H123" s="90"/>
      <c r="I123" s="90"/>
      <c r="J123" s="176"/>
      <c r="L123" s="178" t="s">
        <v>39</v>
      </c>
      <c r="M123" s="90"/>
      <c r="N123" s="90"/>
      <c r="O123" s="176"/>
    </row>
    <row r="124" spans="2:15" ht="15" thickTop="1" x14ac:dyDescent="0.3">
      <c r="B124" s="88" t="s">
        <v>101</v>
      </c>
      <c r="C124" s="2"/>
      <c r="D124" s="2"/>
      <c r="E124" s="97">
        <v>3134.99</v>
      </c>
      <c r="G124" s="88" t="s">
        <v>101</v>
      </c>
      <c r="H124" s="2"/>
      <c r="I124" s="2"/>
      <c r="J124" s="97">
        <v>3459.99</v>
      </c>
      <c r="L124" s="88" t="s">
        <v>101</v>
      </c>
      <c r="M124" s="2"/>
      <c r="N124" s="2"/>
      <c r="O124" s="97">
        <v>4584.99</v>
      </c>
    </row>
    <row r="125" spans="2:15" x14ac:dyDescent="0.3">
      <c r="B125" s="88" t="s">
        <v>104</v>
      </c>
      <c r="C125" s="2"/>
      <c r="D125" s="2"/>
      <c r="E125" s="98">
        <v>300</v>
      </c>
      <c r="G125" s="88" t="s">
        <v>104</v>
      </c>
      <c r="H125" s="2"/>
      <c r="I125" s="2"/>
      <c r="J125" s="98">
        <v>325</v>
      </c>
      <c r="L125" s="88" t="s">
        <v>104</v>
      </c>
      <c r="M125" s="2"/>
      <c r="N125" s="2"/>
      <c r="O125" s="98">
        <v>1125</v>
      </c>
    </row>
    <row r="126" spans="2:15" ht="15" thickBot="1" x14ac:dyDescent="0.35">
      <c r="B126" s="102" t="s">
        <v>95</v>
      </c>
      <c r="C126" s="101"/>
      <c r="D126" s="92"/>
      <c r="E126" s="100">
        <v>1325.0100000000002</v>
      </c>
      <c r="G126" s="102" t="s">
        <v>95</v>
      </c>
      <c r="H126" s="101"/>
      <c r="I126" s="92"/>
      <c r="J126" s="100">
        <v>1700.0100000000002</v>
      </c>
      <c r="L126" s="102" t="s">
        <v>95</v>
      </c>
      <c r="M126" s="101"/>
      <c r="N126" s="92"/>
      <c r="O126" s="100">
        <v>1775.0100000000002</v>
      </c>
    </row>
    <row r="127" spans="2:15" ht="15" thickTop="1" x14ac:dyDescent="0.3">
      <c r="B127" s="88" t="s">
        <v>102</v>
      </c>
      <c r="C127" s="2"/>
      <c r="D127" s="2"/>
      <c r="E127" s="97">
        <v>220</v>
      </c>
      <c r="G127" s="88" t="s">
        <v>102</v>
      </c>
      <c r="H127" s="2"/>
      <c r="I127" s="2"/>
      <c r="J127" s="97">
        <v>248</v>
      </c>
      <c r="L127" s="88" t="s">
        <v>102</v>
      </c>
      <c r="M127" s="2"/>
      <c r="N127" s="2"/>
      <c r="O127" s="97">
        <v>282</v>
      </c>
    </row>
    <row r="128" spans="2:15" x14ac:dyDescent="0.3">
      <c r="B128" s="88" t="s">
        <v>106</v>
      </c>
      <c r="C128" s="2"/>
      <c r="D128" s="2"/>
      <c r="E128" s="98">
        <v>32</v>
      </c>
      <c r="G128" s="88" t="s">
        <v>106</v>
      </c>
      <c r="H128" s="2"/>
      <c r="I128" s="2"/>
      <c r="J128" s="98">
        <v>28</v>
      </c>
      <c r="L128" s="88" t="s">
        <v>106</v>
      </c>
      <c r="M128" s="2"/>
      <c r="N128" s="2"/>
      <c r="O128" s="98">
        <v>34</v>
      </c>
    </row>
    <row r="129" spans="2:15" ht="15" thickBot="1" x14ac:dyDescent="0.35">
      <c r="B129" s="102" t="s">
        <v>98</v>
      </c>
      <c r="C129" s="92"/>
      <c r="D129" s="92"/>
      <c r="E129" s="100">
        <v>48</v>
      </c>
      <c r="G129" s="102" t="s">
        <v>98</v>
      </c>
      <c r="H129" s="92"/>
      <c r="I129" s="92"/>
      <c r="J129" s="100">
        <v>90</v>
      </c>
      <c r="L129" s="102" t="s">
        <v>98</v>
      </c>
      <c r="M129" s="92"/>
      <c r="N129" s="92"/>
      <c r="O129" s="100">
        <v>176</v>
      </c>
    </row>
    <row r="130" spans="2:15" ht="15.6" thickTop="1" thickBot="1" x14ac:dyDescent="0.35">
      <c r="B130" s="89" t="s">
        <v>228</v>
      </c>
      <c r="C130" s="179"/>
      <c r="D130" s="90"/>
      <c r="E130" s="183"/>
      <c r="G130" s="89" t="s">
        <v>228</v>
      </c>
      <c r="H130" s="179"/>
      <c r="I130" s="90"/>
      <c r="J130" s="183"/>
      <c r="L130" s="89" t="s">
        <v>228</v>
      </c>
      <c r="M130" s="179"/>
      <c r="N130" s="90"/>
      <c r="O130" s="183"/>
    </row>
    <row r="131" spans="2:15" ht="15" thickTop="1" x14ac:dyDescent="0.3">
      <c r="B131" s="88" t="s">
        <v>229</v>
      </c>
      <c r="C131" s="171"/>
      <c r="D131" s="2"/>
      <c r="E131" s="99">
        <v>10</v>
      </c>
      <c r="G131" s="88" t="s">
        <v>229</v>
      </c>
      <c r="H131" s="171"/>
      <c r="I131" s="2"/>
      <c r="J131" s="99">
        <v>10</v>
      </c>
      <c r="L131" s="88" t="s">
        <v>229</v>
      </c>
      <c r="M131" s="171"/>
      <c r="N131" s="2"/>
      <c r="O131" s="99">
        <v>10</v>
      </c>
    </row>
    <row r="132" spans="2:15" x14ac:dyDescent="0.3">
      <c r="B132" s="88" t="s">
        <v>249</v>
      </c>
      <c r="C132" s="180"/>
      <c r="D132" s="181"/>
      <c r="E132" s="97">
        <v>250</v>
      </c>
      <c r="G132" s="88" t="s">
        <v>249</v>
      </c>
      <c r="H132" s="180"/>
      <c r="I132" s="181"/>
      <c r="J132" s="97">
        <v>250</v>
      </c>
      <c r="L132" s="88" t="s">
        <v>249</v>
      </c>
      <c r="M132" s="180"/>
      <c r="N132" s="181"/>
      <c r="O132" s="97">
        <v>250</v>
      </c>
    </row>
    <row r="133" spans="2:15" x14ac:dyDescent="0.3">
      <c r="B133" s="88" t="s">
        <v>248</v>
      </c>
      <c r="C133" s="180"/>
      <c r="D133" s="181"/>
      <c r="E133" s="97">
        <v>0</v>
      </c>
      <c r="G133" s="88" t="s">
        <v>248</v>
      </c>
      <c r="H133" s="180"/>
      <c r="I133" s="181"/>
      <c r="J133" s="97">
        <v>0</v>
      </c>
      <c r="L133" s="88" t="s">
        <v>248</v>
      </c>
      <c r="M133" s="180"/>
      <c r="N133" s="181"/>
      <c r="O133" s="97">
        <v>0</v>
      </c>
    </row>
    <row r="134" spans="2:15" x14ac:dyDescent="0.3">
      <c r="B134" s="88" t="s">
        <v>93</v>
      </c>
      <c r="C134" s="2"/>
      <c r="D134" s="2"/>
      <c r="E134" s="96">
        <v>1590</v>
      </c>
      <c r="G134" s="88" t="s">
        <v>93</v>
      </c>
      <c r="H134" s="2"/>
      <c r="I134" s="2"/>
      <c r="J134" s="96">
        <v>1720</v>
      </c>
      <c r="L134" s="88" t="s">
        <v>93</v>
      </c>
      <c r="M134" s="2"/>
      <c r="N134" s="2"/>
      <c r="O134" s="96">
        <v>1850</v>
      </c>
    </row>
    <row r="135" spans="2:15" x14ac:dyDescent="0.3">
      <c r="B135" s="88" t="s">
        <v>100</v>
      </c>
      <c r="C135" s="2"/>
      <c r="D135" s="2"/>
      <c r="E135" s="95">
        <v>122.30769230769231</v>
      </c>
      <c r="G135" s="88" t="s">
        <v>100</v>
      </c>
      <c r="H135" s="2"/>
      <c r="I135" s="2"/>
      <c r="J135" s="95">
        <v>132.30769230769232</v>
      </c>
      <c r="L135" s="88" t="s">
        <v>100</v>
      </c>
      <c r="M135" s="2"/>
      <c r="N135" s="2"/>
      <c r="O135" s="95">
        <v>142.30769230769232</v>
      </c>
    </row>
    <row r="136" spans="2:15" x14ac:dyDescent="0.3">
      <c r="B136" s="88" t="s">
        <v>236</v>
      </c>
      <c r="C136" s="2"/>
      <c r="D136" s="2"/>
      <c r="E136" s="96">
        <v>28</v>
      </c>
      <c r="G136" s="88" t="s">
        <v>236</v>
      </c>
      <c r="H136" s="2"/>
      <c r="I136" s="2"/>
      <c r="J136" s="96">
        <v>98</v>
      </c>
      <c r="L136" s="88" t="s">
        <v>236</v>
      </c>
      <c r="M136" s="2"/>
      <c r="N136" s="2"/>
      <c r="O136" s="96">
        <v>218</v>
      </c>
    </row>
    <row r="137" spans="2:15" ht="15" thickBot="1" x14ac:dyDescent="0.35">
      <c r="B137" s="88" t="s">
        <v>96</v>
      </c>
      <c r="C137" s="2"/>
      <c r="D137" s="182"/>
      <c r="E137" s="187">
        <v>0</v>
      </c>
      <c r="G137" s="88" t="s">
        <v>96</v>
      </c>
      <c r="H137" s="2"/>
      <c r="I137" s="182"/>
      <c r="J137" s="187">
        <v>67</v>
      </c>
      <c r="L137" s="88" t="s">
        <v>96</v>
      </c>
      <c r="M137" s="2"/>
      <c r="N137" s="182"/>
      <c r="O137" s="187">
        <v>156</v>
      </c>
    </row>
    <row r="138" spans="2:15" ht="15.6" thickTop="1" thickBot="1" x14ac:dyDescent="0.35">
      <c r="B138" s="93" t="s">
        <v>94</v>
      </c>
      <c r="C138" s="94"/>
      <c r="D138" s="184"/>
      <c r="E138" s="185">
        <v>1618</v>
      </c>
      <c r="G138" s="93" t="s">
        <v>94</v>
      </c>
      <c r="H138" s="94"/>
      <c r="I138" s="184"/>
      <c r="J138" s="185">
        <v>1885</v>
      </c>
      <c r="L138" s="93" t="s">
        <v>94</v>
      </c>
      <c r="M138" s="94"/>
      <c r="N138" s="184"/>
      <c r="O138" s="185">
        <v>2224</v>
      </c>
    </row>
    <row r="139" spans="2:15" ht="15.6" thickTop="1" thickBot="1" x14ac:dyDescent="0.35">
      <c r="B139" s="93" t="s">
        <v>99</v>
      </c>
      <c r="C139" s="94"/>
      <c r="D139" s="184"/>
      <c r="E139" s="196">
        <v>1373.0100000000002</v>
      </c>
      <c r="G139" s="93" t="s">
        <v>99</v>
      </c>
      <c r="H139" s="94"/>
      <c r="I139" s="184"/>
      <c r="J139" s="196">
        <v>1857.0100000000002</v>
      </c>
      <c r="L139" s="93" t="s">
        <v>99</v>
      </c>
      <c r="M139" s="94"/>
      <c r="N139" s="184"/>
      <c r="O139" s="196">
        <v>2107.0100000000002</v>
      </c>
    </row>
    <row r="140" spans="2:15" ht="15.6" thickTop="1" thickBot="1" x14ac:dyDescent="0.35"/>
    <row r="141" spans="2:15" ht="15.6" thickTop="1" thickBot="1" x14ac:dyDescent="0.35">
      <c r="B141" s="390" t="s">
        <v>92</v>
      </c>
      <c r="C141" s="397"/>
      <c r="D141" s="391"/>
      <c r="E141" s="111">
        <v>44788</v>
      </c>
      <c r="G141" s="390" t="s">
        <v>92</v>
      </c>
      <c r="H141" s="397"/>
      <c r="I141" s="391"/>
      <c r="J141" s="111">
        <v>44788</v>
      </c>
      <c r="L141" s="390" t="s">
        <v>92</v>
      </c>
      <c r="M141" s="397"/>
      <c r="N141" s="391"/>
      <c r="O141" s="111">
        <v>44788</v>
      </c>
    </row>
    <row r="142" spans="2:15" ht="15.6" thickTop="1" thickBot="1" x14ac:dyDescent="0.35">
      <c r="B142" s="394"/>
      <c r="C142" s="398"/>
      <c r="D142" s="395"/>
      <c r="E142" s="111">
        <v>45245</v>
      </c>
      <c r="G142" s="394"/>
      <c r="H142" s="398"/>
      <c r="I142" s="395"/>
      <c r="J142" s="111">
        <v>45275</v>
      </c>
      <c r="L142" s="394"/>
      <c r="M142" s="398"/>
      <c r="N142" s="395"/>
      <c r="O142" s="111">
        <v>45306</v>
      </c>
    </row>
    <row r="143" spans="2:15" ht="15.6" thickTop="1" thickBot="1" x14ac:dyDescent="0.35">
      <c r="B143" s="88" t="s">
        <v>91</v>
      </c>
      <c r="C143" s="2"/>
      <c r="D143" s="2"/>
      <c r="E143" s="170">
        <v>2080</v>
      </c>
      <c r="G143" s="88" t="s">
        <v>91</v>
      </c>
      <c r="H143" s="2"/>
      <c r="I143" s="2"/>
      <c r="J143" s="170">
        <v>2210</v>
      </c>
      <c r="L143" s="88" t="s">
        <v>91</v>
      </c>
      <c r="M143" s="2"/>
      <c r="N143" s="2"/>
      <c r="O143" s="170">
        <v>2340</v>
      </c>
    </row>
    <row r="144" spans="2:15" ht="15.6" thickTop="1" thickBot="1" x14ac:dyDescent="0.35">
      <c r="B144" s="89" t="s">
        <v>169</v>
      </c>
      <c r="C144" s="90"/>
      <c r="D144" s="90"/>
      <c r="E144" s="176"/>
      <c r="G144" s="89" t="s">
        <v>169</v>
      </c>
      <c r="H144" s="90"/>
      <c r="I144" s="90"/>
      <c r="J144" s="176"/>
      <c r="L144" s="89" t="s">
        <v>169</v>
      </c>
      <c r="M144" s="90"/>
      <c r="N144" s="90"/>
      <c r="O144" s="176"/>
    </row>
    <row r="145" spans="2:15" ht="15" thickTop="1" x14ac:dyDescent="0.3">
      <c r="B145" s="174" t="s">
        <v>225</v>
      </c>
      <c r="C145" s="2"/>
      <c r="D145" s="2"/>
      <c r="E145" s="169">
        <v>6810</v>
      </c>
      <c r="G145" s="174" t="s">
        <v>225</v>
      </c>
      <c r="H145" s="2"/>
      <c r="I145" s="2"/>
      <c r="J145" s="169">
        <v>6810</v>
      </c>
      <c r="L145" s="174" t="s">
        <v>225</v>
      </c>
      <c r="M145" s="2"/>
      <c r="N145" s="2"/>
      <c r="O145" s="169">
        <v>7310</v>
      </c>
    </row>
    <row r="146" spans="2:15" x14ac:dyDescent="0.3">
      <c r="B146" s="175" t="s">
        <v>226</v>
      </c>
      <c r="C146" s="2"/>
      <c r="D146" s="2"/>
      <c r="E146" s="97">
        <v>100</v>
      </c>
      <c r="G146" s="175" t="s">
        <v>226</v>
      </c>
      <c r="H146" s="2"/>
      <c r="I146" s="2"/>
      <c r="J146" s="97">
        <v>100</v>
      </c>
      <c r="L146" s="175" t="s">
        <v>226</v>
      </c>
      <c r="M146" s="2"/>
      <c r="N146" s="2"/>
      <c r="O146" s="97">
        <v>100</v>
      </c>
    </row>
    <row r="147" spans="2:15" x14ac:dyDescent="0.3">
      <c r="B147" s="88" t="s">
        <v>103</v>
      </c>
      <c r="C147" s="2"/>
      <c r="D147" s="2"/>
      <c r="E147" s="98">
        <v>450</v>
      </c>
      <c r="G147" s="88" t="s">
        <v>103</v>
      </c>
      <c r="H147" s="2"/>
      <c r="I147" s="2"/>
      <c r="J147" s="98">
        <v>0</v>
      </c>
      <c r="L147" s="88" t="s">
        <v>103</v>
      </c>
      <c r="M147" s="2"/>
      <c r="N147" s="2"/>
      <c r="O147" s="98">
        <v>500</v>
      </c>
    </row>
    <row r="148" spans="2:15" x14ac:dyDescent="0.3">
      <c r="B148" s="175" t="s">
        <v>227</v>
      </c>
      <c r="C148" s="2"/>
      <c r="D148" s="2"/>
      <c r="E148" s="177">
        <v>494</v>
      </c>
      <c r="G148" s="175" t="s">
        <v>227</v>
      </c>
      <c r="H148" s="2"/>
      <c r="I148" s="2"/>
      <c r="J148" s="177">
        <v>494</v>
      </c>
      <c r="L148" s="175" t="s">
        <v>227</v>
      </c>
      <c r="M148" s="2"/>
      <c r="N148" s="2"/>
      <c r="O148" s="177">
        <v>514</v>
      </c>
    </row>
    <row r="149" spans="2:15" ht="15" thickBot="1" x14ac:dyDescent="0.35">
      <c r="B149" s="88" t="s">
        <v>105</v>
      </c>
      <c r="C149" s="2"/>
      <c r="D149" s="2"/>
      <c r="E149" s="98">
        <v>36</v>
      </c>
      <c r="G149" s="88" t="s">
        <v>105</v>
      </c>
      <c r="H149" s="2"/>
      <c r="I149" s="2"/>
      <c r="J149" s="98">
        <v>0</v>
      </c>
      <c r="L149" s="88" t="s">
        <v>105</v>
      </c>
      <c r="M149" s="2"/>
      <c r="N149" s="2"/>
      <c r="O149" s="98">
        <v>20</v>
      </c>
    </row>
    <row r="150" spans="2:15" ht="15.6" thickTop="1" thickBot="1" x14ac:dyDescent="0.35">
      <c r="B150" s="178" t="s">
        <v>39</v>
      </c>
      <c r="C150" s="90"/>
      <c r="D150" s="90"/>
      <c r="E150" s="176"/>
      <c r="G150" s="178" t="s">
        <v>39</v>
      </c>
      <c r="H150" s="90"/>
      <c r="I150" s="90"/>
      <c r="J150" s="176"/>
      <c r="L150" s="178" t="s">
        <v>39</v>
      </c>
      <c r="M150" s="90"/>
      <c r="N150" s="90"/>
      <c r="O150" s="176"/>
    </row>
    <row r="151" spans="2:15" ht="15" thickTop="1" x14ac:dyDescent="0.3">
      <c r="B151" s="88" t="s">
        <v>101</v>
      </c>
      <c r="C151" s="2"/>
      <c r="D151" s="2"/>
      <c r="E151" s="97">
        <v>4717.13</v>
      </c>
      <c r="G151" s="88" t="s">
        <v>101</v>
      </c>
      <c r="H151" s="2"/>
      <c r="I151" s="2"/>
      <c r="J151" s="97">
        <v>4849.2700000000004</v>
      </c>
      <c r="L151" s="88" t="s">
        <v>101</v>
      </c>
      <c r="M151" s="2"/>
      <c r="N151" s="2"/>
      <c r="O151" s="97">
        <v>5281.4100000000008</v>
      </c>
    </row>
    <row r="152" spans="2:15" x14ac:dyDescent="0.3">
      <c r="B152" s="88" t="s">
        <v>104</v>
      </c>
      <c r="C152" s="2"/>
      <c r="D152" s="2"/>
      <c r="E152" s="98">
        <v>132.13999999999999</v>
      </c>
      <c r="G152" s="88" t="s">
        <v>104</v>
      </c>
      <c r="H152" s="2"/>
      <c r="I152" s="2"/>
      <c r="J152" s="98">
        <v>132.13999999999999</v>
      </c>
      <c r="L152" s="88" t="s">
        <v>104</v>
      </c>
      <c r="M152" s="2"/>
      <c r="N152" s="2"/>
      <c r="O152" s="98">
        <v>432.14</v>
      </c>
    </row>
    <row r="153" spans="2:15" ht="15" thickBot="1" x14ac:dyDescent="0.35">
      <c r="B153" s="102" t="s">
        <v>95</v>
      </c>
      <c r="C153" s="101"/>
      <c r="D153" s="92"/>
      <c r="E153" s="100">
        <v>2092.87</v>
      </c>
      <c r="G153" s="102" t="s">
        <v>95</v>
      </c>
      <c r="H153" s="101"/>
      <c r="I153" s="92"/>
      <c r="J153" s="100">
        <v>1960.7299999999996</v>
      </c>
      <c r="L153" s="102" t="s">
        <v>95</v>
      </c>
      <c r="M153" s="101"/>
      <c r="N153" s="92"/>
      <c r="O153" s="100">
        <v>2028.5899999999992</v>
      </c>
    </row>
    <row r="154" spans="2:15" ht="15" thickTop="1" x14ac:dyDescent="0.3">
      <c r="B154" s="88" t="s">
        <v>102</v>
      </c>
      <c r="C154" s="2"/>
      <c r="D154" s="2"/>
      <c r="E154" s="97">
        <v>318</v>
      </c>
      <c r="G154" s="88" t="s">
        <v>102</v>
      </c>
      <c r="H154" s="2"/>
      <c r="I154" s="2"/>
      <c r="J154" s="97">
        <v>363</v>
      </c>
      <c r="L154" s="88" t="s">
        <v>102</v>
      </c>
      <c r="M154" s="2"/>
      <c r="N154" s="2"/>
      <c r="O154" s="97">
        <v>412</v>
      </c>
    </row>
    <row r="155" spans="2:15" x14ac:dyDescent="0.3">
      <c r="B155" s="88" t="s">
        <v>106</v>
      </c>
      <c r="C155" s="2"/>
      <c r="D155" s="2"/>
      <c r="E155" s="98">
        <v>36</v>
      </c>
      <c r="G155" s="88" t="s">
        <v>106</v>
      </c>
      <c r="H155" s="2"/>
      <c r="I155" s="2"/>
      <c r="J155" s="98">
        <v>45</v>
      </c>
      <c r="L155" s="88" t="s">
        <v>106</v>
      </c>
      <c r="M155" s="2"/>
      <c r="N155" s="2"/>
      <c r="O155" s="98">
        <v>49</v>
      </c>
    </row>
    <row r="156" spans="2:15" ht="15" thickBot="1" x14ac:dyDescent="0.35">
      <c r="B156" s="102" t="s">
        <v>98</v>
      </c>
      <c r="C156" s="92"/>
      <c r="D156" s="92"/>
      <c r="E156" s="100">
        <v>176</v>
      </c>
      <c r="G156" s="102" t="s">
        <v>98</v>
      </c>
      <c r="H156" s="92"/>
      <c r="I156" s="92"/>
      <c r="J156" s="100">
        <v>131</v>
      </c>
      <c r="L156" s="102" t="s">
        <v>98</v>
      </c>
      <c r="M156" s="92"/>
      <c r="N156" s="92"/>
      <c r="O156" s="100">
        <v>102</v>
      </c>
    </row>
    <row r="157" spans="2:15" ht="15.6" thickTop="1" thickBot="1" x14ac:dyDescent="0.35">
      <c r="B157" s="89" t="s">
        <v>228</v>
      </c>
      <c r="C157" s="179"/>
      <c r="D157" s="90"/>
      <c r="E157" s="183"/>
      <c r="G157" s="89" t="s">
        <v>228</v>
      </c>
      <c r="H157" s="179"/>
      <c r="I157" s="90"/>
      <c r="J157" s="183"/>
      <c r="L157" s="89" t="s">
        <v>228</v>
      </c>
      <c r="M157" s="179"/>
      <c r="N157" s="90"/>
      <c r="O157" s="183"/>
    </row>
    <row r="158" spans="2:15" ht="15" thickTop="1" x14ac:dyDescent="0.3">
      <c r="B158" s="88" t="s">
        <v>229</v>
      </c>
      <c r="C158" s="171"/>
      <c r="D158" s="2"/>
      <c r="E158" s="99">
        <v>11.5</v>
      </c>
      <c r="G158" s="88" t="s">
        <v>229</v>
      </c>
      <c r="H158" s="171"/>
      <c r="I158" s="2"/>
      <c r="J158" s="99">
        <v>11.5</v>
      </c>
      <c r="L158" s="88" t="s">
        <v>229</v>
      </c>
      <c r="M158" s="171"/>
      <c r="N158" s="2"/>
      <c r="O158" s="99">
        <v>11.5</v>
      </c>
    </row>
    <row r="159" spans="2:15" x14ac:dyDescent="0.3">
      <c r="B159" s="88" t="s">
        <v>249</v>
      </c>
      <c r="C159" s="180"/>
      <c r="D159" s="181"/>
      <c r="E159" s="97">
        <v>250</v>
      </c>
      <c r="G159" s="88" t="s">
        <v>249</v>
      </c>
      <c r="H159" s="180"/>
      <c r="I159" s="181"/>
      <c r="J159" s="97">
        <v>250</v>
      </c>
      <c r="L159" s="88" t="s">
        <v>249</v>
      </c>
      <c r="M159" s="180"/>
      <c r="N159" s="181"/>
      <c r="O159" s="97">
        <v>250</v>
      </c>
    </row>
    <row r="160" spans="2:15" x14ac:dyDescent="0.3">
      <c r="B160" s="88" t="s">
        <v>248</v>
      </c>
      <c r="C160" s="180"/>
      <c r="D160" s="181"/>
      <c r="E160" s="97">
        <v>0</v>
      </c>
      <c r="G160" s="88" t="s">
        <v>248</v>
      </c>
      <c r="H160" s="180"/>
      <c r="I160" s="181"/>
      <c r="J160" s="97">
        <v>0</v>
      </c>
      <c r="L160" s="88" t="s">
        <v>248</v>
      </c>
      <c r="M160" s="180"/>
      <c r="N160" s="181"/>
      <c r="O160" s="97">
        <v>10</v>
      </c>
    </row>
    <row r="161" spans="2:15" x14ac:dyDescent="0.3">
      <c r="B161" s="88" t="s">
        <v>93</v>
      </c>
      <c r="C161" s="2"/>
      <c r="D161" s="2"/>
      <c r="E161" s="96">
        <v>1980</v>
      </c>
      <c r="G161" s="88" t="s">
        <v>93</v>
      </c>
      <c r="H161" s="2"/>
      <c r="I161" s="2"/>
      <c r="J161" s="96">
        <v>2110</v>
      </c>
      <c r="L161" s="88" t="s">
        <v>93</v>
      </c>
      <c r="M161" s="2"/>
      <c r="N161" s="2"/>
      <c r="O161" s="96">
        <v>2240</v>
      </c>
    </row>
    <row r="162" spans="2:15" x14ac:dyDescent="0.3">
      <c r="B162" s="88" t="s">
        <v>100</v>
      </c>
      <c r="C162" s="2"/>
      <c r="D162" s="2"/>
      <c r="E162" s="95">
        <v>152.30769230769232</v>
      </c>
      <c r="G162" s="88" t="s">
        <v>100</v>
      </c>
      <c r="H162" s="2"/>
      <c r="I162" s="2"/>
      <c r="J162" s="95">
        <v>162.30769230769232</v>
      </c>
      <c r="L162" s="88" t="s">
        <v>100</v>
      </c>
      <c r="M162" s="2"/>
      <c r="N162" s="2"/>
      <c r="O162" s="95">
        <v>172.30769230769232</v>
      </c>
    </row>
    <row r="163" spans="2:15" x14ac:dyDescent="0.3">
      <c r="B163" s="88" t="s">
        <v>236</v>
      </c>
      <c r="C163" s="2"/>
      <c r="D163" s="2"/>
      <c r="E163" s="96">
        <v>255.5</v>
      </c>
      <c r="G163" s="88" t="s">
        <v>236</v>
      </c>
      <c r="H163" s="2"/>
      <c r="I163" s="2"/>
      <c r="J163" s="96">
        <v>255.5</v>
      </c>
      <c r="L163" s="88" t="s">
        <v>236</v>
      </c>
      <c r="M163" s="2"/>
      <c r="N163" s="2"/>
      <c r="O163" s="96">
        <v>265.5</v>
      </c>
    </row>
    <row r="164" spans="2:15" ht="15" thickBot="1" x14ac:dyDescent="0.35">
      <c r="B164" s="88" t="s">
        <v>96</v>
      </c>
      <c r="C164" s="2"/>
      <c r="D164" s="182"/>
      <c r="E164" s="187">
        <v>5.65</v>
      </c>
      <c r="G164" s="88" t="s">
        <v>96</v>
      </c>
      <c r="H164" s="2"/>
      <c r="I164" s="182"/>
      <c r="J164" s="187">
        <v>312.78999999999996</v>
      </c>
      <c r="L164" s="88" t="s">
        <v>96</v>
      </c>
      <c r="M164" s="2"/>
      <c r="N164" s="182"/>
      <c r="O164" s="187">
        <v>323.93</v>
      </c>
    </row>
    <row r="165" spans="2:15" ht="15.6" thickTop="1" thickBot="1" x14ac:dyDescent="0.35">
      <c r="B165" s="93" t="s">
        <v>94</v>
      </c>
      <c r="C165" s="94"/>
      <c r="D165" s="184"/>
      <c r="E165" s="185">
        <v>2241.15</v>
      </c>
      <c r="G165" s="93" t="s">
        <v>94</v>
      </c>
      <c r="H165" s="94"/>
      <c r="I165" s="184"/>
      <c r="J165" s="185">
        <v>2404.5199999999995</v>
      </c>
      <c r="L165" s="93" t="s">
        <v>94</v>
      </c>
      <c r="M165" s="94"/>
      <c r="N165" s="184"/>
      <c r="O165" s="185">
        <v>2829.43</v>
      </c>
    </row>
    <row r="166" spans="2:15" ht="15.6" thickTop="1" thickBot="1" x14ac:dyDescent="0.35">
      <c r="B166" s="93" t="s">
        <v>99</v>
      </c>
      <c r="C166" s="94"/>
      <c r="D166" s="184"/>
      <c r="E166" s="196">
        <v>2274.52</v>
      </c>
      <c r="G166" s="93" t="s">
        <v>99</v>
      </c>
      <c r="H166" s="94"/>
      <c r="I166" s="184"/>
      <c r="J166" s="196">
        <v>2365.5</v>
      </c>
      <c r="L166" s="93" t="s">
        <v>99</v>
      </c>
      <c r="M166" s="94"/>
      <c r="N166" s="184"/>
      <c r="O166" s="196">
        <v>2720.0199999999991</v>
      </c>
    </row>
    <row r="167" spans="2:15" ht="15.6" thickTop="1" thickBot="1" x14ac:dyDescent="0.35"/>
    <row r="168" spans="2:15" ht="15.6" thickTop="1" thickBot="1" x14ac:dyDescent="0.35">
      <c r="B168" s="390" t="s">
        <v>92</v>
      </c>
      <c r="C168" s="397"/>
      <c r="D168" s="391"/>
      <c r="E168" s="111">
        <v>44788</v>
      </c>
      <c r="G168" s="390" t="s">
        <v>92</v>
      </c>
      <c r="H168" s="397"/>
      <c r="I168" s="391"/>
      <c r="J168" s="111">
        <v>44788</v>
      </c>
      <c r="L168" s="390" t="s">
        <v>92</v>
      </c>
      <c r="M168" s="397"/>
      <c r="N168" s="391"/>
      <c r="O168" s="111">
        <v>44788</v>
      </c>
    </row>
    <row r="169" spans="2:15" ht="15.6" thickTop="1" thickBot="1" x14ac:dyDescent="0.35">
      <c r="B169" s="394"/>
      <c r="C169" s="398"/>
      <c r="D169" s="395"/>
      <c r="E169" s="111">
        <v>45337</v>
      </c>
      <c r="G169" s="394"/>
      <c r="H169" s="398"/>
      <c r="I169" s="395"/>
      <c r="J169" s="111">
        <v>45366</v>
      </c>
      <c r="L169" s="394"/>
      <c r="M169" s="398"/>
      <c r="N169" s="395"/>
      <c r="O169" s="111">
        <v>45397</v>
      </c>
    </row>
    <row r="170" spans="2:15" ht="15.6" thickTop="1" thickBot="1" x14ac:dyDescent="0.35">
      <c r="B170" s="88" t="s">
        <v>91</v>
      </c>
      <c r="C170" s="2"/>
      <c r="D170" s="2"/>
      <c r="E170" s="170">
        <v>2470</v>
      </c>
      <c r="G170" s="88" t="s">
        <v>91</v>
      </c>
      <c r="H170" s="2"/>
      <c r="I170" s="2"/>
      <c r="J170" s="170">
        <v>2600</v>
      </c>
      <c r="L170" s="88" t="s">
        <v>91</v>
      </c>
      <c r="M170" s="2"/>
      <c r="N170" s="2"/>
      <c r="O170" s="170">
        <v>2730</v>
      </c>
    </row>
    <row r="171" spans="2:15" ht="15.6" thickTop="1" thickBot="1" x14ac:dyDescent="0.35">
      <c r="B171" s="89" t="s">
        <v>169</v>
      </c>
      <c r="C171" s="90"/>
      <c r="D171" s="90"/>
      <c r="E171" s="176"/>
      <c r="G171" s="89" t="s">
        <v>169</v>
      </c>
      <c r="H171" s="90"/>
      <c r="I171" s="90"/>
      <c r="J171" s="176"/>
      <c r="L171" s="89" t="s">
        <v>169</v>
      </c>
      <c r="M171" s="90"/>
      <c r="N171" s="90"/>
      <c r="O171" s="176"/>
    </row>
    <row r="172" spans="2:15" ht="15" thickTop="1" x14ac:dyDescent="0.3">
      <c r="B172" s="174" t="s">
        <v>225</v>
      </c>
      <c r="C172" s="2"/>
      <c r="D172" s="2"/>
      <c r="E172" s="169">
        <v>8010</v>
      </c>
      <c r="G172" s="174" t="s">
        <v>225</v>
      </c>
      <c r="H172" s="2"/>
      <c r="I172" s="2"/>
      <c r="J172" s="169">
        <v>10210</v>
      </c>
      <c r="L172" s="174" t="s">
        <v>225</v>
      </c>
      <c r="M172" s="2"/>
      <c r="N172" s="2"/>
      <c r="O172" s="169">
        <v>10360</v>
      </c>
    </row>
    <row r="173" spans="2:15" x14ac:dyDescent="0.3">
      <c r="B173" s="175" t="s">
        <v>226</v>
      </c>
      <c r="C173" s="2"/>
      <c r="D173" s="2"/>
      <c r="E173" s="97">
        <v>100</v>
      </c>
      <c r="G173" s="175" t="s">
        <v>226</v>
      </c>
      <c r="H173" s="2"/>
      <c r="I173" s="2"/>
      <c r="J173" s="97">
        <v>100</v>
      </c>
      <c r="L173" s="175" t="s">
        <v>226</v>
      </c>
      <c r="M173" s="2"/>
      <c r="N173" s="2"/>
      <c r="O173" s="97">
        <v>200</v>
      </c>
    </row>
    <row r="174" spans="2:15" x14ac:dyDescent="0.3">
      <c r="B174" s="88" t="s">
        <v>103</v>
      </c>
      <c r="C174" s="2"/>
      <c r="D174" s="2"/>
      <c r="E174" s="98">
        <v>600</v>
      </c>
      <c r="G174" s="88" t="s">
        <v>103</v>
      </c>
      <c r="H174" s="2"/>
      <c r="I174" s="2"/>
      <c r="J174" s="98">
        <v>2100</v>
      </c>
      <c r="L174" s="88" t="s">
        <v>103</v>
      </c>
      <c r="M174" s="2"/>
      <c r="N174" s="2"/>
      <c r="O174" s="98">
        <v>150</v>
      </c>
    </row>
    <row r="175" spans="2:15" x14ac:dyDescent="0.3">
      <c r="B175" s="175" t="s">
        <v>227</v>
      </c>
      <c r="C175" s="2"/>
      <c r="D175" s="2"/>
      <c r="E175" s="177">
        <v>584</v>
      </c>
      <c r="G175" s="175" t="s">
        <v>227</v>
      </c>
      <c r="H175" s="2"/>
      <c r="I175" s="2"/>
      <c r="J175" s="177">
        <v>978</v>
      </c>
      <c r="L175" s="175" t="s">
        <v>227</v>
      </c>
      <c r="M175" s="2"/>
      <c r="N175" s="2"/>
      <c r="O175" s="177">
        <v>987</v>
      </c>
    </row>
    <row r="176" spans="2:15" ht="15" thickBot="1" x14ac:dyDescent="0.35">
      <c r="B176" s="88" t="s">
        <v>105</v>
      </c>
      <c r="C176" s="2"/>
      <c r="D176" s="2"/>
      <c r="E176" s="98">
        <v>60</v>
      </c>
      <c r="G176" s="88" t="s">
        <v>105</v>
      </c>
      <c r="H176" s="2"/>
      <c r="I176" s="2"/>
      <c r="J176" s="98">
        <v>386</v>
      </c>
      <c r="L176" s="88" t="s">
        <v>105</v>
      </c>
      <c r="M176" s="2"/>
      <c r="N176" s="2"/>
      <c r="O176" s="98">
        <v>9</v>
      </c>
    </row>
    <row r="177" spans="2:15" ht="15.6" thickTop="1" thickBot="1" x14ac:dyDescent="0.35">
      <c r="B177" s="178" t="s">
        <v>39</v>
      </c>
      <c r="C177" s="90"/>
      <c r="D177" s="90"/>
      <c r="E177" s="176"/>
      <c r="G177" s="178" t="s">
        <v>39</v>
      </c>
      <c r="H177" s="90"/>
      <c r="I177" s="90"/>
      <c r="J177" s="176"/>
      <c r="L177" s="178" t="s">
        <v>39</v>
      </c>
      <c r="M177" s="90"/>
      <c r="N177" s="90"/>
      <c r="O177" s="176"/>
    </row>
    <row r="178" spans="2:15" ht="15" thickTop="1" x14ac:dyDescent="0.3">
      <c r="B178" s="88" t="s">
        <v>101</v>
      </c>
      <c r="C178" s="2"/>
      <c r="D178" s="2"/>
      <c r="E178" s="97">
        <v>5938.5500000000011</v>
      </c>
      <c r="G178" s="88" t="s">
        <v>101</v>
      </c>
      <c r="H178" s="2"/>
      <c r="I178" s="2"/>
      <c r="J178" s="97">
        <v>7440.6900000000014</v>
      </c>
      <c r="L178" s="88" t="s">
        <v>101</v>
      </c>
      <c r="M178" s="2"/>
      <c r="N178" s="2"/>
      <c r="O178" s="97">
        <v>7912.8300000000017</v>
      </c>
    </row>
    <row r="179" spans="2:15" x14ac:dyDescent="0.3">
      <c r="B179" s="88" t="s">
        <v>104</v>
      </c>
      <c r="C179" s="2"/>
      <c r="D179" s="2"/>
      <c r="E179" s="98">
        <v>657.14</v>
      </c>
      <c r="G179" s="88" t="s">
        <v>104</v>
      </c>
      <c r="H179" s="2"/>
      <c r="I179" s="2"/>
      <c r="J179" s="98">
        <v>1502.1399999999999</v>
      </c>
      <c r="L179" s="88" t="s">
        <v>104</v>
      </c>
      <c r="M179" s="2"/>
      <c r="N179" s="2"/>
      <c r="O179" s="98">
        <v>472.14</v>
      </c>
    </row>
    <row r="180" spans="2:15" ht="15" thickBot="1" x14ac:dyDescent="0.35">
      <c r="B180" s="102" t="s">
        <v>95</v>
      </c>
      <c r="C180" s="101"/>
      <c r="D180" s="92"/>
      <c r="E180" s="100">
        <v>2071.4499999999989</v>
      </c>
      <c r="G180" s="102" t="s">
        <v>95</v>
      </c>
      <c r="H180" s="101"/>
      <c r="I180" s="92"/>
      <c r="J180" s="100">
        <v>2769.3099999999986</v>
      </c>
      <c r="L180" s="102" t="s">
        <v>95</v>
      </c>
      <c r="M180" s="101"/>
      <c r="N180" s="92"/>
      <c r="O180" s="100">
        <v>2447.1699999999983</v>
      </c>
    </row>
    <row r="181" spans="2:15" ht="15" thickTop="1" x14ac:dyDescent="0.3">
      <c r="B181" s="88" t="s">
        <v>102</v>
      </c>
      <c r="C181" s="2"/>
      <c r="D181" s="2"/>
      <c r="E181" s="97">
        <v>458</v>
      </c>
      <c r="G181" s="88" t="s">
        <v>102</v>
      </c>
      <c r="H181" s="2"/>
      <c r="I181" s="2"/>
      <c r="J181" s="97">
        <v>506</v>
      </c>
      <c r="L181" s="88" t="s">
        <v>102</v>
      </c>
      <c r="M181" s="2"/>
      <c r="N181" s="2"/>
      <c r="O181" s="97">
        <v>570</v>
      </c>
    </row>
    <row r="182" spans="2:15" x14ac:dyDescent="0.3">
      <c r="B182" s="88" t="s">
        <v>106</v>
      </c>
      <c r="C182" s="2"/>
      <c r="D182" s="2"/>
      <c r="E182" s="98">
        <v>46</v>
      </c>
      <c r="G182" s="88" t="s">
        <v>106</v>
      </c>
      <c r="H182" s="2"/>
      <c r="I182" s="2"/>
      <c r="J182" s="98">
        <v>48</v>
      </c>
      <c r="L182" s="88" t="s">
        <v>106</v>
      </c>
      <c r="M182" s="2"/>
      <c r="N182" s="2"/>
      <c r="O182" s="98">
        <v>64</v>
      </c>
    </row>
    <row r="183" spans="2:15" ht="15" thickBot="1" x14ac:dyDescent="0.35">
      <c r="B183" s="102" t="s">
        <v>98</v>
      </c>
      <c r="C183" s="92"/>
      <c r="D183" s="92"/>
      <c r="E183" s="100">
        <v>126</v>
      </c>
      <c r="G183" s="102" t="s">
        <v>98</v>
      </c>
      <c r="H183" s="92"/>
      <c r="I183" s="92"/>
      <c r="J183" s="100">
        <v>472</v>
      </c>
      <c r="L183" s="102" t="s">
        <v>98</v>
      </c>
      <c r="M183" s="92"/>
      <c r="N183" s="92"/>
      <c r="O183" s="100">
        <v>417</v>
      </c>
    </row>
    <row r="184" spans="2:15" ht="15.6" thickTop="1" thickBot="1" x14ac:dyDescent="0.35">
      <c r="B184" s="89" t="s">
        <v>228</v>
      </c>
      <c r="C184" s="179"/>
      <c r="D184" s="90"/>
      <c r="E184" s="183"/>
      <c r="G184" s="89" t="s">
        <v>228</v>
      </c>
      <c r="H184" s="179"/>
      <c r="I184" s="90"/>
      <c r="J184" s="183"/>
      <c r="L184" s="89" t="s">
        <v>228</v>
      </c>
      <c r="M184" s="179"/>
      <c r="N184" s="90"/>
      <c r="O184" s="183"/>
    </row>
    <row r="185" spans="2:15" ht="15" thickTop="1" x14ac:dyDescent="0.3">
      <c r="B185" s="88" t="s">
        <v>229</v>
      </c>
      <c r="C185" s="171"/>
      <c r="D185" s="2"/>
      <c r="E185" s="99">
        <v>19.5</v>
      </c>
      <c r="G185" s="88" t="s">
        <v>229</v>
      </c>
      <c r="H185" s="171"/>
      <c r="I185" s="2"/>
      <c r="J185" s="99">
        <v>19.5</v>
      </c>
      <c r="L185" s="88" t="s">
        <v>229</v>
      </c>
      <c r="M185" s="171"/>
      <c r="N185" s="2"/>
      <c r="O185" s="99">
        <v>19.5</v>
      </c>
    </row>
    <row r="186" spans="2:15" x14ac:dyDescent="0.3">
      <c r="B186" s="88" t="s">
        <v>249</v>
      </c>
      <c r="C186" s="180"/>
      <c r="D186" s="181"/>
      <c r="E186" s="97">
        <v>250</v>
      </c>
      <c r="G186" s="88" t="s">
        <v>249</v>
      </c>
      <c r="H186" s="180"/>
      <c r="I186" s="181"/>
      <c r="J186" s="97">
        <v>250</v>
      </c>
      <c r="L186" s="88" t="s">
        <v>249</v>
      </c>
      <c r="M186" s="180"/>
      <c r="N186" s="181"/>
      <c r="O186" s="97">
        <v>250</v>
      </c>
    </row>
    <row r="187" spans="2:15" x14ac:dyDescent="0.3">
      <c r="B187" s="88" t="s">
        <v>248</v>
      </c>
      <c r="C187" s="180"/>
      <c r="D187" s="181"/>
      <c r="E187" s="97">
        <v>10</v>
      </c>
      <c r="G187" s="88" t="s">
        <v>248</v>
      </c>
      <c r="H187" s="180"/>
      <c r="I187" s="181"/>
      <c r="J187" s="97">
        <v>16</v>
      </c>
      <c r="L187" s="88" t="s">
        <v>248</v>
      </c>
      <c r="M187" s="180"/>
      <c r="N187" s="181"/>
      <c r="O187" s="97">
        <v>16</v>
      </c>
    </row>
    <row r="188" spans="2:15" x14ac:dyDescent="0.3">
      <c r="B188" s="88" t="s">
        <v>93</v>
      </c>
      <c r="C188" s="2"/>
      <c r="D188" s="2"/>
      <c r="E188" s="96">
        <v>2370</v>
      </c>
      <c r="G188" s="88" t="s">
        <v>93</v>
      </c>
      <c r="H188" s="2"/>
      <c r="I188" s="2"/>
      <c r="J188" s="96">
        <v>2500</v>
      </c>
      <c r="L188" s="88" t="s">
        <v>93</v>
      </c>
      <c r="M188" s="2"/>
      <c r="N188" s="2"/>
      <c r="O188" s="96">
        <v>2530</v>
      </c>
    </row>
    <row r="189" spans="2:15" x14ac:dyDescent="0.3">
      <c r="B189" s="88" t="s">
        <v>100</v>
      </c>
      <c r="C189" s="2"/>
      <c r="D189" s="2"/>
      <c r="E189" s="95">
        <v>182.30769230769232</v>
      </c>
      <c r="G189" s="88" t="s">
        <v>100</v>
      </c>
      <c r="H189" s="2"/>
      <c r="I189" s="2"/>
      <c r="J189" s="95">
        <v>192.30769230769232</v>
      </c>
      <c r="L189" s="88" t="s">
        <v>100</v>
      </c>
      <c r="M189" s="2"/>
      <c r="N189" s="2"/>
      <c r="O189" s="95">
        <v>194.61538461538461</v>
      </c>
    </row>
    <row r="190" spans="2:15" x14ac:dyDescent="0.3">
      <c r="B190" s="88" t="s">
        <v>236</v>
      </c>
      <c r="C190" s="2"/>
      <c r="D190" s="2"/>
      <c r="E190" s="96">
        <v>343.5</v>
      </c>
      <c r="G190" s="88" t="s">
        <v>236</v>
      </c>
      <c r="H190" s="2"/>
      <c r="I190" s="2"/>
      <c r="J190" s="96">
        <v>731.5</v>
      </c>
      <c r="L190" s="88" t="s">
        <v>236</v>
      </c>
      <c r="M190" s="2"/>
      <c r="N190" s="2"/>
      <c r="O190" s="96">
        <v>740.5</v>
      </c>
    </row>
    <row r="191" spans="2:15" ht="15" thickBot="1" x14ac:dyDescent="0.35">
      <c r="B191" s="88" t="s">
        <v>96</v>
      </c>
      <c r="C191" s="2"/>
      <c r="D191" s="182"/>
      <c r="E191" s="187">
        <v>465.07</v>
      </c>
      <c r="G191" s="88" t="s">
        <v>96</v>
      </c>
      <c r="H191" s="2"/>
      <c r="I191" s="182"/>
      <c r="J191" s="187">
        <v>45.21</v>
      </c>
      <c r="L191" s="88" t="s">
        <v>96</v>
      </c>
      <c r="M191" s="2"/>
      <c r="N191" s="182"/>
      <c r="O191" s="187">
        <v>461.35</v>
      </c>
    </row>
    <row r="192" spans="2:15" ht="15.6" thickTop="1" thickBot="1" x14ac:dyDescent="0.35">
      <c r="B192" s="93" t="s">
        <v>94</v>
      </c>
      <c r="C192" s="94"/>
      <c r="D192" s="184"/>
      <c r="E192" s="185">
        <v>3178.57</v>
      </c>
      <c r="G192" s="93" t="s">
        <v>94</v>
      </c>
      <c r="H192" s="94"/>
      <c r="I192" s="184"/>
      <c r="J192" s="185">
        <v>3276.71</v>
      </c>
      <c r="L192" s="93" t="s">
        <v>94</v>
      </c>
      <c r="M192" s="94"/>
      <c r="N192" s="184"/>
      <c r="O192" s="185">
        <v>3731.85</v>
      </c>
    </row>
    <row r="193" spans="2:15" ht="15.6" thickTop="1" thickBot="1" x14ac:dyDescent="0.35">
      <c r="B193" s="93" t="s">
        <v>99</v>
      </c>
      <c r="C193" s="94"/>
      <c r="D193" s="184"/>
      <c r="E193" s="196">
        <v>3006.0199999999991</v>
      </c>
      <c r="G193" s="93" t="s">
        <v>99</v>
      </c>
      <c r="H193" s="94"/>
      <c r="I193" s="184"/>
      <c r="J193" s="196">
        <v>4018.0199999999986</v>
      </c>
      <c r="L193" s="93" t="s">
        <v>99</v>
      </c>
      <c r="M193" s="94"/>
      <c r="N193" s="184"/>
      <c r="O193" s="196">
        <v>3604.6699999999983</v>
      </c>
    </row>
    <row r="194" spans="2:15" ht="15.6" thickTop="1" thickBot="1" x14ac:dyDescent="0.35"/>
    <row r="195" spans="2:15" ht="15.6" thickTop="1" thickBot="1" x14ac:dyDescent="0.35">
      <c r="B195" s="390" t="s">
        <v>92</v>
      </c>
      <c r="C195" s="397"/>
      <c r="D195" s="391"/>
      <c r="E195" s="111">
        <v>44788</v>
      </c>
      <c r="G195" s="390" t="s">
        <v>92</v>
      </c>
      <c r="H195" s="397"/>
      <c r="I195" s="391"/>
      <c r="J195" s="111">
        <v>44788</v>
      </c>
      <c r="L195" s="390" t="s">
        <v>92</v>
      </c>
      <c r="M195" s="397"/>
      <c r="N195" s="391"/>
      <c r="O195" s="111">
        <v>44788</v>
      </c>
    </row>
    <row r="196" spans="2:15" ht="15.6" thickTop="1" thickBot="1" x14ac:dyDescent="0.35">
      <c r="B196" s="394"/>
      <c r="C196" s="398"/>
      <c r="D196" s="395"/>
      <c r="E196" s="111">
        <v>45427</v>
      </c>
      <c r="G196" s="394"/>
      <c r="H196" s="398"/>
      <c r="I196" s="395"/>
      <c r="J196" s="111">
        <v>45458</v>
      </c>
      <c r="L196" s="394"/>
      <c r="M196" s="398"/>
      <c r="N196" s="395"/>
      <c r="O196" s="111">
        <v>45488</v>
      </c>
    </row>
    <row r="197" spans="2:15" ht="15.6" thickTop="1" thickBot="1" x14ac:dyDescent="0.35">
      <c r="B197" s="88" t="s">
        <v>91</v>
      </c>
      <c r="C197" s="2"/>
      <c r="D197" s="2"/>
      <c r="E197" s="170">
        <v>2860</v>
      </c>
      <c r="G197" s="88" t="s">
        <v>91</v>
      </c>
      <c r="H197" s="2"/>
      <c r="I197" s="2"/>
      <c r="J197" s="170">
        <v>2990</v>
      </c>
      <c r="L197" s="88" t="s">
        <v>91</v>
      </c>
      <c r="M197" s="2"/>
      <c r="N197" s="2"/>
      <c r="O197" s="170">
        <v>3120</v>
      </c>
    </row>
    <row r="198" spans="2:15" ht="15.6" thickTop="1" thickBot="1" x14ac:dyDescent="0.35">
      <c r="B198" s="89" t="s">
        <v>169</v>
      </c>
      <c r="C198" s="90"/>
      <c r="D198" s="90"/>
      <c r="E198" s="176"/>
      <c r="G198" s="89" t="s">
        <v>169</v>
      </c>
      <c r="H198" s="90"/>
      <c r="I198" s="90"/>
      <c r="J198" s="176"/>
      <c r="L198" s="89" t="s">
        <v>169</v>
      </c>
      <c r="M198" s="90"/>
      <c r="N198" s="90"/>
      <c r="O198" s="176"/>
    </row>
    <row r="199" spans="2:15" ht="15" thickTop="1" x14ac:dyDescent="0.3">
      <c r="B199" s="174" t="s">
        <v>225</v>
      </c>
      <c r="C199" s="2"/>
      <c r="D199" s="2"/>
      <c r="E199" s="169">
        <v>11360</v>
      </c>
      <c r="G199" s="174" t="s">
        <v>225</v>
      </c>
      <c r="H199" s="2"/>
      <c r="I199" s="2"/>
      <c r="J199" s="169">
        <v>12360</v>
      </c>
      <c r="L199" s="174" t="s">
        <v>225</v>
      </c>
      <c r="M199" s="2"/>
      <c r="N199" s="2"/>
      <c r="O199" s="169">
        <v>13360</v>
      </c>
    </row>
    <row r="200" spans="2:15" x14ac:dyDescent="0.3">
      <c r="B200" s="175" t="s">
        <v>226</v>
      </c>
      <c r="C200" s="2"/>
      <c r="D200" s="2"/>
      <c r="E200" s="97">
        <v>200</v>
      </c>
      <c r="G200" s="175" t="s">
        <v>226</v>
      </c>
      <c r="H200" s="2"/>
      <c r="I200" s="2"/>
      <c r="J200" s="97">
        <v>200</v>
      </c>
      <c r="L200" s="175" t="s">
        <v>226</v>
      </c>
      <c r="M200" s="2"/>
      <c r="N200" s="2"/>
      <c r="O200" s="97">
        <v>200</v>
      </c>
    </row>
    <row r="201" spans="2:15" x14ac:dyDescent="0.3">
      <c r="B201" s="88" t="s">
        <v>103</v>
      </c>
      <c r="C201" s="2"/>
      <c r="D201" s="2"/>
      <c r="E201" s="98">
        <v>1000</v>
      </c>
      <c r="G201" s="88" t="s">
        <v>103</v>
      </c>
      <c r="H201" s="2"/>
      <c r="I201" s="2"/>
      <c r="J201" s="98">
        <v>1000</v>
      </c>
      <c r="L201" s="88" t="s">
        <v>103</v>
      </c>
      <c r="M201" s="2"/>
      <c r="N201" s="2"/>
      <c r="O201" s="98">
        <v>1000</v>
      </c>
    </row>
    <row r="202" spans="2:15" x14ac:dyDescent="0.3">
      <c r="B202" s="175" t="s">
        <v>227</v>
      </c>
      <c r="C202" s="2"/>
      <c r="D202" s="2"/>
      <c r="E202" s="177">
        <v>1103</v>
      </c>
      <c r="G202" s="175" t="s">
        <v>227</v>
      </c>
      <c r="H202" s="2"/>
      <c r="I202" s="2"/>
      <c r="J202" s="177">
        <v>1191</v>
      </c>
      <c r="L202" s="175" t="s">
        <v>227</v>
      </c>
      <c r="M202" s="2"/>
      <c r="N202" s="2"/>
      <c r="O202" s="177">
        <v>1361</v>
      </c>
    </row>
    <row r="203" spans="2:15" ht="15" thickBot="1" x14ac:dyDescent="0.35">
      <c r="B203" s="88" t="s">
        <v>105</v>
      </c>
      <c r="C203" s="2"/>
      <c r="D203" s="2"/>
      <c r="E203" s="98">
        <v>116</v>
      </c>
      <c r="G203" s="88" t="s">
        <v>105</v>
      </c>
      <c r="H203" s="2"/>
      <c r="I203" s="2"/>
      <c r="J203" s="98">
        <v>88</v>
      </c>
      <c r="L203" s="88" t="s">
        <v>105</v>
      </c>
      <c r="M203" s="2"/>
      <c r="N203" s="2"/>
      <c r="O203" s="98">
        <v>170</v>
      </c>
    </row>
    <row r="204" spans="2:15" ht="15.6" thickTop="1" thickBot="1" x14ac:dyDescent="0.35">
      <c r="B204" s="178" t="s">
        <v>39</v>
      </c>
      <c r="C204" s="90"/>
      <c r="D204" s="90"/>
      <c r="E204" s="176"/>
      <c r="G204" s="178" t="s">
        <v>39</v>
      </c>
      <c r="H204" s="90"/>
      <c r="I204" s="90"/>
      <c r="J204" s="176"/>
      <c r="L204" s="178" t="s">
        <v>39</v>
      </c>
      <c r="M204" s="90"/>
      <c r="N204" s="90"/>
      <c r="O204" s="176"/>
    </row>
    <row r="205" spans="2:15" ht="15" thickTop="1" x14ac:dyDescent="0.3">
      <c r="B205" s="88" t="s">
        <v>101</v>
      </c>
      <c r="C205" s="2"/>
      <c r="D205" s="2"/>
      <c r="E205" s="97">
        <v>8384.9700000000012</v>
      </c>
      <c r="G205" s="88" t="s">
        <v>101</v>
      </c>
      <c r="H205" s="2"/>
      <c r="I205" s="2"/>
      <c r="J205" s="97">
        <v>9085.6700000000019</v>
      </c>
      <c r="L205" s="88" t="s">
        <v>101</v>
      </c>
      <c r="M205" s="2"/>
      <c r="N205" s="2"/>
      <c r="O205" s="97">
        <v>9951.3700000000026</v>
      </c>
    </row>
    <row r="206" spans="2:15" x14ac:dyDescent="0.3">
      <c r="B206" s="88" t="s">
        <v>104</v>
      </c>
      <c r="C206" s="2"/>
      <c r="D206" s="2"/>
      <c r="E206" s="98">
        <v>472.14</v>
      </c>
      <c r="G206" s="88" t="s">
        <v>104</v>
      </c>
      <c r="H206" s="2"/>
      <c r="I206" s="2"/>
      <c r="J206" s="98">
        <v>700.7</v>
      </c>
      <c r="L206" s="88" t="s">
        <v>104</v>
      </c>
      <c r="M206" s="2"/>
      <c r="N206" s="2"/>
      <c r="O206" s="98">
        <v>865.7</v>
      </c>
    </row>
    <row r="207" spans="2:15" ht="15" thickBot="1" x14ac:dyDescent="0.35">
      <c r="B207" s="102" t="s">
        <v>95</v>
      </c>
      <c r="C207" s="101"/>
      <c r="D207" s="92"/>
      <c r="E207" s="100">
        <v>2975.0299999999988</v>
      </c>
      <c r="G207" s="102" t="s">
        <v>95</v>
      </c>
      <c r="H207" s="101"/>
      <c r="I207" s="92"/>
      <c r="J207" s="100">
        <v>3274.3299999999981</v>
      </c>
      <c r="L207" s="102" t="s">
        <v>95</v>
      </c>
      <c r="M207" s="101"/>
      <c r="N207" s="92"/>
      <c r="O207" s="100">
        <v>3408.6299999999974</v>
      </c>
    </row>
    <row r="208" spans="2:15" ht="15" thickTop="1" x14ac:dyDescent="0.3">
      <c r="B208" s="88" t="s">
        <v>102</v>
      </c>
      <c r="C208" s="2"/>
      <c r="D208" s="2"/>
      <c r="E208" s="97">
        <v>634</v>
      </c>
      <c r="G208" s="88" t="s">
        <v>102</v>
      </c>
      <c r="H208" s="2"/>
      <c r="I208" s="2"/>
      <c r="J208" s="97">
        <v>710</v>
      </c>
      <c r="L208" s="88" t="s">
        <v>102</v>
      </c>
      <c r="M208" s="2"/>
      <c r="N208" s="2"/>
      <c r="O208" s="97">
        <v>805</v>
      </c>
    </row>
    <row r="209" spans="2:15" x14ac:dyDescent="0.3">
      <c r="B209" s="88" t="s">
        <v>106</v>
      </c>
      <c r="C209" s="2"/>
      <c r="D209" s="2"/>
      <c r="E209" s="98">
        <v>64</v>
      </c>
      <c r="G209" s="88" t="s">
        <v>106</v>
      </c>
      <c r="H209" s="2"/>
      <c r="I209" s="2"/>
      <c r="J209" s="98">
        <v>76</v>
      </c>
      <c r="L209" s="88" t="s">
        <v>106</v>
      </c>
      <c r="M209" s="2"/>
      <c r="N209" s="2"/>
      <c r="O209" s="98">
        <v>95</v>
      </c>
    </row>
    <row r="210" spans="2:15" ht="15" thickBot="1" x14ac:dyDescent="0.35">
      <c r="B210" s="102" t="s">
        <v>98</v>
      </c>
      <c r="C210" s="92"/>
      <c r="D210" s="92"/>
      <c r="E210" s="100">
        <v>469</v>
      </c>
      <c r="G210" s="102" t="s">
        <v>98</v>
      </c>
      <c r="H210" s="92"/>
      <c r="I210" s="92"/>
      <c r="J210" s="100">
        <v>481</v>
      </c>
      <c r="L210" s="102" t="s">
        <v>98</v>
      </c>
      <c r="M210" s="92"/>
      <c r="N210" s="92"/>
      <c r="O210" s="100">
        <v>556</v>
      </c>
    </row>
    <row r="211" spans="2:15" ht="15.6" thickTop="1" thickBot="1" x14ac:dyDescent="0.35">
      <c r="B211" s="89" t="s">
        <v>228</v>
      </c>
      <c r="C211" s="179"/>
      <c r="D211" s="90"/>
      <c r="E211" s="183"/>
      <c r="G211" s="89" t="s">
        <v>228</v>
      </c>
      <c r="H211" s="179"/>
      <c r="I211" s="90"/>
      <c r="J211" s="183"/>
      <c r="L211" s="89" t="s">
        <v>228</v>
      </c>
      <c r="M211" s="179"/>
      <c r="N211" s="90"/>
      <c r="O211" s="183"/>
    </row>
    <row r="212" spans="2:15" ht="15" thickTop="1" x14ac:dyDescent="0.3">
      <c r="B212" s="88" t="s">
        <v>229</v>
      </c>
      <c r="C212" s="171"/>
      <c r="D212" s="2"/>
      <c r="E212" s="99">
        <v>23.5</v>
      </c>
      <c r="G212" s="88" t="s">
        <v>229</v>
      </c>
      <c r="H212" s="171"/>
      <c r="I212" s="2"/>
      <c r="J212" s="99">
        <v>23.5</v>
      </c>
      <c r="L212" s="88" t="s">
        <v>229</v>
      </c>
      <c r="M212" s="171"/>
      <c r="N212" s="2"/>
      <c r="O212" s="99">
        <v>23.5</v>
      </c>
    </row>
    <row r="213" spans="2:15" x14ac:dyDescent="0.3">
      <c r="B213" s="88" t="s">
        <v>249</v>
      </c>
      <c r="C213" s="180"/>
      <c r="D213" s="181"/>
      <c r="E213" s="97">
        <v>250</v>
      </c>
      <c r="G213" s="88" t="s">
        <v>249</v>
      </c>
      <c r="H213" s="180"/>
      <c r="I213" s="181"/>
      <c r="J213" s="97">
        <v>250</v>
      </c>
      <c r="L213" s="88" t="s">
        <v>249</v>
      </c>
      <c r="M213" s="180"/>
      <c r="N213" s="181"/>
      <c r="O213" s="97">
        <v>250</v>
      </c>
    </row>
    <row r="214" spans="2:15" x14ac:dyDescent="0.3">
      <c r="B214" s="88" t="s">
        <v>248</v>
      </c>
      <c r="C214" s="180"/>
      <c r="D214" s="181"/>
      <c r="E214" s="97">
        <v>16</v>
      </c>
      <c r="G214" s="88" t="s">
        <v>248</v>
      </c>
      <c r="H214" s="180"/>
      <c r="I214" s="181"/>
      <c r="J214" s="97">
        <v>24</v>
      </c>
      <c r="L214" s="88" t="s">
        <v>248</v>
      </c>
      <c r="M214" s="180"/>
      <c r="N214" s="181"/>
      <c r="O214" s="97">
        <v>24</v>
      </c>
    </row>
    <row r="215" spans="2:15" x14ac:dyDescent="0.3">
      <c r="B215" s="88" t="s">
        <v>93</v>
      </c>
      <c r="C215" s="2"/>
      <c r="D215" s="2"/>
      <c r="E215" s="96">
        <v>2660</v>
      </c>
      <c r="G215" s="88" t="s">
        <v>93</v>
      </c>
      <c r="H215" s="2"/>
      <c r="I215" s="2"/>
      <c r="J215" s="96">
        <v>2790</v>
      </c>
      <c r="L215" s="88" t="s">
        <v>93</v>
      </c>
      <c r="M215" s="2"/>
      <c r="N215" s="2"/>
      <c r="O215" s="96">
        <v>2920</v>
      </c>
    </row>
    <row r="216" spans="2:15" x14ac:dyDescent="0.3">
      <c r="B216" s="88" t="s">
        <v>100</v>
      </c>
      <c r="C216" s="2"/>
      <c r="D216" s="2"/>
      <c r="E216" s="95">
        <v>204.61538461538461</v>
      </c>
      <c r="G216" s="88" t="s">
        <v>100</v>
      </c>
      <c r="H216" s="2"/>
      <c r="I216" s="2"/>
      <c r="J216" s="95">
        <v>214.61538461538461</v>
      </c>
      <c r="L216" s="88" t="s">
        <v>100</v>
      </c>
      <c r="M216" s="2"/>
      <c r="N216" s="2"/>
      <c r="O216" s="95">
        <v>224.61538461538461</v>
      </c>
    </row>
    <row r="217" spans="2:15" x14ac:dyDescent="0.3">
      <c r="B217" s="88" t="s">
        <v>236</v>
      </c>
      <c r="C217" s="2"/>
      <c r="D217" s="2"/>
      <c r="E217" s="96">
        <v>860.5</v>
      </c>
      <c r="G217" s="88" t="s">
        <v>236</v>
      </c>
      <c r="H217" s="2"/>
      <c r="I217" s="2"/>
      <c r="J217" s="96">
        <v>940.5</v>
      </c>
      <c r="L217" s="88" t="s">
        <v>236</v>
      </c>
      <c r="M217" s="2"/>
      <c r="N217" s="2"/>
      <c r="O217" s="96">
        <v>1110.5</v>
      </c>
    </row>
    <row r="218" spans="2:15" ht="15" thickBot="1" x14ac:dyDescent="0.35">
      <c r="B218" s="88" t="s">
        <v>96</v>
      </c>
      <c r="C218" s="2"/>
      <c r="D218" s="182"/>
      <c r="E218" s="187">
        <v>131.49</v>
      </c>
      <c r="G218" s="88" t="s">
        <v>96</v>
      </c>
      <c r="H218" s="2"/>
      <c r="I218" s="182"/>
      <c r="J218" s="187">
        <v>38.19</v>
      </c>
      <c r="L218" s="88" t="s">
        <v>96</v>
      </c>
      <c r="M218" s="2"/>
      <c r="N218" s="182"/>
      <c r="O218" s="187">
        <v>128.9</v>
      </c>
    </row>
    <row r="219" spans="2:15" ht="15.6" thickTop="1" thickBot="1" x14ac:dyDescent="0.35">
      <c r="B219" s="93" t="s">
        <v>94</v>
      </c>
      <c r="C219" s="94"/>
      <c r="D219" s="184"/>
      <c r="E219" s="185">
        <v>3520.5</v>
      </c>
      <c r="G219" s="93" t="s">
        <v>94</v>
      </c>
      <c r="H219" s="94"/>
      <c r="I219" s="184"/>
      <c r="J219" s="185">
        <v>3793.5199999999982</v>
      </c>
      <c r="L219" s="93" t="s">
        <v>94</v>
      </c>
      <c r="M219" s="94"/>
      <c r="N219" s="184"/>
      <c r="O219" s="185">
        <v>4093.5299999999975</v>
      </c>
    </row>
    <row r="220" spans="2:15" ht="15.6" thickTop="1" thickBot="1" x14ac:dyDescent="0.35">
      <c r="B220" s="93" t="s">
        <v>99</v>
      </c>
      <c r="C220" s="94"/>
      <c r="D220" s="184"/>
      <c r="E220" s="196">
        <v>3575.5199999999986</v>
      </c>
      <c r="G220" s="93" t="s">
        <v>99</v>
      </c>
      <c r="H220" s="94"/>
      <c r="I220" s="184"/>
      <c r="J220" s="196">
        <v>3730.5</v>
      </c>
      <c r="L220" s="93" t="s">
        <v>99</v>
      </c>
      <c r="M220" s="94"/>
      <c r="N220" s="184"/>
      <c r="O220" s="196">
        <v>4030.5</v>
      </c>
    </row>
    <row r="221" spans="2:15" ht="15.6" thickTop="1" thickBot="1" x14ac:dyDescent="0.35"/>
    <row r="222" spans="2:15" ht="15.6" thickTop="1" thickBot="1" x14ac:dyDescent="0.35">
      <c r="B222" s="390" t="s">
        <v>92</v>
      </c>
      <c r="C222" s="397"/>
      <c r="D222" s="391"/>
      <c r="E222" s="111">
        <v>44788</v>
      </c>
      <c r="G222" s="390" t="s">
        <v>92</v>
      </c>
      <c r="H222" s="397"/>
      <c r="I222" s="391"/>
      <c r="J222" s="111">
        <v>44788</v>
      </c>
      <c r="L222" s="390" t="s">
        <v>92</v>
      </c>
      <c r="M222" s="397"/>
      <c r="N222" s="391"/>
      <c r="O222" s="111">
        <v>44788</v>
      </c>
    </row>
    <row r="223" spans="2:15" ht="15.6" thickTop="1" thickBot="1" x14ac:dyDescent="0.35">
      <c r="B223" s="394"/>
      <c r="C223" s="398"/>
      <c r="D223" s="395"/>
      <c r="E223" s="111">
        <v>45519</v>
      </c>
      <c r="G223" s="394"/>
      <c r="H223" s="398"/>
      <c r="I223" s="395"/>
      <c r="J223" s="111">
        <v>45550</v>
      </c>
      <c r="L223" s="394"/>
      <c r="M223" s="398"/>
      <c r="N223" s="395"/>
      <c r="O223" s="111">
        <v>45580</v>
      </c>
    </row>
    <row r="224" spans="2:15" ht="15.6" thickTop="1" thickBot="1" x14ac:dyDescent="0.35">
      <c r="B224" s="88" t="s">
        <v>91</v>
      </c>
      <c r="C224" s="2"/>
      <c r="D224" s="2"/>
      <c r="E224" s="170">
        <v>3250</v>
      </c>
      <c r="G224" s="88" t="s">
        <v>91</v>
      </c>
      <c r="H224" s="2"/>
      <c r="I224" s="2"/>
      <c r="J224" s="170">
        <v>3380</v>
      </c>
      <c r="L224" s="88" t="s">
        <v>91</v>
      </c>
      <c r="M224" s="2"/>
      <c r="N224" s="2"/>
      <c r="O224" s="170">
        <v>3510</v>
      </c>
    </row>
    <row r="225" spans="2:15" ht="15.6" thickTop="1" thickBot="1" x14ac:dyDescent="0.35">
      <c r="B225" s="89" t="s">
        <v>169</v>
      </c>
      <c r="C225" s="90"/>
      <c r="D225" s="90"/>
      <c r="E225" s="176"/>
      <c r="G225" s="89" t="s">
        <v>169</v>
      </c>
      <c r="H225" s="90"/>
      <c r="I225" s="90"/>
      <c r="J225" s="176"/>
      <c r="L225" s="89" t="s">
        <v>169</v>
      </c>
      <c r="M225" s="90"/>
      <c r="N225" s="90"/>
      <c r="O225" s="176"/>
    </row>
    <row r="226" spans="2:15" ht="15" thickTop="1" x14ac:dyDescent="0.3">
      <c r="B226" s="174" t="s">
        <v>225</v>
      </c>
      <c r="C226" s="2"/>
      <c r="D226" s="2"/>
      <c r="E226" s="169">
        <v>14260</v>
      </c>
      <c r="G226" s="174" t="s">
        <v>225</v>
      </c>
      <c r="H226" s="2"/>
      <c r="I226" s="2"/>
      <c r="J226" s="169">
        <v>14660</v>
      </c>
      <c r="L226" s="174" t="s">
        <v>225</v>
      </c>
      <c r="M226" s="2"/>
      <c r="N226" s="2"/>
      <c r="O226" s="169">
        <v>15660</v>
      </c>
    </row>
    <row r="227" spans="2:15" x14ac:dyDescent="0.3">
      <c r="B227" s="175" t="s">
        <v>226</v>
      </c>
      <c r="C227" s="2"/>
      <c r="D227" s="2"/>
      <c r="E227" s="97">
        <v>200</v>
      </c>
      <c r="G227" s="175" t="s">
        <v>226</v>
      </c>
      <c r="H227" s="2"/>
      <c r="I227" s="2"/>
      <c r="J227" s="97">
        <v>460</v>
      </c>
      <c r="L227" s="175" t="s">
        <v>226</v>
      </c>
      <c r="M227" s="2"/>
      <c r="N227" s="2"/>
      <c r="O227" s="97">
        <v>460</v>
      </c>
    </row>
    <row r="228" spans="2:15" x14ac:dyDescent="0.3">
      <c r="B228" s="88" t="s">
        <v>103</v>
      </c>
      <c r="C228" s="2"/>
      <c r="D228" s="2"/>
      <c r="E228" s="98">
        <v>900</v>
      </c>
      <c r="G228" s="88" t="s">
        <v>103</v>
      </c>
      <c r="H228" s="2"/>
      <c r="I228" s="2"/>
      <c r="J228" s="98">
        <v>400</v>
      </c>
      <c r="L228" s="88" t="s">
        <v>103</v>
      </c>
      <c r="M228" s="2"/>
      <c r="N228" s="2"/>
      <c r="O228" s="98">
        <v>1000</v>
      </c>
    </row>
    <row r="229" spans="2:15" x14ac:dyDescent="0.3">
      <c r="B229" s="175" t="s">
        <v>227</v>
      </c>
      <c r="C229" s="2"/>
      <c r="D229" s="2"/>
      <c r="E229" s="177">
        <v>1469</v>
      </c>
      <c r="G229" s="175" t="s">
        <v>227</v>
      </c>
      <c r="H229" s="2"/>
      <c r="I229" s="2"/>
      <c r="J229" s="177">
        <v>1501</v>
      </c>
      <c r="L229" s="175" t="s">
        <v>227</v>
      </c>
      <c r="M229" s="2"/>
      <c r="N229" s="2"/>
      <c r="O229" s="177">
        <v>1581</v>
      </c>
    </row>
    <row r="230" spans="2:15" ht="15" thickBot="1" x14ac:dyDescent="0.35">
      <c r="B230" s="88" t="s">
        <v>105</v>
      </c>
      <c r="C230" s="2"/>
      <c r="D230" s="2"/>
      <c r="E230" s="98">
        <v>108</v>
      </c>
      <c r="G230" s="88" t="s">
        <v>105</v>
      </c>
      <c r="H230" s="2"/>
      <c r="I230" s="2"/>
      <c r="J230" s="98">
        <v>32</v>
      </c>
      <c r="L230" s="88" t="s">
        <v>105</v>
      </c>
      <c r="M230" s="2"/>
      <c r="N230" s="2"/>
      <c r="O230" s="98">
        <v>80</v>
      </c>
    </row>
    <row r="231" spans="2:15" ht="15.6" thickTop="1" thickBot="1" x14ac:dyDescent="0.35">
      <c r="B231" s="178" t="s">
        <v>39</v>
      </c>
      <c r="C231" s="90"/>
      <c r="D231" s="90"/>
      <c r="E231" s="176"/>
      <c r="G231" s="178" t="s">
        <v>39</v>
      </c>
      <c r="H231" s="90"/>
      <c r="I231" s="90"/>
      <c r="J231" s="176"/>
      <c r="L231" s="178" t="s">
        <v>39</v>
      </c>
      <c r="M231" s="90"/>
      <c r="N231" s="90"/>
      <c r="O231" s="176"/>
    </row>
    <row r="232" spans="2:15" ht="15" thickTop="1" x14ac:dyDescent="0.3">
      <c r="B232" s="88" t="s">
        <v>101</v>
      </c>
      <c r="C232" s="2"/>
      <c r="D232" s="2"/>
      <c r="E232" s="97">
        <v>10688.740000000003</v>
      </c>
      <c r="G232" s="88" t="s">
        <v>101</v>
      </c>
      <c r="H232" s="2"/>
      <c r="I232" s="2"/>
      <c r="J232" s="97">
        <v>11556.110000000004</v>
      </c>
      <c r="L232" s="88" t="s">
        <v>101</v>
      </c>
      <c r="M232" s="2"/>
      <c r="N232" s="2"/>
      <c r="O232" s="97">
        <v>12463.480000000005</v>
      </c>
    </row>
    <row r="233" spans="2:15" x14ac:dyDescent="0.3">
      <c r="B233" s="88" t="s">
        <v>104</v>
      </c>
      <c r="C233" s="2"/>
      <c r="D233" s="2"/>
      <c r="E233" s="98">
        <v>737.37</v>
      </c>
      <c r="G233" s="88" t="s">
        <v>104</v>
      </c>
      <c r="H233" s="2"/>
      <c r="I233" s="2"/>
      <c r="J233" s="98">
        <v>867.37</v>
      </c>
      <c r="L233" s="88" t="s">
        <v>104</v>
      </c>
      <c r="M233" s="2"/>
      <c r="N233" s="2"/>
      <c r="O233" s="98">
        <v>907.37</v>
      </c>
    </row>
    <row r="234" spans="2:15" ht="15" thickBot="1" x14ac:dyDescent="0.35">
      <c r="B234" s="102" t="s">
        <v>95</v>
      </c>
      <c r="C234" s="101"/>
      <c r="D234" s="92"/>
      <c r="E234" s="100">
        <v>3571.2599999999966</v>
      </c>
      <c r="G234" s="102" t="s">
        <v>95</v>
      </c>
      <c r="H234" s="101"/>
      <c r="I234" s="92"/>
      <c r="J234" s="100">
        <v>3103.8899999999958</v>
      </c>
      <c r="L234" s="102" t="s">
        <v>95</v>
      </c>
      <c r="M234" s="101"/>
      <c r="N234" s="92"/>
      <c r="O234" s="100">
        <v>3196.519999999995</v>
      </c>
    </row>
    <row r="235" spans="2:15" ht="15" thickTop="1" x14ac:dyDescent="0.3">
      <c r="B235" s="88" t="s">
        <v>102</v>
      </c>
      <c r="C235" s="2"/>
      <c r="D235" s="2"/>
      <c r="E235" s="97">
        <v>899</v>
      </c>
      <c r="G235" s="88" t="s">
        <v>102</v>
      </c>
      <c r="H235" s="2"/>
      <c r="I235" s="2"/>
      <c r="J235" s="97">
        <v>1009</v>
      </c>
      <c r="L235" s="88" t="s">
        <v>102</v>
      </c>
      <c r="M235" s="2"/>
      <c r="N235" s="2"/>
      <c r="O235" s="97">
        <v>1113</v>
      </c>
    </row>
    <row r="236" spans="2:15" x14ac:dyDescent="0.3">
      <c r="B236" s="88" t="s">
        <v>106</v>
      </c>
      <c r="C236" s="2"/>
      <c r="D236" s="2"/>
      <c r="E236" s="98">
        <v>94</v>
      </c>
      <c r="G236" s="88" t="s">
        <v>106</v>
      </c>
      <c r="H236" s="2"/>
      <c r="I236" s="2"/>
      <c r="J236" s="98">
        <v>110</v>
      </c>
      <c r="L236" s="88" t="s">
        <v>106</v>
      </c>
      <c r="M236" s="2"/>
      <c r="N236" s="2"/>
      <c r="O236" s="98">
        <v>104</v>
      </c>
    </row>
    <row r="237" spans="2:15" ht="15" thickBot="1" x14ac:dyDescent="0.35">
      <c r="B237" s="102" t="s">
        <v>98</v>
      </c>
      <c r="C237" s="92"/>
      <c r="D237" s="92"/>
      <c r="E237" s="100">
        <v>570</v>
      </c>
      <c r="G237" s="102" t="s">
        <v>98</v>
      </c>
      <c r="H237" s="92"/>
      <c r="I237" s="92"/>
      <c r="J237" s="100">
        <v>492</v>
      </c>
      <c r="L237" s="102" t="s">
        <v>98</v>
      </c>
      <c r="M237" s="92"/>
      <c r="N237" s="92"/>
      <c r="O237" s="100">
        <v>468</v>
      </c>
    </row>
    <row r="238" spans="2:15" ht="15.6" thickTop="1" thickBot="1" x14ac:dyDescent="0.35">
      <c r="B238" s="89" t="s">
        <v>228</v>
      </c>
      <c r="C238" s="179"/>
      <c r="D238" s="90"/>
      <c r="E238" s="183"/>
      <c r="G238" s="89" t="s">
        <v>228</v>
      </c>
      <c r="H238" s="179"/>
      <c r="I238" s="90"/>
      <c r="J238" s="183"/>
      <c r="L238" s="89" t="s">
        <v>228</v>
      </c>
      <c r="M238" s="179"/>
      <c r="N238" s="90"/>
      <c r="O238" s="183"/>
    </row>
    <row r="239" spans="2:15" ht="15" thickTop="1" x14ac:dyDescent="0.3">
      <c r="B239" s="88" t="s">
        <v>229</v>
      </c>
      <c r="C239" s="171"/>
      <c r="D239" s="2"/>
      <c r="E239" s="99">
        <v>23.5</v>
      </c>
      <c r="G239" s="88" t="s">
        <v>229</v>
      </c>
      <c r="H239" s="171"/>
      <c r="I239" s="2"/>
      <c r="J239" s="99">
        <v>23.5</v>
      </c>
      <c r="L239" s="88" t="s">
        <v>229</v>
      </c>
      <c r="M239" s="171"/>
      <c r="N239" s="2"/>
      <c r="O239" s="99">
        <v>23.5</v>
      </c>
    </row>
    <row r="240" spans="2:15" x14ac:dyDescent="0.3">
      <c r="B240" s="88" t="s">
        <v>249</v>
      </c>
      <c r="C240" s="180"/>
      <c r="D240" s="181"/>
      <c r="E240" s="97">
        <v>250</v>
      </c>
      <c r="G240" s="88" t="s">
        <v>249</v>
      </c>
      <c r="H240" s="180"/>
      <c r="I240" s="181"/>
      <c r="J240" s="97">
        <v>250</v>
      </c>
      <c r="L240" s="88" t="s">
        <v>249</v>
      </c>
      <c r="M240" s="180"/>
      <c r="N240" s="181"/>
      <c r="O240" s="97">
        <v>450</v>
      </c>
    </row>
    <row r="241" spans="2:15" x14ac:dyDescent="0.3">
      <c r="B241" s="88" t="s">
        <v>248</v>
      </c>
      <c r="C241" s="180"/>
      <c r="D241" s="181"/>
      <c r="E241" s="97">
        <v>24</v>
      </c>
      <c r="G241" s="88" t="s">
        <v>248</v>
      </c>
      <c r="H241" s="180"/>
      <c r="I241" s="181"/>
      <c r="J241" s="97">
        <v>24</v>
      </c>
      <c r="L241" s="88" t="s">
        <v>248</v>
      </c>
      <c r="M241" s="180"/>
      <c r="N241" s="181"/>
      <c r="O241" s="97">
        <v>38</v>
      </c>
    </row>
    <row r="242" spans="2:15" x14ac:dyDescent="0.3">
      <c r="B242" s="88" t="s">
        <v>93</v>
      </c>
      <c r="C242" s="2"/>
      <c r="D242" s="2"/>
      <c r="E242" s="96">
        <v>3050</v>
      </c>
      <c r="G242" s="88" t="s">
        <v>93</v>
      </c>
      <c r="H242" s="2"/>
      <c r="I242" s="2"/>
      <c r="J242" s="96">
        <v>2920</v>
      </c>
      <c r="L242" s="88" t="s">
        <v>93</v>
      </c>
      <c r="M242" s="2"/>
      <c r="N242" s="2"/>
      <c r="O242" s="96">
        <v>3050</v>
      </c>
    </row>
    <row r="243" spans="2:15" x14ac:dyDescent="0.3">
      <c r="B243" s="88" t="s">
        <v>100</v>
      </c>
      <c r="C243" s="2"/>
      <c r="D243" s="2"/>
      <c r="E243" s="95">
        <v>234.61538461538461</v>
      </c>
      <c r="G243" s="88" t="s">
        <v>100</v>
      </c>
      <c r="H243" s="2"/>
      <c r="I243" s="2"/>
      <c r="J243" s="95">
        <v>224.61538461538461</v>
      </c>
      <c r="L243" s="88" t="s">
        <v>100</v>
      </c>
      <c r="M243" s="2"/>
      <c r="N243" s="2"/>
      <c r="O243" s="95">
        <v>234.61538461538461</v>
      </c>
    </row>
    <row r="244" spans="2:15" x14ac:dyDescent="0.3">
      <c r="B244" s="88" t="s">
        <v>236</v>
      </c>
      <c r="C244" s="2"/>
      <c r="D244" s="2"/>
      <c r="E244" s="96">
        <v>1218.5</v>
      </c>
      <c r="G244" s="88" t="s">
        <v>236</v>
      </c>
      <c r="H244" s="2"/>
      <c r="I244" s="2"/>
      <c r="J244" s="96">
        <v>1250.5</v>
      </c>
      <c r="L244" s="88" t="s">
        <v>236</v>
      </c>
      <c r="M244" s="2"/>
      <c r="N244" s="2"/>
      <c r="O244" s="96">
        <v>1116.5</v>
      </c>
    </row>
    <row r="245" spans="2:15" ht="15" thickBot="1" x14ac:dyDescent="0.35">
      <c r="B245" s="88" t="s">
        <v>96</v>
      </c>
      <c r="C245" s="2"/>
      <c r="D245" s="182"/>
      <c r="E245" s="187">
        <v>190.27</v>
      </c>
      <c r="G245" s="88" t="s">
        <v>96</v>
      </c>
      <c r="H245" s="2"/>
      <c r="I245" s="182"/>
      <c r="J245" s="187">
        <v>637.64</v>
      </c>
      <c r="L245" s="88" t="s">
        <v>96</v>
      </c>
      <c r="M245" s="2"/>
      <c r="N245" s="182"/>
      <c r="O245" s="187">
        <v>605.71</v>
      </c>
    </row>
    <row r="246" spans="2:15" ht="15.6" thickTop="1" thickBot="1" x14ac:dyDescent="0.35">
      <c r="B246" s="93" t="s">
        <v>94</v>
      </c>
      <c r="C246" s="94"/>
      <c r="D246" s="184"/>
      <c r="E246" s="185">
        <v>4331.529999999997</v>
      </c>
      <c r="G246" s="93" t="s">
        <v>94</v>
      </c>
      <c r="H246" s="94"/>
      <c r="I246" s="184"/>
      <c r="J246" s="185">
        <v>4233.5299999999961</v>
      </c>
      <c r="L246" s="93" t="s">
        <v>94</v>
      </c>
      <c r="M246" s="94"/>
      <c r="N246" s="184"/>
      <c r="O246" s="185">
        <v>4270.229999999995</v>
      </c>
    </row>
    <row r="247" spans="2:15" ht="15.6" thickTop="1" thickBot="1" x14ac:dyDescent="0.35">
      <c r="B247" s="93" t="s">
        <v>99</v>
      </c>
      <c r="C247" s="94"/>
      <c r="D247" s="184"/>
      <c r="E247" s="196">
        <v>4268.5</v>
      </c>
      <c r="G247" s="93" t="s">
        <v>99</v>
      </c>
      <c r="H247" s="94"/>
      <c r="I247" s="184"/>
      <c r="J247" s="196">
        <v>4170.5</v>
      </c>
      <c r="L247" s="93" t="s">
        <v>99</v>
      </c>
      <c r="M247" s="94"/>
      <c r="N247" s="184"/>
      <c r="O247" s="196">
        <v>4166.5</v>
      </c>
    </row>
    <row r="248" spans="2:15" ht="15.6" thickTop="1" thickBot="1" x14ac:dyDescent="0.35"/>
    <row r="249" spans="2:15" ht="15.6" thickTop="1" thickBot="1" x14ac:dyDescent="0.35">
      <c r="B249" s="390" t="s">
        <v>92</v>
      </c>
      <c r="C249" s="397"/>
      <c r="D249" s="391"/>
      <c r="E249" s="111">
        <v>44788</v>
      </c>
      <c r="G249" s="390" t="s">
        <v>92</v>
      </c>
      <c r="H249" s="397"/>
      <c r="I249" s="391"/>
      <c r="J249" s="111">
        <v>44788</v>
      </c>
      <c r="L249" s="390" t="s">
        <v>92</v>
      </c>
      <c r="M249" s="397"/>
      <c r="N249" s="391"/>
      <c r="O249" s="111">
        <v>44788</v>
      </c>
    </row>
    <row r="250" spans="2:15" ht="15.6" thickTop="1" thickBot="1" x14ac:dyDescent="0.35">
      <c r="B250" s="394"/>
      <c r="C250" s="398"/>
      <c r="D250" s="395"/>
      <c r="E250" s="111">
        <v>45611</v>
      </c>
      <c r="G250" s="394"/>
      <c r="H250" s="398"/>
      <c r="I250" s="395"/>
      <c r="J250" s="111">
        <v>45656</v>
      </c>
      <c r="L250" s="394"/>
      <c r="M250" s="398"/>
      <c r="N250" s="395"/>
      <c r="O250" s="111">
        <v>45672</v>
      </c>
    </row>
    <row r="251" spans="2:15" ht="15.6" thickTop="1" thickBot="1" x14ac:dyDescent="0.35">
      <c r="B251" s="88" t="s">
        <v>91</v>
      </c>
      <c r="C251" s="2"/>
      <c r="D251" s="2"/>
      <c r="E251" s="170">
        <v>3640</v>
      </c>
      <c r="G251" s="88" t="s">
        <v>91</v>
      </c>
      <c r="H251" s="2"/>
      <c r="I251" s="2"/>
      <c r="J251" s="170">
        <v>3770</v>
      </c>
      <c r="L251" s="88" t="s">
        <v>91</v>
      </c>
      <c r="M251" s="2"/>
      <c r="N251" s="2"/>
      <c r="O251" s="170">
        <v>3900</v>
      </c>
    </row>
    <row r="252" spans="2:15" ht="15.6" thickTop="1" thickBot="1" x14ac:dyDescent="0.35">
      <c r="B252" s="89" t="s">
        <v>169</v>
      </c>
      <c r="C252" s="90"/>
      <c r="D252" s="90"/>
      <c r="E252" s="176"/>
      <c r="G252" s="89" t="s">
        <v>169</v>
      </c>
      <c r="H252" s="90"/>
      <c r="I252" s="90"/>
      <c r="J252" s="176"/>
      <c r="L252" s="89" t="s">
        <v>169</v>
      </c>
      <c r="M252" s="90"/>
      <c r="N252" s="90"/>
      <c r="O252" s="176"/>
    </row>
    <row r="253" spans="2:15" ht="15" thickTop="1" x14ac:dyDescent="0.3">
      <c r="B253" s="174" t="s">
        <v>225</v>
      </c>
      <c r="C253" s="2"/>
      <c r="D253" s="2"/>
      <c r="E253" s="169">
        <v>17360</v>
      </c>
      <c r="G253" s="174" t="s">
        <v>225</v>
      </c>
      <c r="H253" s="2"/>
      <c r="I253" s="2"/>
      <c r="J253" s="169">
        <v>18940</v>
      </c>
      <c r="L253" s="174" t="s">
        <v>225</v>
      </c>
      <c r="M253" s="2"/>
      <c r="N253" s="2"/>
      <c r="O253" s="169">
        <v>20490</v>
      </c>
    </row>
    <row r="254" spans="2:15" x14ac:dyDescent="0.3">
      <c r="B254" s="175" t="s">
        <v>226</v>
      </c>
      <c r="C254" s="2"/>
      <c r="D254" s="2"/>
      <c r="E254" s="97">
        <v>460</v>
      </c>
      <c r="G254" s="175" t="s">
        <v>226</v>
      </c>
      <c r="H254" s="2"/>
      <c r="I254" s="2"/>
      <c r="J254" s="97">
        <v>460</v>
      </c>
      <c r="L254" s="175" t="s">
        <v>226</v>
      </c>
      <c r="M254" s="2"/>
      <c r="N254" s="2"/>
      <c r="O254" s="97">
        <v>460</v>
      </c>
    </row>
    <row r="255" spans="2:15" x14ac:dyDescent="0.3">
      <c r="B255" s="88" t="s">
        <v>103</v>
      </c>
      <c r="C255" s="2"/>
      <c r="D255" s="2"/>
      <c r="E255" s="98">
        <v>1700</v>
      </c>
      <c r="G255" s="88" t="s">
        <v>103</v>
      </c>
      <c r="H255" s="2"/>
      <c r="I255" s="2"/>
      <c r="J255" s="98">
        <v>1580</v>
      </c>
      <c r="L255" s="88" t="s">
        <v>103</v>
      </c>
      <c r="M255" s="2"/>
      <c r="N255" s="2"/>
      <c r="O255" s="98">
        <v>1550</v>
      </c>
    </row>
    <row r="256" spans="2:15" x14ac:dyDescent="0.3">
      <c r="B256" s="175" t="s">
        <v>227</v>
      </c>
      <c r="C256" s="2"/>
      <c r="D256" s="2"/>
      <c r="E256" s="177">
        <v>1831</v>
      </c>
      <c r="G256" s="175" t="s">
        <v>227</v>
      </c>
      <c r="H256" s="2"/>
      <c r="I256" s="2"/>
      <c r="J256" s="177">
        <v>2082.6</v>
      </c>
      <c r="L256" s="175" t="s">
        <v>227</v>
      </c>
      <c r="M256" s="2"/>
      <c r="N256" s="2"/>
      <c r="O256" s="177">
        <v>2284.6</v>
      </c>
    </row>
    <row r="257" spans="2:17" ht="15" thickBot="1" x14ac:dyDescent="0.35">
      <c r="B257" s="88" t="s">
        <v>105</v>
      </c>
      <c r="C257" s="2"/>
      <c r="D257" s="2"/>
      <c r="E257" s="98">
        <v>250</v>
      </c>
      <c r="G257" s="88" t="s">
        <v>105</v>
      </c>
      <c r="H257" s="2"/>
      <c r="I257" s="2"/>
      <c r="J257" s="98">
        <v>251.6</v>
      </c>
      <c r="L257" s="88" t="s">
        <v>105</v>
      </c>
      <c r="M257" s="2"/>
      <c r="N257" s="2"/>
      <c r="O257" s="98">
        <v>202</v>
      </c>
    </row>
    <row r="258" spans="2:17" ht="15.6" thickTop="1" thickBot="1" x14ac:dyDescent="0.35">
      <c r="B258" s="178" t="s">
        <v>39</v>
      </c>
      <c r="C258" s="90"/>
      <c r="D258" s="90"/>
      <c r="E258" s="176"/>
      <c r="G258" s="178" t="s">
        <v>39</v>
      </c>
      <c r="H258" s="90"/>
      <c r="I258" s="90"/>
      <c r="J258" s="176"/>
      <c r="L258" s="178" t="s">
        <v>39</v>
      </c>
      <c r="M258" s="90"/>
      <c r="N258" s="90"/>
      <c r="O258" s="176"/>
    </row>
    <row r="259" spans="2:17" ht="15" thickTop="1" x14ac:dyDescent="0.3">
      <c r="B259" s="88" t="s">
        <v>101</v>
      </c>
      <c r="C259" s="2"/>
      <c r="D259" s="2"/>
      <c r="E259" s="97">
        <v>13426.550000000007</v>
      </c>
      <c r="G259" s="88" t="s">
        <v>101</v>
      </c>
      <c r="H259" s="2"/>
      <c r="I259" s="2"/>
      <c r="J259" s="97">
        <v>14624.890000000007</v>
      </c>
      <c r="L259" s="88" t="s">
        <v>101</v>
      </c>
      <c r="M259" s="2"/>
      <c r="N259" s="2"/>
      <c r="O259" s="97">
        <v>16028.230000000007</v>
      </c>
    </row>
    <row r="260" spans="2:17" x14ac:dyDescent="0.3">
      <c r="B260" s="88" t="s">
        <v>104</v>
      </c>
      <c r="C260" s="2"/>
      <c r="D260" s="2"/>
      <c r="E260" s="98">
        <v>963.07</v>
      </c>
      <c r="G260" s="88" t="s">
        <v>104</v>
      </c>
      <c r="H260" s="2"/>
      <c r="I260" s="2"/>
      <c r="J260" s="98">
        <v>1198.3400000000001</v>
      </c>
      <c r="L260" s="88" t="s">
        <v>104</v>
      </c>
      <c r="M260" s="2"/>
      <c r="N260" s="2"/>
      <c r="O260" s="98">
        <v>1403.3400000000001</v>
      </c>
    </row>
    <row r="261" spans="2:17" ht="15" thickBot="1" x14ac:dyDescent="0.35">
      <c r="B261" s="102" t="s">
        <v>95</v>
      </c>
      <c r="C261" s="101"/>
      <c r="D261" s="92"/>
      <c r="E261" s="100">
        <v>3933.4499999999935</v>
      </c>
      <c r="G261" s="102" t="s">
        <v>95</v>
      </c>
      <c r="H261" s="101"/>
      <c r="I261" s="92"/>
      <c r="J261" s="100">
        <v>4315.1099999999933</v>
      </c>
      <c r="L261" s="102" t="s">
        <v>95</v>
      </c>
      <c r="M261" s="101"/>
      <c r="N261" s="92"/>
      <c r="O261" s="100">
        <v>4461.7699999999932</v>
      </c>
    </row>
    <row r="262" spans="2:17" ht="15" thickTop="1" x14ac:dyDescent="0.3">
      <c r="B262" s="88" t="s">
        <v>102</v>
      </c>
      <c r="C262" s="2"/>
      <c r="D262" s="2"/>
      <c r="E262" s="97">
        <v>1223</v>
      </c>
      <c r="G262" s="88" t="s">
        <v>102</v>
      </c>
      <c r="H262" s="2"/>
      <c r="I262" s="2"/>
      <c r="J262" s="97">
        <v>1345</v>
      </c>
      <c r="L262" s="88" t="s">
        <v>102</v>
      </c>
      <c r="M262" s="2"/>
      <c r="N262" s="2"/>
      <c r="O262" s="97">
        <v>1490.6</v>
      </c>
    </row>
    <row r="263" spans="2:17" x14ac:dyDescent="0.3">
      <c r="B263" s="88" t="s">
        <v>106</v>
      </c>
      <c r="C263" s="2"/>
      <c r="D263" s="2"/>
      <c r="E263" s="98">
        <v>110</v>
      </c>
      <c r="G263" s="88" t="s">
        <v>106</v>
      </c>
      <c r="H263" s="2"/>
      <c r="I263" s="2"/>
      <c r="J263" s="98">
        <v>122</v>
      </c>
      <c r="L263" s="88" t="s">
        <v>106</v>
      </c>
      <c r="M263" s="2"/>
      <c r="N263" s="2"/>
      <c r="O263" s="98">
        <v>145.6</v>
      </c>
    </row>
    <row r="264" spans="2:17" ht="15" thickBot="1" x14ac:dyDescent="0.35">
      <c r="B264" s="102" t="s">
        <v>98</v>
      </c>
      <c r="C264" s="92"/>
      <c r="D264" s="92"/>
      <c r="E264" s="100">
        <v>608</v>
      </c>
      <c r="G264" s="102" t="s">
        <v>98</v>
      </c>
      <c r="H264" s="92"/>
      <c r="I264" s="92"/>
      <c r="J264" s="100">
        <v>737.59999999999991</v>
      </c>
      <c r="L264" s="102" t="s">
        <v>98</v>
      </c>
      <c r="M264" s="92"/>
      <c r="N264" s="92"/>
      <c r="O264" s="100">
        <v>794</v>
      </c>
    </row>
    <row r="265" spans="2:17" ht="15.6" thickTop="1" thickBot="1" x14ac:dyDescent="0.35">
      <c r="B265" s="89" t="s">
        <v>228</v>
      </c>
      <c r="C265" s="179"/>
      <c r="D265" s="90"/>
      <c r="E265" s="183"/>
      <c r="G265" s="89" t="s">
        <v>228</v>
      </c>
      <c r="H265" s="179"/>
      <c r="I265" s="90"/>
      <c r="J265" s="183"/>
      <c r="L265" s="89" t="s">
        <v>228</v>
      </c>
      <c r="M265" s="179"/>
      <c r="N265" s="90"/>
      <c r="O265" s="183"/>
    </row>
    <row r="266" spans="2:17" ht="15" thickTop="1" x14ac:dyDescent="0.3">
      <c r="B266" s="88" t="s">
        <v>229</v>
      </c>
      <c r="C266" s="171"/>
      <c r="D266" s="2"/>
      <c r="E266" s="99">
        <v>156.99999999999997</v>
      </c>
      <c r="G266" s="88" t="s">
        <v>229</v>
      </c>
      <c r="H266" s="171"/>
      <c r="I266" s="2"/>
      <c r="J266" s="99">
        <v>183.69999999999996</v>
      </c>
      <c r="L266" s="88" t="s">
        <v>229</v>
      </c>
      <c r="M266" s="171"/>
      <c r="N266" s="2"/>
      <c r="O266" s="99">
        <v>183.69999999999996</v>
      </c>
    </row>
    <row r="267" spans="2:17" x14ac:dyDescent="0.3">
      <c r="B267" s="88" t="s">
        <v>249</v>
      </c>
      <c r="C267" s="180"/>
      <c r="D267" s="181"/>
      <c r="E267" s="97">
        <v>450</v>
      </c>
      <c r="G267" s="88" t="s">
        <v>249</v>
      </c>
      <c r="H267" s="180"/>
      <c r="I267" s="181"/>
      <c r="J267" s="97">
        <v>450</v>
      </c>
      <c r="L267" s="88" t="s">
        <v>249</v>
      </c>
      <c r="M267" s="180"/>
      <c r="N267" s="181"/>
      <c r="O267" s="97">
        <v>450</v>
      </c>
    </row>
    <row r="268" spans="2:17" x14ac:dyDescent="0.3">
      <c r="B268" s="88" t="s">
        <v>248</v>
      </c>
      <c r="C268" s="180"/>
      <c r="D268" s="181"/>
      <c r="E268" s="97">
        <v>50</v>
      </c>
      <c r="G268" s="88" t="s">
        <v>248</v>
      </c>
      <c r="H268" s="180"/>
      <c r="I268" s="181"/>
      <c r="J268" s="97">
        <v>66</v>
      </c>
      <c r="L268" s="88" t="s">
        <v>248</v>
      </c>
      <c r="M268" s="180"/>
      <c r="N268" s="181"/>
      <c r="O268" s="97">
        <v>88</v>
      </c>
      <c r="Q268" s="12"/>
    </row>
    <row r="269" spans="2:17" x14ac:dyDescent="0.3">
      <c r="B269" s="88" t="s">
        <v>93</v>
      </c>
      <c r="C269" s="2"/>
      <c r="D269" s="2"/>
      <c r="E269" s="96">
        <v>3180</v>
      </c>
      <c r="G269" s="88" t="s">
        <v>93</v>
      </c>
      <c r="H269" s="2"/>
      <c r="I269" s="2"/>
      <c r="J269" s="96">
        <v>3310</v>
      </c>
      <c r="L269" s="88" t="s">
        <v>93</v>
      </c>
      <c r="M269" s="2"/>
      <c r="N269" s="2"/>
      <c r="O269" s="96">
        <v>3440</v>
      </c>
    </row>
    <row r="270" spans="2:17" x14ac:dyDescent="0.3">
      <c r="B270" s="88" t="s">
        <v>100</v>
      </c>
      <c r="C270" s="2"/>
      <c r="D270" s="2"/>
      <c r="E270" s="95">
        <v>244.61538461538461</v>
      </c>
      <c r="G270" s="88" t="s">
        <v>100</v>
      </c>
      <c r="H270" s="2"/>
      <c r="I270" s="2"/>
      <c r="J270" s="95">
        <v>254.61538461538461</v>
      </c>
      <c r="L270" s="88" t="s">
        <v>100</v>
      </c>
      <c r="M270" s="2"/>
      <c r="N270" s="2"/>
      <c r="O270" s="95">
        <v>264.61538461538464</v>
      </c>
    </row>
    <row r="271" spans="2:17" x14ac:dyDescent="0.3">
      <c r="B271" s="88" t="s">
        <v>236</v>
      </c>
      <c r="C271" s="2"/>
      <c r="D271" s="2"/>
      <c r="E271" s="96">
        <v>1488</v>
      </c>
      <c r="G271" s="88" t="s">
        <v>236</v>
      </c>
      <c r="H271" s="2"/>
      <c r="I271" s="2"/>
      <c r="J271" s="96">
        <v>1750.3</v>
      </c>
      <c r="L271" s="88" t="s">
        <v>236</v>
      </c>
      <c r="M271" s="2"/>
      <c r="N271" s="2"/>
      <c r="O271" s="96">
        <v>1930.3</v>
      </c>
    </row>
    <row r="272" spans="2:17" ht="15" thickBot="1" x14ac:dyDescent="0.35">
      <c r="B272" s="88" t="s">
        <v>96</v>
      </c>
      <c r="C272" s="2"/>
      <c r="D272" s="182"/>
      <c r="E272" s="187">
        <v>215.58</v>
      </c>
      <c r="G272" s="88" t="s">
        <v>96</v>
      </c>
      <c r="H272" s="2"/>
      <c r="I272" s="182"/>
      <c r="J272" s="187">
        <v>112.61</v>
      </c>
      <c r="L272" s="88" t="s">
        <v>96</v>
      </c>
      <c r="M272" s="2"/>
      <c r="N272" s="182"/>
      <c r="O272" s="187">
        <v>241.55</v>
      </c>
    </row>
    <row r="273" spans="2:15" ht="15.6" thickTop="1" thickBot="1" x14ac:dyDescent="0.35">
      <c r="B273" s="93" t="s">
        <v>94</v>
      </c>
      <c r="C273" s="94"/>
      <c r="D273" s="184"/>
      <c r="E273" s="185">
        <v>4757.0299999999934</v>
      </c>
      <c r="G273" s="93" t="s">
        <v>94</v>
      </c>
      <c r="H273" s="94"/>
      <c r="I273" s="184"/>
      <c r="J273" s="185">
        <v>5165.3199999999933</v>
      </c>
      <c r="L273" s="93" t="s">
        <v>94</v>
      </c>
      <c r="M273" s="94"/>
      <c r="N273" s="184"/>
      <c r="O273" s="185">
        <v>5497.3199999999933</v>
      </c>
    </row>
    <row r="274" spans="2:15" ht="15.6" thickTop="1" thickBot="1" x14ac:dyDescent="0.35">
      <c r="B274" s="93" t="s">
        <v>99</v>
      </c>
      <c r="C274" s="94"/>
      <c r="D274" s="184"/>
      <c r="E274" s="196">
        <v>4668</v>
      </c>
      <c r="G274" s="93" t="s">
        <v>99</v>
      </c>
      <c r="H274" s="94"/>
      <c r="I274" s="184"/>
      <c r="J274" s="196">
        <v>5060.3</v>
      </c>
      <c r="L274" s="93" t="s">
        <v>99</v>
      </c>
      <c r="M274" s="94"/>
      <c r="N274" s="184"/>
      <c r="O274" s="196">
        <v>5370.3</v>
      </c>
    </row>
    <row r="275" spans="2:15" ht="15.6" thickTop="1" thickBot="1" x14ac:dyDescent="0.35"/>
    <row r="276" spans="2:15" ht="15.6" thickTop="1" thickBot="1" x14ac:dyDescent="0.35">
      <c r="B276" s="390" t="s">
        <v>92</v>
      </c>
      <c r="C276" s="397"/>
      <c r="D276" s="391"/>
      <c r="E276" s="111">
        <v>44788</v>
      </c>
      <c r="G276" s="390" t="s">
        <v>92</v>
      </c>
      <c r="H276" s="397"/>
      <c r="I276" s="391"/>
      <c r="J276" s="111">
        <v>44788</v>
      </c>
      <c r="L276" s="390" t="s">
        <v>92</v>
      </c>
      <c r="M276" s="397"/>
      <c r="N276" s="391"/>
      <c r="O276" s="111">
        <v>44788</v>
      </c>
    </row>
    <row r="277" spans="2:15" ht="15.6" thickTop="1" thickBot="1" x14ac:dyDescent="0.35">
      <c r="B277" s="394"/>
      <c r="C277" s="398"/>
      <c r="D277" s="395"/>
      <c r="E277" s="111">
        <v>45703</v>
      </c>
      <c r="G277" s="394"/>
      <c r="H277" s="398"/>
      <c r="I277" s="395"/>
      <c r="J277" s="111">
        <v>45732</v>
      </c>
      <c r="L277" s="394"/>
      <c r="M277" s="398"/>
      <c r="N277" s="395"/>
      <c r="O277" s="111">
        <v>45761</v>
      </c>
    </row>
    <row r="278" spans="2:15" ht="15.6" thickTop="1" thickBot="1" x14ac:dyDescent="0.35">
      <c r="B278" s="88" t="s">
        <v>91</v>
      </c>
      <c r="C278" s="2"/>
      <c r="D278" s="2"/>
      <c r="E278" s="170">
        <v>4030</v>
      </c>
      <c r="G278" s="88" t="s">
        <v>91</v>
      </c>
      <c r="H278" s="2"/>
      <c r="I278" s="2"/>
      <c r="J278" s="170">
        <v>4030</v>
      </c>
      <c r="L278" s="88" t="s">
        <v>91</v>
      </c>
      <c r="M278" s="2"/>
      <c r="N278" s="2"/>
      <c r="O278" s="170">
        <v>4160</v>
      </c>
    </row>
    <row r="279" spans="2:15" ht="15.6" thickTop="1" thickBot="1" x14ac:dyDescent="0.35">
      <c r="B279" s="89" t="s">
        <v>169</v>
      </c>
      <c r="C279" s="90"/>
      <c r="D279" s="90"/>
      <c r="E279" s="176"/>
      <c r="G279" s="89" t="s">
        <v>169</v>
      </c>
      <c r="H279" s="90"/>
      <c r="I279" s="90"/>
      <c r="J279" s="176"/>
      <c r="L279" s="89" t="s">
        <v>169</v>
      </c>
      <c r="M279" s="90"/>
      <c r="N279" s="90"/>
      <c r="O279" s="176"/>
    </row>
    <row r="280" spans="2:15" ht="15" thickTop="1" x14ac:dyDescent="0.3">
      <c r="B280" s="174" t="s">
        <v>225</v>
      </c>
      <c r="C280" s="2"/>
      <c r="D280" s="2"/>
      <c r="E280" s="169">
        <v>21290</v>
      </c>
      <c r="G280" s="174" t="s">
        <v>225</v>
      </c>
      <c r="H280" s="2"/>
      <c r="I280" s="2"/>
      <c r="J280" s="169">
        <v>22390</v>
      </c>
      <c r="L280" s="174" t="s">
        <v>225</v>
      </c>
      <c r="M280" s="2"/>
      <c r="N280" s="2"/>
      <c r="O280" s="169">
        <v>23590</v>
      </c>
    </row>
    <row r="281" spans="2:15" x14ac:dyDescent="0.3">
      <c r="B281" s="175" t="s">
        <v>226</v>
      </c>
      <c r="C281" s="2"/>
      <c r="D281" s="2"/>
      <c r="E281" s="97">
        <v>460</v>
      </c>
      <c r="G281" s="175" t="s">
        <v>226</v>
      </c>
      <c r="H281" s="2"/>
      <c r="I281" s="2"/>
      <c r="J281" s="97">
        <v>460</v>
      </c>
      <c r="L281" s="175" t="s">
        <v>226</v>
      </c>
      <c r="M281" s="2"/>
      <c r="N281" s="2"/>
      <c r="O281" s="97">
        <v>460</v>
      </c>
    </row>
    <row r="282" spans="2:15" x14ac:dyDescent="0.3">
      <c r="B282" s="88" t="s">
        <v>103</v>
      </c>
      <c r="C282" s="2"/>
      <c r="D282" s="2"/>
      <c r="E282" s="98">
        <v>800</v>
      </c>
      <c r="G282" s="88" t="s">
        <v>103</v>
      </c>
      <c r="H282" s="2"/>
      <c r="I282" s="2"/>
      <c r="J282" s="98">
        <v>700</v>
      </c>
      <c r="L282" s="88" t="s">
        <v>103</v>
      </c>
      <c r="M282" s="2"/>
      <c r="N282" s="2"/>
      <c r="O282" s="98">
        <v>1900</v>
      </c>
    </row>
    <row r="283" spans="2:15" x14ac:dyDescent="0.3">
      <c r="B283" s="175" t="s">
        <v>227</v>
      </c>
      <c r="C283" s="2"/>
      <c r="D283" s="2"/>
      <c r="E283" s="177">
        <v>2352.6</v>
      </c>
      <c r="G283" s="175" t="s">
        <v>227</v>
      </c>
      <c r="H283" s="2"/>
      <c r="I283" s="2"/>
      <c r="J283" s="177">
        <v>2402.6</v>
      </c>
      <c r="L283" s="175" t="s">
        <v>227</v>
      </c>
      <c r="M283" s="2"/>
      <c r="N283" s="2"/>
      <c r="O283" s="177">
        <v>2426.6</v>
      </c>
    </row>
    <row r="284" spans="2:15" ht="15" thickBot="1" x14ac:dyDescent="0.35">
      <c r="B284" s="88" t="s">
        <v>105</v>
      </c>
      <c r="C284" s="2"/>
      <c r="D284" s="2"/>
      <c r="E284" s="98">
        <v>68</v>
      </c>
      <c r="G284" s="88" t="s">
        <v>105</v>
      </c>
      <c r="H284" s="2"/>
      <c r="I284" s="2"/>
      <c r="J284" s="98">
        <v>42</v>
      </c>
      <c r="L284" s="88" t="s">
        <v>105</v>
      </c>
      <c r="M284" s="2"/>
      <c r="N284" s="2"/>
      <c r="O284" s="98">
        <v>66</v>
      </c>
    </row>
    <row r="285" spans="2:15" ht="15.6" thickTop="1" thickBot="1" x14ac:dyDescent="0.35">
      <c r="B285" s="178" t="s">
        <v>39</v>
      </c>
      <c r="C285" s="90"/>
      <c r="D285" s="90"/>
      <c r="E285" s="176"/>
      <c r="G285" s="178" t="s">
        <v>39</v>
      </c>
      <c r="H285" s="90"/>
      <c r="I285" s="90"/>
      <c r="J285" s="176"/>
      <c r="L285" s="178" t="s">
        <v>39</v>
      </c>
      <c r="M285" s="90"/>
      <c r="N285" s="90"/>
      <c r="O285" s="176"/>
    </row>
    <row r="286" spans="2:15" ht="15" thickTop="1" x14ac:dyDescent="0.3">
      <c r="B286" s="88" t="s">
        <v>101</v>
      </c>
      <c r="C286" s="2"/>
      <c r="D286" s="2"/>
      <c r="E286" s="97">
        <v>17001.570000000007</v>
      </c>
      <c r="G286" s="88" t="s">
        <v>101</v>
      </c>
      <c r="H286" s="2"/>
      <c r="I286" s="2"/>
      <c r="J286" s="97">
        <v>17768.240000000005</v>
      </c>
      <c r="L286" s="88" t="s">
        <v>101</v>
      </c>
      <c r="M286" s="2"/>
      <c r="N286" s="2"/>
      <c r="O286" s="97">
        <v>18383.240000000005</v>
      </c>
    </row>
    <row r="287" spans="2:15" x14ac:dyDescent="0.3">
      <c r="B287" s="88" t="s">
        <v>104</v>
      </c>
      <c r="C287" s="2"/>
      <c r="D287" s="2"/>
      <c r="E287" s="98">
        <v>973.34</v>
      </c>
      <c r="G287" s="88" t="s">
        <v>104</v>
      </c>
      <c r="H287" s="2"/>
      <c r="I287" s="2"/>
      <c r="J287" s="98">
        <v>691.67000000000007</v>
      </c>
      <c r="L287" s="88" t="s">
        <v>104</v>
      </c>
      <c r="M287" s="2"/>
      <c r="N287" s="2"/>
      <c r="O287" s="98">
        <v>1306.67</v>
      </c>
    </row>
    <row r="288" spans="2:15" ht="15" thickBot="1" x14ac:dyDescent="0.35">
      <c r="B288" s="102" t="s">
        <v>95</v>
      </c>
      <c r="C288" s="101"/>
      <c r="D288" s="92"/>
      <c r="E288" s="100">
        <v>4288.429999999993</v>
      </c>
      <c r="G288" s="102" t="s">
        <v>95</v>
      </c>
      <c r="H288" s="101"/>
      <c r="I288" s="92"/>
      <c r="J288" s="100">
        <v>4621.7599999999948</v>
      </c>
      <c r="L288" s="102" t="s">
        <v>95</v>
      </c>
      <c r="M288" s="101"/>
      <c r="N288" s="92"/>
      <c r="O288" s="100">
        <v>5206.7599999999948</v>
      </c>
    </row>
    <row r="289" spans="2:15" ht="15" thickTop="1" x14ac:dyDescent="0.3">
      <c r="B289" s="88" t="s">
        <v>102</v>
      </c>
      <c r="C289" s="2"/>
      <c r="D289" s="2"/>
      <c r="E289" s="97">
        <v>1620.6</v>
      </c>
      <c r="G289" s="88" t="s">
        <v>102</v>
      </c>
      <c r="H289" s="2"/>
      <c r="I289" s="2"/>
      <c r="J289" s="97">
        <v>1721.6</v>
      </c>
      <c r="L289" s="88" t="s">
        <v>102</v>
      </c>
      <c r="M289" s="2"/>
      <c r="N289" s="2"/>
      <c r="O289" s="97">
        <v>1750.6</v>
      </c>
    </row>
    <row r="290" spans="2:15" x14ac:dyDescent="0.3">
      <c r="B290" s="88" t="s">
        <v>106</v>
      </c>
      <c r="C290" s="2"/>
      <c r="D290" s="2"/>
      <c r="E290" s="98">
        <v>130</v>
      </c>
      <c r="G290" s="88" t="s">
        <v>106</v>
      </c>
      <c r="H290" s="2"/>
      <c r="I290" s="2"/>
      <c r="J290" s="98">
        <v>98</v>
      </c>
      <c r="L290" s="88" t="s">
        <v>106</v>
      </c>
      <c r="M290" s="2"/>
      <c r="N290" s="2"/>
      <c r="O290" s="98">
        <v>127</v>
      </c>
    </row>
    <row r="291" spans="2:15" ht="15" thickBot="1" x14ac:dyDescent="0.35">
      <c r="B291" s="102" t="s">
        <v>98</v>
      </c>
      <c r="C291" s="92"/>
      <c r="D291" s="92"/>
      <c r="E291" s="100">
        <v>732</v>
      </c>
      <c r="G291" s="102" t="s">
        <v>98</v>
      </c>
      <c r="H291" s="92"/>
      <c r="I291" s="92"/>
      <c r="J291" s="100">
        <v>681</v>
      </c>
      <c r="L291" s="102" t="s">
        <v>98</v>
      </c>
      <c r="M291" s="92"/>
      <c r="N291" s="92"/>
      <c r="O291" s="100">
        <v>676</v>
      </c>
    </row>
    <row r="292" spans="2:15" ht="15.6" thickTop="1" thickBot="1" x14ac:dyDescent="0.35">
      <c r="B292" s="89" t="s">
        <v>228</v>
      </c>
      <c r="C292" s="179"/>
      <c r="D292" s="90"/>
      <c r="E292" s="183"/>
      <c r="G292" s="89" t="s">
        <v>228</v>
      </c>
      <c r="H292" s="179"/>
      <c r="I292" s="90"/>
      <c r="J292" s="183"/>
      <c r="L292" s="89" t="s">
        <v>228</v>
      </c>
      <c r="M292" s="179"/>
      <c r="N292" s="90"/>
      <c r="O292" s="183"/>
    </row>
    <row r="293" spans="2:15" ht="15" thickTop="1" x14ac:dyDescent="0.3">
      <c r="B293" s="88" t="s">
        <v>229</v>
      </c>
      <c r="C293" s="171"/>
      <c r="D293" s="2"/>
      <c r="E293" s="99">
        <v>184.69999999999996</v>
      </c>
      <c r="G293" s="88" t="s">
        <v>229</v>
      </c>
      <c r="H293" s="171"/>
      <c r="I293" s="2"/>
      <c r="J293" s="99">
        <v>184.69999999999996</v>
      </c>
      <c r="L293" s="88" t="s">
        <v>229</v>
      </c>
      <c r="M293" s="171"/>
      <c r="N293" s="2"/>
      <c r="O293" s="99">
        <v>184.69999999999996</v>
      </c>
    </row>
    <row r="294" spans="2:15" x14ac:dyDescent="0.3">
      <c r="B294" s="88" t="s">
        <v>249</v>
      </c>
      <c r="C294" s="180"/>
      <c r="D294" s="181"/>
      <c r="E294" s="97">
        <v>450</v>
      </c>
      <c r="G294" s="88" t="s">
        <v>249</v>
      </c>
      <c r="H294" s="180"/>
      <c r="I294" s="181"/>
      <c r="J294" s="97">
        <v>450</v>
      </c>
      <c r="L294" s="88" t="s">
        <v>249</v>
      </c>
      <c r="M294" s="180"/>
      <c r="N294" s="181"/>
      <c r="O294" s="97">
        <v>450</v>
      </c>
    </row>
    <row r="295" spans="2:15" x14ac:dyDescent="0.3">
      <c r="B295" s="88" t="s">
        <v>248</v>
      </c>
      <c r="C295" s="180"/>
      <c r="D295" s="181"/>
      <c r="E295" s="97">
        <v>88</v>
      </c>
      <c r="G295" s="88" t="s">
        <v>248</v>
      </c>
      <c r="H295" s="180"/>
      <c r="I295" s="181"/>
      <c r="J295" s="97">
        <v>88</v>
      </c>
      <c r="L295" s="88" t="s">
        <v>248</v>
      </c>
      <c r="M295" s="180"/>
      <c r="N295" s="181"/>
      <c r="O295" s="97">
        <v>88</v>
      </c>
    </row>
    <row r="296" spans="2:15" x14ac:dyDescent="0.3">
      <c r="B296" s="88" t="s">
        <v>93</v>
      </c>
      <c r="C296" s="2"/>
      <c r="D296" s="2"/>
      <c r="E296" s="96">
        <v>3570</v>
      </c>
      <c r="G296" s="88" t="s">
        <v>93</v>
      </c>
      <c r="H296" s="2"/>
      <c r="I296" s="2"/>
      <c r="J296" s="96">
        <v>3570</v>
      </c>
      <c r="L296" s="88" t="s">
        <v>93</v>
      </c>
      <c r="M296" s="2"/>
      <c r="N296" s="2"/>
      <c r="O296" s="96">
        <v>3700</v>
      </c>
    </row>
    <row r="297" spans="2:15" x14ac:dyDescent="0.3">
      <c r="B297" s="88" t="s">
        <v>100</v>
      </c>
      <c r="C297" s="2"/>
      <c r="D297" s="2"/>
      <c r="E297" s="95">
        <v>274.61538461538464</v>
      </c>
      <c r="G297" s="88" t="s">
        <v>100</v>
      </c>
      <c r="H297" s="2"/>
      <c r="I297" s="2"/>
      <c r="J297" s="95">
        <v>274.61538461538464</v>
      </c>
      <c r="L297" s="88" t="s">
        <v>100</v>
      </c>
      <c r="M297" s="2"/>
      <c r="N297" s="2"/>
      <c r="O297" s="95">
        <v>284.61538461538464</v>
      </c>
    </row>
    <row r="298" spans="2:15" x14ac:dyDescent="0.3">
      <c r="B298" s="88" t="s">
        <v>236</v>
      </c>
      <c r="C298" s="2"/>
      <c r="D298" s="2"/>
      <c r="E298" s="96">
        <v>1999.3</v>
      </c>
      <c r="G298" s="88" t="s">
        <v>236</v>
      </c>
      <c r="H298" s="2"/>
      <c r="I298" s="2"/>
      <c r="J298" s="96">
        <v>2049.2999999999997</v>
      </c>
      <c r="L298" s="88" t="s">
        <v>236</v>
      </c>
      <c r="M298" s="2"/>
      <c r="N298" s="2"/>
      <c r="O298" s="96">
        <v>2073.2999999999997</v>
      </c>
    </row>
    <row r="299" spans="2:15" ht="15" thickBot="1" x14ac:dyDescent="0.35">
      <c r="B299" s="88" t="s">
        <v>96</v>
      </c>
      <c r="C299" s="2"/>
      <c r="D299" s="182"/>
      <c r="E299" s="187">
        <v>353.8900000000001</v>
      </c>
      <c r="G299" s="88" t="s">
        <v>96</v>
      </c>
      <c r="H299" s="2"/>
      <c r="I299" s="182"/>
      <c r="J299" s="187">
        <v>523.55999999999995</v>
      </c>
      <c r="L299" s="88" t="s">
        <v>96</v>
      </c>
      <c r="M299" s="2"/>
      <c r="N299" s="182"/>
      <c r="O299" s="187">
        <v>17.559999999999945</v>
      </c>
    </row>
    <row r="300" spans="2:15" ht="15.6" thickTop="1" thickBot="1" x14ac:dyDescent="0.35">
      <c r="B300" s="93" t="s">
        <v>94</v>
      </c>
      <c r="C300" s="94"/>
      <c r="D300" s="184"/>
      <c r="E300" s="185">
        <v>5696.3199999999933</v>
      </c>
      <c r="G300" s="93" t="s">
        <v>94</v>
      </c>
      <c r="H300" s="94"/>
      <c r="I300" s="184"/>
      <c r="J300" s="185">
        <v>5826.3199999999943</v>
      </c>
      <c r="L300" s="93" t="s">
        <v>94</v>
      </c>
      <c r="M300" s="94"/>
      <c r="N300" s="184"/>
      <c r="O300" s="185">
        <v>5900.3199999999943</v>
      </c>
    </row>
    <row r="301" spans="2:15" ht="15.6" thickTop="1" thickBot="1" x14ac:dyDescent="0.35">
      <c r="B301" s="93" t="s">
        <v>99</v>
      </c>
      <c r="C301" s="94"/>
      <c r="D301" s="184"/>
      <c r="E301" s="196">
        <v>5569.3</v>
      </c>
      <c r="G301" s="93" t="s">
        <v>99</v>
      </c>
      <c r="H301" s="94"/>
      <c r="I301" s="184"/>
      <c r="J301" s="196">
        <v>5619.2999999999993</v>
      </c>
      <c r="L301" s="93" t="s">
        <v>99</v>
      </c>
      <c r="M301" s="94"/>
      <c r="N301" s="184"/>
      <c r="O301" s="196">
        <v>5773.2999999999993</v>
      </c>
    </row>
    <row r="302" spans="2:15" ht="15.6" thickTop="1" thickBot="1" x14ac:dyDescent="0.35"/>
    <row r="303" spans="2:15" ht="15.6" thickTop="1" thickBot="1" x14ac:dyDescent="0.35">
      <c r="B303" s="390" t="s">
        <v>92</v>
      </c>
      <c r="C303" s="397"/>
      <c r="D303" s="391"/>
      <c r="E303" s="111">
        <v>44788</v>
      </c>
      <c r="G303" s="390" t="s">
        <v>92</v>
      </c>
      <c r="H303" s="397"/>
      <c r="I303" s="391"/>
      <c r="J303" s="111">
        <v>44788</v>
      </c>
    </row>
    <row r="304" spans="2:15" ht="15.6" thickTop="1" thickBot="1" x14ac:dyDescent="0.35">
      <c r="B304" s="394"/>
      <c r="C304" s="398"/>
      <c r="D304" s="395"/>
      <c r="E304" s="111">
        <v>45791</v>
      </c>
      <c r="G304" s="394"/>
      <c r="H304" s="398"/>
      <c r="I304" s="395"/>
      <c r="J304" s="111">
        <v>45822</v>
      </c>
    </row>
    <row r="305" spans="2:10" ht="15.6" thickTop="1" thickBot="1" x14ac:dyDescent="0.35">
      <c r="B305" s="88" t="s">
        <v>91</v>
      </c>
      <c r="C305" s="2"/>
      <c r="D305" s="2"/>
      <c r="E305" s="170">
        <v>4810</v>
      </c>
      <c r="G305" s="88" t="s">
        <v>91</v>
      </c>
      <c r="H305" s="2"/>
      <c r="I305" s="2"/>
      <c r="J305" s="170">
        <v>5220</v>
      </c>
    </row>
    <row r="306" spans="2:10" ht="15.6" thickTop="1" thickBot="1" x14ac:dyDescent="0.35">
      <c r="B306" s="89" t="s">
        <v>169</v>
      </c>
      <c r="C306" s="90"/>
      <c r="D306" s="90"/>
      <c r="E306" s="176"/>
      <c r="G306" s="89" t="s">
        <v>169</v>
      </c>
      <c r="H306" s="90"/>
      <c r="I306" s="90"/>
      <c r="J306" s="176"/>
    </row>
    <row r="307" spans="2:10" ht="15" thickTop="1" x14ac:dyDescent="0.3">
      <c r="B307" s="174" t="s">
        <v>225</v>
      </c>
      <c r="C307" s="2"/>
      <c r="D307" s="2"/>
      <c r="E307" s="169">
        <v>24890</v>
      </c>
      <c r="G307" s="174" t="s">
        <v>225</v>
      </c>
      <c r="H307" s="2"/>
      <c r="I307" s="2"/>
      <c r="J307" s="169">
        <v>28430</v>
      </c>
    </row>
    <row r="308" spans="2:10" x14ac:dyDescent="0.3">
      <c r="B308" s="175" t="s">
        <v>226</v>
      </c>
      <c r="C308" s="2"/>
      <c r="D308" s="2"/>
      <c r="E308" s="97">
        <v>460</v>
      </c>
      <c r="G308" s="175" t="s">
        <v>226</v>
      </c>
      <c r="H308" s="2"/>
      <c r="I308" s="2"/>
      <c r="J308" s="97">
        <v>460</v>
      </c>
    </row>
    <row r="309" spans="2:10" x14ac:dyDescent="0.3">
      <c r="B309" s="88" t="s">
        <v>103</v>
      </c>
      <c r="C309" s="2"/>
      <c r="D309" s="2"/>
      <c r="E309" s="98">
        <v>1300</v>
      </c>
      <c r="G309" s="88" t="s">
        <v>103</v>
      </c>
      <c r="H309" s="2"/>
      <c r="I309" s="2"/>
      <c r="J309" s="98">
        <v>3540</v>
      </c>
    </row>
    <row r="310" spans="2:10" x14ac:dyDescent="0.3">
      <c r="B310" s="175" t="s">
        <v>227</v>
      </c>
      <c r="C310" s="2"/>
      <c r="D310" s="2"/>
      <c r="E310" s="177">
        <v>2532.6</v>
      </c>
      <c r="G310" s="175" t="s">
        <v>227</v>
      </c>
      <c r="H310" s="2"/>
      <c r="I310" s="2"/>
      <c r="J310" s="177">
        <v>3319.4</v>
      </c>
    </row>
    <row r="311" spans="2:10" ht="15" thickBot="1" x14ac:dyDescent="0.35">
      <c r="B311" s="88" t="s">
        <v>105</v>
      </c>
      <c r="C311" s="2"/>
      <c r="D311" s="2"/>
      <c r="E311" s="98">
        <v>106</v>
      </c>
      <c r="G311" s="88" t="s">
        <v>105</v>
      </c>
      <c r="H311" s="2"/>
      <c r="I311" s="2"/>
      <c r="J311" s="98">
        <v>786.8</v>
      </c>
    </row>
    <row r="312" spans="2:10" ht="15.6" thickTop="1" thickBot="1" x14ac:dyDescent="0.35">
      <c r="B312" s="178" t="s">
        <v>39</v>
      </c>
      <c r="C312" s="90"/>
      <c r="D312" s="90"/>
      <c r="E312" s="176"/>
      <c r="G312" s="178" t="s">
        <v>39</v>
      </c>
      <c r="H312" s="90"/>
      <c r="I312" s="90"/>
      <c r="J312" s="176"/>
    </row>
    <row r="313" spans="2:10" ht="15" thickTop="1" x14ac:dyDescent="0.3">
      <c r="B313" s="88" t="s">
        <v>101</v>
      </c>
      <c r="C313" s="2"/>
      <c r="D313" s="2"/>
      <c r="E313" s="97">
        <v>20464.910000000003</v>
      </c>
      <c r="G313" s="88" t="s">
        <v>101</v>
      </c>
      <c r="H313" s="2"/>
      <c r="I313" s="2"/>
      <c r="J313" s="97">
        <v>21879.910000000003</v>
      </c>
    </row>
    <row r="314" spans="2:10" x14ac:dyDescent="0.3">
      <c r="B314" s="88" t="s">
        <v>104</v>
      </c>
      <c r="C314" s="2"/>
      <c r="D314" s="2"/>
      <c r="E314" s="98">
        <v>2081.67</v>
      </c>
      <c r="G314" s="88" t="s">
        <v>104</v>
      </c>
      <c r="H314" s="2"/>
      <c r="I314" s="2"/>
      <c r="J314" s="98">
        <v>1415</v>
      </c>
    </row>
    <row r="315" spans="2:10" ht="15" thickBot="1" x14ac:dyDescent="0.35">
      <c r="B315" s="102" t="s">
        <v>95</v>
      </c>
      <c r="C315" s="101"/>
      <c r="D315" s="92"/>
      <c r="E315" s="100">
        <v>4425.0899999999965</v>
      </c>
      <c r="G315" s="102" t="s">
        <v>95</v>
      </c>
      <c r="H315" s="101"/>
      <c r="I315" s="92"/>
      <c r="J315" s="100">
        <v>6550.0899999999965</v>
      </c>
    </row>
    <row r="316" spans="2:10" ht="15" thickTop="1" x14ac:dyDescent="0.3">
      <c r="B316" s="88" t="s">
        <v>102</v>
      </c>
      <c r="C316" s="2"/>
      <c r="D316" s="2"/>
      <c r="E316" s="97">
        <v>1968.6</v>
      </c>
      <c r="G316" s="88" t="s">
        <v>102</v>
      </c>
      <c r="H316" s="2"/>
      <c r="I316" s="2"/>
      <c r="J316" s="97">
        <v>2126.6</v>
      </c>
    </row>
    <row r="317" spans="2:10" x14ac:dyDescent="0.3">
      <c r="B317" s="88" t="s">
        <v>106</v>
      </c>
      <c r="C317" s="2"/>
      <c r="D317" s="2"/>
      <c r="E317" s="98">
        <v>128</v>
      </c>
      <c r="G317" s="88" t="s">
        <v>106</v>
      </c>
      <c r="H317" s="2"/>
      <c r="I317" s="2"/>
      <c r="J317" s="98">
        <v>138</v>
      </c>
    </row>
    <row r="318" spans="2:10" ht="15" thickBot="1" x14ac:dyDescent="0.35">
      <c r="B318" s="102" t="s">
        <v>98</v>
      </c>
      <c r="C318" s="92"/>
      <c r="D318" s="92"/>
      <c r="E318" s="100">
        <v>564</v>
      </c>
      <c r="G318" s="102" t="s">
        <v>98</v>
      </c>
      <c r="H318" s="92"/>
      <c r="I318" s="92"/>
      <c r="J318" s="100">
        <v>1192.8000000000002</v>
      </c>
    </row>
    <row r="319" spans="2:10" ht="15.6" thickTop="1" thickBot="1" x14ac:dyDescent="0.35">
      <c r="B319" s="89" t="s">
        <v>228</v>
      </c>
      <c r="C319" s="179"/>
      <c r="D319" s="90"/>
      <c r="E319" s="183"/>
      <c r="G319" s="89" t="s">
        <v>228</v>
      </c>
      <c r="H319" s="179"/>
      <c r="I319" s="90"/>
      <c r="J319" s="183"/>
    </row>
    <row r="320" spans="2:10" ht="15" thickTop="1" x14ac:dyDescent="0.3">
      <c r="B320" s="88" t="s">
        <v>229</v>
      </c>
      <c r="C320" s="171"/>
      <c r="D320" s="2"/>
      <c r="E320" s="99">
        <v>184.69999999999996</v>
      </c>
      <c r="G320" s="88" t="s">
        <v>229</v>
      </c>
      <c r="H320" s="171"/>
      <c r="I320" s="2"/>
      <c r="J320" s="99">
        <v>184.69999999999996</v>
      </c>
    </row>
    <row r="321" spans="2:10" x14ac:dyDescent="0.3">
      <c r="B321" s="88" t="s">
        <v>249</v>
      </c>
      <c r="C321" s="180"/>
      <c r="D321" s="181"/>
      <c r="E321" s="97">
        <v>450</v>
      </c>
      <c r="G321" s="88" t="s">
        <v>249</v>
      </c>
      <c r="H321" s="180"/>
      <c r="I321" s="181"/>
      <c r="J321" s="97">
        <v>450</v>
      </c>
    </row>
    <row r="322" spans="2:10" x14ac:dyDescent="0.3">
      <c r="B322" s="88" t="s">
        <v>248</v>
      </c>
      <c r="C322" s="180"/>
      <c r="D322" s="181"/>
      <c r="E322" s="97">
        <v>98</v>
      </c>
      <c r="G322" s="88" t="s">
        <v>248</v>
      </c>
      <c r="H322" s="180"/>
      <c r="I322" s="181"/>
      <c r="J322" s="97">
        <v>118</v>
      </c>
    </row>
    <row r="323" spans="2:10" x14ac:dyDescent="0.3">
      <c r="B323" s="88" t="s">
        <v>93</v>
      </c>
      <c r="C323" s="2"/>
      <c r="D323" s="2"/>
      <c r="E323" s="96">
        <v>4350</v>
      </c>
      <c r="G323" s="88" t="s">
        <v>93</v>
      </c>
      <c r="H323" s="2"/>
      <c r="I323" s="2"/>
      <c r="J323" s="96">
        <v>4760</v>
      </c>
    </row>
    <row r="324" spans="2:10" x14ac:dyDescent="0.3">
      <c r="B324" s="88" t="s">
        <v>100</v>
      </c>
      <c r="C324" s="2"/>
      <c r="D324" s="2"/>
      <c r="E324" s="95">
        <v>255.88235294117646</v>
      </c>
      <c r="G324" s="88" t="s">
        <v>100</v>
      </c>
      <c r="H324" s="2"/>
      <c r="I324" s="2"/>
      <c r="J324" s="95">
        <v>280</v>
      </c>
    </row>
    <row r="325" spans="2:10" x14ac:dyDescent="0.3">
      <c r="B325" s="88" t="s">
        <v>236</v>
      </c>
      <c r="C325" s="2"/>
      <c r="D325" s="2"/>
      <c r="E325" s="96">
        <v>2169.2999999999997</v>
      </c>
      <c r="G325" s="88" t="s">
        <v>236</v>
      </c>
      <c r="H325" s="2"/>
      <c r="I325" s="2"/>
      <c r="J325" s="96">
        <v>2936.1</v>
      </c>
    </row>
    <row r="326" spans="2:10" ht="15" thickBot="1" x14ac:dyDescent="0.35">
      <c r="B326" s="88" t="s">
        <v>96</v>
      </c>
      <c r="C326" s="2"/>
      <c r="D326" s="182"/>
      <c r="E326" s="187">
        <v>1577.23</v>
      </c>
      <c r="G326" s="88" t="s">
        <v>96</v>
      </c>
      <c r="H326" s="2"/>
      <c r="I326" s="182"/>
      <c r="J326" s="187">
        <v>70.23</v>
      </c>
    </row>
    <row r="327" spans="2:10" ht="15.6" thickTop="1" thickBot="1" x14ac:dyDescent="0.35">
      <c r="B327" s="93" t="s">
        <v>94</v>
      </c>
      <c r="C327" s="94"/>
      <c r="D327" s="184"/>
      <c r="E327" s="185">
        <v>6519.2999999999993</v>
      </c>
      <c r="G327" s="93" t="s">
        <v>94</v>
      </c>
      <c r="H327" s="94"/>
      <c r="I327" s="184"/>
      <c r="J327" s="185">
        <v>7696.1</v>
      </c>
    </row>
    <row r="328" spans="2:10" ht="15.6" thickTop="1" thickBot="1" x14ac:dyDescent="0.35">
      <c r="B328" s="93" t="s">
        <v>99</v>
      </c>
      <c r="C328" s="94"/>
      <c r="D328" s="184"/>
      <c r="E328" s="196">
        <v>6566.3199999999961</v>
      </c>
      <c r="G328" s="93" t="s">
        <v>99</v>
      </c>
      <c r="H328" s="94"/>
      <c r="I328" s="184"/>
      <c r="J328" s="196">
        <v>7743.1199999999972</v>
      </c>
    </row>
    <row r="329" spans="2:10" ht="15" thickTop="1" x14ac:dyDescent="0.3"/>
  </sheetData>
  <mergeCells count="36">
    <mergeCell ref="B2:O4"/>
    <mergeCell ref="B6:D7"/>
    <mergeCell ref="G6:I7"/>
    <mergeCell ref="L6:N7"/>
    <mergeCell ref="B33:D34"/>
    <mergeCell ref="G33:I34"/>
    <mergeCell ref="L33:N34"/>
    <mergeCell ref="B60:D61"/>
    <mergeCell ref="G60:I61"/>
    <mergeCell ref="L60:N61"/>
    <mergeCell ref="B87:D88"/>
    <mergeCell ref="G87:I88"/>
    <mergeCell ref="L87:N88"/>
    <mergeCell ref="B114:D115"/>
    <mergeCell ref="G114:I115"/>
    <mergeCell ref="L114:N115"/>
    <mergeCell ref="B141:D142"/>
    <mergeCell ref="G141:I142"/>
    <mergeCell ref="L141:N142"/>
    <mergeCell ref="B168:D169"/>
    <mergeCell ref="G168:I169"/>
    <mergeCell ref="L168:N169"/>
    <mergeCell ref="B195:D196"/>
    <mergeCell ref="G195:I196"/>
    <mergeCell ref="L195:N196"/>
    <mergeCell ref="B222:D223"/>
    <mergeCell ref="G222:I223"/>
    <mergeCell ref="L222:N223"/>
    <mergeCell ref="B249:D250"/>
    <mergeCell ref="G249:I250"/>
    <mergeCell ref="L249:N250"/>
    <mergeCell ref="B276:D277"/>
    <mergeCell ref="G276:I277"/>
    <mergeCell ref="L276:N277"/>
    <mergeCell ref="B303:D304"/>
    <mergeCell ref="G303:I30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222" customWidth="1"/>
    <col min="6" max="6" width="8.33203125" bestFit="1" customWidth="1"/>
    <col min="7" max="7" width="9" style="222" bestFit="1" customWidth="1"/>
    <col min="8" max="8" width="8" style="222" bestFit="1" customWidth="1"/>
    <col min="9" max="9" width="8.33203125" style="222" bestFit="1" customWidth="1"/>
    <col min="10" max="10" width="9.88671875" style="222" bestFit="1" customWidth="1"/>
    <col min="11" max="11" width="10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2000</v>
      </c>
      <c r="H3" s="132" t="s">
        <v>177</v>
      </c>
      <c r="I3" s="150">
        <f>SUM($P$7:$P$1048576)</f>
        <v>200</v>
      </c>
      <c r="J3" s="132" t="s">
        <v>178</v>
      </c>
      <c r="K3" s="151">
        <f>G3+I3</f>
        <v>2200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5" t="s">
        <v>165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7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344</v>
      </c>
      <c r="C7" s="45" t="s">
        <v>339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368</v>
      </c>
      <c r="C8" s="45" t="s">
        <v>339</v>
      </c>
      <c r="D8" s="41">
        <v>45792</v>
      </c>
      <c r="E8" s="219">
        <v>2000</v>
      </c>
      <c r="F8" s="45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219">
        <v>2480</v>
      </c>
      <c r="N8" s="110">
        <f>SUMIFS(PAGOS!$E$3:$E$1048576,PAGOS!$A$3:$A$1048576,"&lt;&gt;INGRESO*",PAGOS!$A$3:$A$1048576,"&lt;&gt;EGRESO*",PAGOS!$D$3:$D$1048576,+MID('17'!B8,6,3)*1)</f>
        <v>833.34999999999991</v>
      </c>
      <c r="O8" s="110">
        <f t="shared" ref="O8" si="2">E8-N8</f>
        <v>1166.6500000000001</v>
      </c>
      <c r="P8" s="110">
        <f>SUMIFS(PAGOS!$H$3:$H$1048576,PAGOS!$A$3:$A$1048576,"&lt;&gt;INGRESO*",PAGOS!$A$3:$A$1048576,"&lt;&gt;EGRESO*",PAGOS!$D$3:$D$1048576,+MID('17'!B8,6,3)*1)</f>
        <v>200</v>
      </c>
      <c r="Q8" s="110">
        <f t="shared" ref="Q8" si="3">K8-P8</f>
        <v>280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P12" sqref="P12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59" bestFit="1" customWidth="1"/>
    <col min="6" max="6" width="8.44140625" style="222" bestFit="1" customWidth="1"/>
    <col min="7" max="7" width="8" style="223" bestFit="1" customWidth="1"/>
    <col min="8" max="9" width="8.33203125" style="222" bestFit="1" customWidth="1"/>
    <col min="10" max="10" width="8.6640625" style="222" bestFit="1" customWidth="1"/>
    <col min="11" max="11" width="10.33203125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600</v>
      </c>
      <c r="H3" s="132" t="s">
        <v>177</v>
      </c>
      <c r="I3" s="150">
        <f>SUM($P$7:$P$1048576)</f>
        <v>12</v>
      </c>
      <c r="J3" s="132" t="s">
        <v>178</v>
      </c>
      <c r="K3" s="151">
        <f>G3+I3</f>
        <v>612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166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9">_xlfn.SEQUENCE(COUNTA(C7:C1048576))</f>
        <v>1</v>
      </c>
      <c r="B7" s="45" t="s">
        <v>346</v>
      </c>
      <c r="C7" s="45" t="s">
        <v>340</v>
      </c>
      <c r="D7" s="41">
        <v>45762</v>
      </c>
      <c r="E7" s="11">
        <v>0</v>
      </c>
      <c r="F7" s="11">
        <v>1</v>
      </c>
      <c r="G7" s="248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443</v>
      </c>
      <c r="C8" s="45" t="s">
        <v>340</v>
      </c>
      <c r="D8" s="41">
        <v>45884</v>
      </c>
      <c r="E8" s="11">
        <v>200</v>
      </c>
      <c r="F8" s="11">
        <v>4</v>
      </c>
      <c r="G8" s="248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SUMIFS(PAGOS!$E$3:$E$1048576,PAGOS!$A$3:$A$1048576,"&lt;&gt;INGRESO*",PAGOS!$A$3:$A$1048576,"&lt;&gt;EGRESO*",PAGOS!$D$3:$D$1048576,+MID('18'!B8,6,3)*1)</f>
        <v>200</v>
      </c>
      <c r="O8" s="110">
        <f t="shared" ref="O8" si="2">E8-N8</f>
        <v>0</v>
      </c>
      <c r="P8" s="110">
        <f>SUMIFS(PAGOS!$H$3:$H$1048576,PAGOS!$A$3:$A$1048576,"&lt;&gt;INGRESO*",PAGOS!$A$3:$A$1048576,"&lt;&gt;EGRESO*",PAGOS!$D$3:$D$1048576,+MID('18'!B8,6,3)*1)</f>
        <v>12</v>
      </c>
      <c r="Q8" s="110">
        <f t="shared" ref="Q8" si="3">K8-P8</f>
        <v>4</v>
      </c>
    </row>
    <row r="9" spans="1:17" x14ac:dyDescent="0.3">
      <c r="A9" s="45">
        <v>3</v>
      </c>
      <c r="B9" s="45" t="s">
        <v>522</v>
      </c>
      <c r="C9" s="45" t="s">
        <v>340</v>
      </c>
      <c r="D9" s="41">
        <v>45945</v>
      </c>
      <c r="E9" s="11">
        <v>400</v>
      </c>
      <c r="F9" s="11">
        <v>4</v>
      </c>
      <c r="G9" s="248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110">
        <f>SUMIFS(PAGOS!$E$3:$E$1048576,PAGOS!$A$3:$A$1048576,"&lt;&gt;INGRESO*",PAGOS!$A$3:$A$1048576,"&lt;&gt;EGRESO*",PAGOS!$D$3:$D$1048576,+MID('18'!B9,6,3)*1)</f>
        <v>0</v>
      </c>
      <c r="O9" s="110">
        <f t="shared" ref="O9" si="4">E9-N9</f>
        <v>400</v>
      </c>
      <c r="P9" s="110">
        <f>SUMIFS(PAGOS!$H$3:$H$1048576,PAGOS!$A$3:$A$1048576,"&lt;&gt;INGRESO*",PAGOS!$A$3:$A$1048576,"&lt;&gt;EGRESO*",PAGOS!$D$3:$D$1048576,+MID('18'!B9,6,3)*1)</f>
        <v>0</v>
      </c>
      <c r="Q9" s="110">
        <f t="shared" ref="Q9" si="5">K9-P9</f>
        <v>32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B1" sqref="B1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222" bestFit="1" customWidth="1"/>
    <col min="6" max="6" width="8.33203125" bestFit="1" customWidth="1"/>
    <col min="7" max="7" width="7.88671875" style="222" bestFit="1" customWidth="1"/>
    <col min="8" max="8" width="8.109375" style="222" bestFit="1" customWidth="1"/>
    <col min="9" max="9" width="7.44140625" style="222" bestFit="1" customWidth="1"/>
    <col min="10" max="10" width="8.5546875" style="222" bestFit="1" customWidth="1"/>
    <col min="11" max="11" width="10.109375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">_xlfn.SEQUENCE(COUNTA(C7:C1048576))</f>
        <v>1</v>
      </c>
      <c r="B7" s="45" t="s">
        <v>348</v>
      </c>
      <c r="C7" s="45" t="s">
        <v>341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167</v>
      </c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221" t="e" cm="1" vm="1">
        <f t="array" ref="A7">"000"&amp;_xlfn.SEQUENCE(COUNTA(C7:C1048576))</f>
        <v>#VALUE!</v>
      </c>
      <c r="B7" s="226"/>
      <c r="C7" s="221"/>
      <c r="D7" s="225"/>
      <c r="E7" s="224"/>
      <c r="F7" s="221"/>
      <c r="G7" s="224"/>
      <c r="H7" s="224"/>
      <c r="I7" s="227"/>
      <c r="J7" s="224"/>
      <c r="K7" s="224"/>
      <c r="L7" s="230"/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220"/>
      <c r="B8" s="220"/>
      <c r="C8" s="220"/>
      <c r="D8" s="228"/>
      <c r="E8" s="229"/>
      <c r="F8" s="220"/>
      <c r="G8" s="220"/>
      <c r="H8" s="220"/>
      <c r="I8" s="220"/>
      <c r="J8" s="220"/>
      <c r="K8" s="220"/>
      <c r="L8" s="229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1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45966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C6*E3</f>
        <v>1.06</v>
      </c>
      <c r="F4" s="137"/>
    </row>
    <row r="5" spans="2:6" x14ac:dyDescent="0.3">
      <c r="B5" s="132" t="s">
        <v>170</v>
      </c>
      <c r="C5" s="313">
        <v>97</v>
      </c>
      <c r="D5" s="132" t="s">
        <v>147</v>
      </c>
      <c r="E5" s="138">
        <f>C6/C7</f>
        <v>26.5</v>
      </c>
      <c r="F5" s="139"/>
    </row>
    <row r="6" spans="2:6" x14ac:dyDescent="0.3">
      <c r="B6" s="132" t="s">
        <v>146</v>
      </c>
      <c r="C6" s="145">
        <v>53</v>
      </c>
      <c r="D6" s="132" t="s">
        <v>149</v>
      </c>
      <c r="E6" s="141">
        <f>E4+E5</f>
        <v>27.56</v>
      </c>
      <c r="F6" s="142"/>
    </row>
    <row r="7" spans="2:6" x14ac:dyDescent="0.3">
      <c r="B7" s="132" t="s">
        <v>148</v>
      </c>
      <c r="C7" s="140">
        <v>2</v>
      </c>
      <c r="D7" s="132" t="s">
        <v>150</v>
      </c>
      <c r="E7" s="146">
        <f>(E6)*C7</f>
        <v>55.12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425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0" spans="3:5" x14ac:dyDescent="0.3">
      <c r="C20" t="s">
        <v>171</v>
      </c>
      <c r="E20" t="s">
        <v>171</v>
      </c>
    </row>
    <row r="21" spans="3:5" x14ac:dyDescent="0.3">
      <c r="C21" t="s">
        <v>172</v>
      </c>
      <c r="E21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1"/>
  <sheetViews>
    <sheetView topLeftCell="A2" workbookViewId="0">
      <selection activeCell="B12" sqref="B12:F21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45870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C6*E3</f>
        <v>4</v>
      </c>
      <c r="F4" s="137"/>
    </row>
    <row r="5" spans="2:6" x14ac:dyDescent="0.3">
      <c r="B5" s="132" t="s">
        <v>170</v>
      </c>
      <c r="C5" s="144">
        <v>76</v>
      </c>
      <c r="D5" s="132" t="s">
        <v>147</v>
      </c>
      <c r="E5" s="138">
        <f>C6/C7</f>
        <v>100</v>
      </c>
      <c r="F5" s="139"/>
    </row>
    <row r="6" spans="2:6" x14ac:dyDescent="0.3">
      <c r="B6" s="132" t="s">
        <v>146</v>
      </c>
      <c r="C6" s="145">
        <v>200</v>
      </c>
      <c r="D6" s="132" t="s">
        <v>149</v>
      </c>
      <c r="E6" s="141">
        <f>E4+E5</f>
        <v>104</v>
      </c>
      <c r="F6" s="142"/>
    </row>
    <row r="7" spans="2:6" x14ac:dyDescent="0.3">
      <c r="B7" s="132" t="s">
        <v>148</v>
      </c>
      <c r="C7" s="140">
        <v>2</v>
      </c>
      <c r="D7" s="132" t="s">
        <v>150</v>
      </c>
      <c r="E7" s="146">
        <f>(E6)*C7</f>
        <v>208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425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0" spans="3:5" x14ac:dyDescent="0.3">
      <c r="C20" t="s">
        <v>171</v>
      </c>
      <c r="E20" t="s">
        <v>171</v>
      </c>
    </row>
    <row r="21" spans="3:5" x14ac:dyDescent="0.3">
      <c r="C21" t="s">
        <v>172</v>
      </c>
      <c r="E21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59" bestFit="1" customWidth="1"/>
    <col min="6" max="6" width="11.109375" customWidth="1"/>
    <col min="7" max="8" width="11" style="159" bestFit="1" customWidth="1"/>
    <col min="9" max="9" width="11" style="160" bestFit="1" customWidth="1"/>
    <col min="10" max="11" width="15.44140625" style="159" customWidth="1"/>
    <col min="12" max="12" width="13.5546875" style="159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1500</v>
      </c>
      <c r="H3" s="132" t="s">
        <v>177</v>
      </c>
      <c r="I3" s="150">
        <f>SUM($P$7:$P$1048576)</f>
        <v>108</v>
      </c>
      <c r="J3" s="132" t="s">
        <v>178</v>
      </c>
      <c r="K3" s="151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25" t="s">
        <v>1</v>
      </c>
      <c r="I5" s="32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6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45" t="s">
        <v>181</v>
      </c>
      <c r="C7" s="45" t="s">
        <v>12</v>
      </c>
      <c r="D7" s="41">
        <v>44910</v>
      </c>
      <c r="E7" s="197">
        <v>100</v>
      </c>
      <c r="F7" s="45">
        <v>4</v>
      </c>
      <c r="G7" s="197">
        <v>25</v>
      </c>
      <c r="H7" s="197">
        <v>2</v>
      </c>
      <c r="I7" s="198">
        <v>27</v>
      </c>
      <c r="J7" s="197">
        <v>100</v>
      </c>
      <c r="K7" s="197">
        <v>8</v>
      </c>
      <c r="L7" s="197">
        <v>108</v>
      </c>
      <c r="N7" s="110">
        <f>SUMIFS(PAGOS!$E$3:$E$1048576,PAGOS!$A$3:$A$1048576,"&lt;&gt;INGRESO*",PAGOS!$A$3:$A$1048576,"&lt;&gt;EGRESO*",PAGOS!$D$3:$D$1048576,+MID('04'!B7,6,3)*1)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SUMIFS(PAGOS!$H$3:$H$1048576,PAGOS!$A$3:$A$1048576,"&lt;&gt;INGRESO*",PAGOS!$A$3:$A$1048576,"&lt;&gt;EGRESO*",PAGOS!$D$3:$D$1048576,+MID('04'!B7,6,3)*1)</f>
        <v>8</v>
      </c>
      <c r="Q7" s="110">
        <f t="shared" ref="Q7:Q12" si="1">K7-P7</f>
        <v>0</v>
      </c>
    </row>
    <row r="8" spans="1:17" x14ac:dyDescent="0.3">
      <c r="A8" s="45">
        <v>2</v>
      </c>
      <c r="B8" s="45" t="s">
        <v>182</v>
      </c>
      <c r="C8" s="45" t="s">
        <v>12</v>
      </c>
      <c r="D8" s="41">
        <v>45031</v>
      </c>
      <c r="E8" s="197">
        <v>100</v>
      </c>
      <c r="F8" s="45">
        <v>4</v>
      </c>
      <c r="G8" s="197">
        <v>25</v>
      </c>
      <c r="H8" s="197">
        <v>2</v>
      </c>
      <c r="I8" s="198">
        <v>27</v>
      </c>
      <c r="J8" s="197">
        <v>100</v>
      </c>
      <c r="K8" s="197">
        <v>8</v>
      </c>
      <c r="L8" s="197">
        <v>108</v>
      </c>
      <c r="N8" s="110">
        <f>SUMIFS(PAGOS!$E$3:$E$1048576,PAGOS!$A$3:$A$1048576,"&lt;&gt;INGRESO*",PAGOS!$A$3:$A$1048576,"&lt;&gt;EGRESO*",PAGOS!$D$3:$D$1048576,+MID('04'!B8,6,3)*1)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SUMIFS(PAGOS!$H$3:$H$1048576,PAGOS!$A$3:$A$1048576,"&lt;&gt;INGRESO*",PAGOS!$A$3:$A$1048576,"&lt;&gt;EGRESO*",PAGOS!$D$3:$D$1048576,+MID('04'!B8,6,3)*1)</f>
        <v>8</v>
      </c>
      <c r="Q8" s="110">
        <f t="shared" si="1"/>
        <v>0</v>
      </c>
    </row>
    <row r="9" spans="1:17" x14ac:dyDescent="0.3">
      <c r="A9" s="45">
        <v>3</v>
      </c>
      <c r="B9" s="45" t="s">
        <v>183</v>
      </c>
      <c r="C9" s="45" t="s">
        <v>12</v>
      </c>
      <c r="D9" s="41">
        <v>45159</v>
      </c>
      <c r="E9" s="197">
        <v>100</v>
      </c>
      <c r="F9" s="45">
        <v>1</v>
      </c>
      <c r="G9" s="197">
        <v>100</v>
      </c>
      <c r="H9" s="197">
        <v>2</v>
      </c>
      <c r="I9" s="198">
        <v>102</v>
      </c>
      <c r="J9" s="197">
        <v>100</v>
      </c>
      <c r="K9" s="197">
        <v>2</v>
      </c>
      <c r="L9" s="197">
        <v>102</v>
      </c>
      <c r="N9" s="110">
        <f>SUMIFS(PAGOS!$E$3:$E$1048576,PAGOS!$A$3:$A$1048576,"&lt;&gt;INGRESO*",PAGOS!$A$3:$A$1048576,"&lt;&gt;EGRESO*",PAGOS!$D$3:$D$1048576,+MID('04'!B9,6,3)*1)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SUMIFS(PAGOS!$H$3:$H$1048576,PAGOS!$A$3:$A$1048576,"&lt;&gt;INGRESO*",PAGOS!$A$3:$A$1048576,"&lt;&gt;EGRESO*",PAGOS!$D$3:$D$1048576,+MID('04'!B9,6,3)*1)</f>
        <v>2</v>
      </c>
      <c r="Q9" s="110">
        <f t="shared" si="1"/>
        <v>0</v>
      </c>
    </row>
    <row r="10" spans="1:17" x14ac:dyDescent="0.3">
      <c r="A10" s="45">
        <v>4</v>
      </c>
      <c r="B10" s="45" t="s">
        <v>192</v>
      </c>
      <c r="C10" s="45" t="s">
        <v>12</v>
      </c>
      <c r="D10" s="41">
        <v>45341</v>
      </c>
      <c r="E10" s="11">
        <v>100</v>
      </c>
      <c r="F10" s="45">
        <v>4</v>
      </c>
      <c r="G10" s="11">
        <v>25</v>
      </c>
      <c r="H10" s="11">
        <v>2</v>
      </c>
      <c r="I10" s="199">
        <v>27</v>
      </c>
      <c r="J10" s="11">
        <v>100</v>
      </c>
      <c r="K10" s="11">
        <v>8</v>
      </c>
      <c r="L10" s="11">
        <v>108</v>
      </c>
      <c r="N10" s="110">
        <f>SUMIFS(PAGOS!$E$3:$E$1048576,PAGOS!$A$3:$A$1048576,"&lt;&gt;INGRESO*",PAGOS!$A$3:$A$1048576,"&lt;&gt;EGRESO*",PAGOS!$D$3:$D$1048576,+MID('04'!B10,6,3)*1)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SUMIFS(PAGOS!$H$3:$H$1048576,PAGOS!$A$3:$A$1048576,"&lt;&gt;INGRESO*",PAGOS!$A$3:$A$1048576,"&lt;&gt;EGRESO*",PAGOS!$D$3:$D$1048576,+MID('04'!B10,6,3)*1)</f>
        <v>8</v>
      </c>
      <c r="Q10" s="110">
        <f t="shared" si="1"/>
        <v>0</v>
      </c>
    </row>
    <row r="11" spans="1:17" x14ac:dyDescent="0.3">
      <c r="A11" s="45">
        <v>5</v>
      </c>
      <c r="B11" s="45" t="s">
        <v>224</v>
      </c>
      <c r="C11" s="45" t="s">
        <v>12</v>
      </c>
      <c r="D11" s="41">
        <v>45519</v>
      </c>
      <c r="E11" s="11">
        <v>300</v>
      </c>
      <c r="F11" s="45">
        <v>6</v>
      </c>
      <c r="G11" s="11">
        <v>50</v>
      </c>
      <c r="H11" s="11">
        <v>6</v>
      </c>
      <c r="I11" s="199">
        <v>56</v>
      </c>
      <c r="J11" s="11">
        <v>300</v>
      </c>
      <c r="K11" s="11">
        <v>36</v>
      </c>
      <c r="L11" s="11">
        <v>336</v>
      </c>
      <c r="N11" s="110">
        <f>SUMIFS(PAGOS!$E$3:$E$1048576,PAGOS!$A$3:$A$1048576,"&lt;&gt;INGRESO*",PAGOS!$A$3:$A$1048576,"&lt;&gt;EGRESO*",PAGOS!$D$3:$D$1048576,+MID('04'!B11,6,3)*1)</f>
        <v>300</v>
      </c>
      <c r="O11" s="110">
        <f t="shared" si="0"/>
        <v>0</v>
      </c>
      <c r="P11" s="110">
        <f>SUMIFS(PAGOS!$H$3:$H$1048576,PAGOS!$A$3:$A$1048576,"&lt;&gt;INGRESO*",PAGOS!$A$3:$A$1048576,"&lt;&gt;EGRESO*",PAGOS!$D$3:$D$1048576,+MID('04'!B11,6,3)*1)</f>
        <v>36</v>
      </c>
      <c r="Q11" s="110">
        <f t="shared" si="1"/>
        <v>0</v>
      </c>
    </row>
    <row r="12" spans="1:17" x14ac:dyDescent="0.3">
      <c r="A12" s="45">
        <v>6</v>
      </c>
      <c r="B12" s="45" t="s">
        <v>327</v>
      </c>
      <c r="C12" s="45" t="s">
        <v>12</v>
      </c>
      <c r="D12" s="41">
        <v>45731.834143518521</v>
      </c>
      <c r="E12" s="11">
        <v>700</v>
      </c>
      <c r="F12" s="45">
        <v>3</v>
      </c>
      <c r="G12" s="11">
        <v>233.33333333333334</v>
      </c>
      <c r="H12" s="11">
        <v>14</v>
      </c>
      <c r="I12" s="199">
        <v>247.33333333333334</v>
      </c>
      <c r="J12" s="11">
        <v>700</v>
      </c>
      <c r="K12" s="11">
        <v>42</v>
      </c>
      <c r="L12" s="11">
        <v>742</v>
      </c>
      <c r="N12" s="110">
        <f>SUMIFS(PAGOS!$E$3:$E$1048576,PAGOS!$A$3:$A$1048576,"&lt;&gt;INGRESO*",PAGOS!$A$3:$A$1048576,"&lt;&gt;EGRESO*",PAGOS!$D$3:$D$1048576,+MID('04'!B12,6,3)*1)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SUMIFS(PAGOS!$H$3:$H$1048576,PAGOS!$A$3:$A$1048576,"&lt;&gt;INGRESO*",PAGOS!$A$3:$A$1048576,"&lt;&gt;EGRESO*",PAGOS!$D$3:$D$1048576,+MID('04'!B12,6,3)*1)</f>
        <v>42</v>
      </c>
      <c r="Q12" s="110">
        <f t="shared" si="1"/>
        <v>0</v>
      </c>
    </row>
    <row r="13" spans="1:17" x14ac:dyDescent="0.3">
      <c r="A13" s="45">
        <v>7</v>
      </c>
      <c r="B13" s="45" t="s">
        <v>482</v>
      </c>
      <c r="C13" s="45" t="s">
        <v>12</v>
      </c>
      <c r="D13" s="41">
        <v>45892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SUMIFS(PAGOS!$E$3:$E$1048576,PAGOS!$A$3:$A$1048576,"&lt;&gt;INGRESO*",PAGOS!$A$3:$A$1048576,"&lt;&gt;EGRESO*",PAGOS!$D$3:$D$1048576,+MID('04'!B13,6,3)*1)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SUMIFS(PAGOS!$H$3:$H$1048576,PAGOS!$A$3:$A$1048576,"&lt;&gt;INGRESO*",PAGOS!$A$3:$A$1048576,"&lt;&gt;EGRESO*",PAGOS!$D$3:$D$1048576,+MID('04'!B13,6,3)*1)</f>
        <v>4</v>
      </c>
      <c r="Q13" s="110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59" bestFit="1" customWidth="1"/>
    <col min="9" max="9" width="11" style="160" bestFit="1" customWidth="1"/>
    <col min="10" max="12" width="11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1260</v>
      </c>
      <c r="H3" s="132" t="s">
        <v>177</v>
      </c>
      <c r="I3" s="150">
        <f>SUM($P$7:$P$1048576)</f>
        <v>76.400000000000006</v>
      </c>
      <c r="J3" s="132" t="s">
        <v>178</v>
      </c>
      <c r="K3" s="151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25" t="s">
        <v>0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67" t="s">
        <v>46</v>
      </c>
      <c r="B6" s="367" t="s">
        <v>179</v>
      </c>
      <c r="C6" s="367" t="s">
        <v>11</v>
      </c>
      <c r="D6" s="367" t="s">
        <v>48</v>
      </c>
      <c r="E6" s="367" t="s">
        <v>56</v>
      </c>
      <c r="F6" s="367" t="s">
        <v>57</v>
      </c>
      <c r="G6" s="367" t="s">
        <v>49</v>
      </c>
      <c r="H6" s="367" t="s">
        <v>32</v>
      </c>
      <c r="I6" s="368" t="s">
        <v>58</v>
      </c>
      <c r="J6" s="367" t="s">
        <v>59</v>
      </c>
      <c r="K6" s="367" t="s">
        <v>52</v>
      </c>
      <c r="L6" s="367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184</v>
      </c>
      <c r="C7" s="45" t="s">
        <v>13</v>
      </c>
      <c r="D7" s="41">
        <v>45184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SUMIFS(PAGOS!$E$3:$E$1048576,PAGOS!$A$3:$A$1048576,"&lt;&gt;INGRESO*",PAGOS!$A$3:$A$1048576,"&lt;&gt;EGRESO*",PAGOS!$D$3:$D$1048576,+MID('03'!B7,6,3)*1)</f>
        <v>100</v>
      </c>
      <c r="O7" s="110">
        <f>E7-N7</f>
        <v>0</v>
      </c>
      <c r="P7" s="110">
        <f>SUMIFS(PAGOS!$H$3:$H$1048576,PAGOS!$A$3:$A$1048576,"&lt;&gt;INGRESO*",PAGOS!$A$3:$A$1048576,"&lt;&gt;EGRESO*",PAGOS!$D$3:$D$1048576,+MID('03'!B7,6,3)*1)</f>
        <v>8</v>
      </c>
      <c r="Q7" s="110">
        <f>K7-P7</f>
        <v>0</v>
      </c>
    </row>
    <row r="8" spans="1:17" x14ac:dyDescent="0.3">
      <c r="A8" s="45">
        <v>2</v>
      </c>
      <c r="B8" s="45" t="s">
        <v>265</v>
      </c>
      <c r="C8" s="45" t="s">
        <v>13</v>
      </c>
      <c r="D8" s="41">
        <v>45611</v>
      </c>
      <c r="E8" s="162">
        <v>500</v>
      </c>
      <c r="F8" s="45">
        <v>3</v>
      </c>
      <c r="G8" s="11">
        <v>166.66666666666666</v>
      </c>
      <c r="H8" s="11">
        <v>10</v>
      </c>
      <c r="I8" s="199">
        <v>176.66666666666666</v>
      </c>
      <c r="J8" s="11">
        <v>500</v>
      </c>
      <c r="K8" s="11">
        <v>30</v>
      </c>
      <c r="L8" s="11">
        <v>530</v>
      </c>
      <c r="N8" s="110">
        <f>SUMIFS(PAGOS!$E$3:$E$1048576,PAGOS!$A$3:$A$1048576,"&lt;&gt;INGRESO*",PAGOS!$A$3:$A$1048576,"&lt;&gt;EGRESO*",PAGOS!$D$3:$D$1048576,+MID('03'!B8,6,3)*1)</f>
        <v>500.01</v>
      </c>
      <c r="O8" s="110">
        <f>E8-N8</f>
        <v>-9.9999999999909051E-3</v>
      </c>
      <c r="P8" s="110">
        <f>SUMIFS(PAGOS!$H$3:$H$1048576,PAGOS!$A$3:$A$1048576,"&lt;&gt;INGRESO*",PAGOS!$A$3:$A$1048576,"&lt;&gt;EGRESO*",PAGOS!$D$3:$D$1048576,+MID('03'!B8,6,3)*1)</f>
        <v>30</v>
      </c>
      <c r="Q8" s="110">
        <f>K8-P8</f>
        <v>0</v>
      </c>
    </row>
    <row r="9" spans="1:17" x14ac:dyDescent="0.3">
      <c r="A9" s="45">
        <v>3</v>
      </c>
      <c r="B9" s="162" t="s">
        <v>343</v>
      </c>
      <c r="C9" s="162" t="s">
        <v>13</v>
      </c>
      <c r="D9" s="41">
        <v>45762</v>
      </c>
      <c r="E9" s="162">
        <v>600</v>
      </c>
      <c r="F9" s="45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110">
        <f>SUMIFS(PAGOS!$E$3:$E$1048576,PAGOS!$A$3:$A$1048576,"&lt;&gt;INGRESO*",PAGOS!$A$3:$A$1048576,"&lt;&gt;EGRESO*",PAGOS!$D$3:$D$1048576,+MID('03'!B9,6,3)*1)</f>
        <v>600</v>
      </c>
      <c r="O9" s="110">
        <f>E9-N9</f>
        <v>0</v>
      </c>
      <c r="P9" s="110">
        <f>SUMIFS(PAGOS!$H$3:$H$1048576,PAGOS!$A$3:$A$1048576,"&lt;&gt;INGRESO*",PAGOS!$A$3:$A$1048576,"&lt;&gt;EGRESO*",PAGOS!$D$3:$D$1048576,+MID('03'!B9,6,3)*1)</f>
        <v>36</v>
      </c>
      <c r="Q9" s="110">
        <f>K9-P9</f>
        <v>0</v>
      </c>
    </row>
    <row r="10" spans="1:17" x14ac:dyDescent="0.3">
      <c r="A10" s="45">
        <v>4</v>
      </c>
      <c r="B10" s="45" t="s">
        <v>495</v>
      </c>
      <c r="C10" s="45" t="s">
        <v>13</v>
      </c>
      <c r="D10" s="41">
        <v>45910</v>
      </c>
      <c r="E10" s="162">
        <v>60</v>
      </c>
      <c r="F10" s="45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110">
        <f>SUMIFS(PAGOS!$E$3:$E$1048576,PAGOS!$A$3:$A$1048576,"&lt;&gt;INGRESO*",PAGOS!$A$3:$A$1048576,"&lt;&gt;EGRESO*",PAGOS!$D$3:$D$1048576,+MID('03'!B10,6,3)*1)</f>
        <v>60</v>
      </c>
      <c r="O10" s="110">
        <f>E10-N10</f>
        <v>0</v>
      </c>
      <c r="P10" s="110">
        <f>SUMIFS(PAGOS!$H$3:$H$1048576,PAGOS!$A$3:$A$1048576,"&lt;&gt;INGRESO*",PAGOS!$A$3:$A$1048576,"&lt;&gt;EGRESO*",PAGOS!$D$3:$D$1048576,+MID('03'!B10,6,3)*1)</f>
        <v>2.4</v>
      </c>
      <c r="Q10" s="110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5"/>
  <sheetViews>
    <sheetView zoomScaleNormal="100" workbookViewId="0">
      <selection activeCell="D17" sqref="D17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59" bestFit="1" customWidth="1"/>
    <col min="9" max="9" width="8.33203125" style="160" customWidth="1"/>
    <col min="10" max="10" width="11.33203125" style="159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3800</v>
      </c>
      <c r="H3" s="132" t="s">
        <v>177</v>
      </c>
      <c r="I3" s="150">
        <f>SUM($P$7:$P$1048576)</f>
        <v>424</v>
      </c>
      <c r="J3" s="132" t="s">
        <v>178</v>
      </c>
      <c r="K3" s="151">
        <f>G3+I3</f>
        <v>4224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8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45" t="s">
        <v>185</v>
      </c>
      <c r="C7" s="45" t="s">
        <v>14</v>
      </c>
      <c r="D7" s="41">
        <v>45153</v>
      </c>
      <c r="E7" s="162">
        <v>100</v>
      </c>
      <c r="F7" s="45">
        <v>2</v>
      </c>
      <c r="G7" s="162">
        <v>50</v>
      </c>
      <c r="H7" s="162">
        <v>2</v>
      </c>
      <c r="I7" s="163">
        <v>52</v>
      </c>
      <c r="J7" s="162">
        <v>100</v>
      </c>
      <c r="K7" s="162">
        <v>4</v>
      </c>
      <c r="L7" s="162">
        <v>104</v>
      </c>
      <c r="N7" s="110">
        <f>SUMIFS(PAGOS!$E$3:$E$1048576,PAGOS!$A$3:$A$1048576,"&lt;&gt;INGRESO*",PAGOS!$A$3:$A$1048576,"&lt;&gt;EGRESO*",PAGOS!$D$3:$D$1048576,+MID('05'!B7,6,3)*1)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SUMIFS(PAGOS!$H$3:$H$1048576,PAGOS!$A$3:$A$1048576,"&lt;&gt;INGRESO*",PAGOS!$A$3:$A$1048576,"&lt;&gt;EGRESO*",PAGOS!$D$3:$D$1048576,+MID('05'!B7,6,3)*1)</f>
        <v>4</v>
      </c>
      <c r="Q7" s="110">
        <f t="shared" ref="Q7:Q12" si="1">K7-P7</f>
        <v>0</v>
      </c>
    </row>
    <row r="8" spans="1:17" x14ac:dyDescent="0.3">
      <c r="A8" s="45">
        <v>2</v>
      </c>
      <c r="B8" s="45" t="s">
        <v>186</v>
      </c>
      <c r="C8" s="45" t="s">
        <v>14</v>
      </c>
      <c r="D8" s="41">
        <v>44972</v>
      </c>
      <c r="E8" s="162">
        <v>300</v>
      </c>
      <c r="F8" s="45">
        <v>3</v>
      </c>
      <c r="G8" s="162">
        <v>100</v>
      </c>
      <c r="H8" s="162">
        <v>6</v>
      </c>
      <c r="I8" s="163">
        <v>106</v>
      </c>
      <c r="J8" s="162">
        <v>300</v>
      </c>
      <c r="K8" s="162">
        <v>18</v>
      </c>
      <c r="L8" s="162">
        <v>318</v>
      </c>
      <c r="N8" s="110">
        <f>SUMIFS(PAGOS!$E$3:$E$1048576,PAGOS!$A$3:$A$1048576,"&lt;&gt;INGRESO*",PAGOS!$A$3:$A$1048576,"&lt;&gt;EGRESO*",PAGOS!$D$3:$D$1048576,+MID('05'!B8,6,3)*1)</f>
        <v>300</v>
      </c>
      <c r="O8" s="110">
        <f t="shared" si="0"/>
        <v>0</v>
      </c>
      <c r="P8" s="110">
        <f>SUMIFS(PAGOS!$H$3:$H$1048576,PAGOS!$A$3:$A$1048576,"&lt;&gt;INGRESO*",PAGOS!$A$3:$A$1048576,"&lt;&gt;EGRESO*",PAGOS!$D$3:$D$1048576,+MID('05'!B8,6,3)*1)</f>
        <v>18</v>
      </c>
      <c r="Q8" s="110">
        <f t="shared" si="1"/>
        <v>0</v>
      </c>
    </row>
    <row r="9" spans="1:17" x14ac:dyDescent="0.3">
      <c r="A9" s="45">
        <v>3</v>
      </c>
      <c r="B9" s="45" t="s">
        <v>187</v>
      </c>
      <c r="C9" s="45" t="s">
        <v>14</v>
      </c>
      <c r="D9" s="41">
        <v>45092</v>
      </c>
      <c r="E9" s="162">
        <v>400</v>
      </c>
      <c r="F9" s="45">
        <v>4</v>
      </c>
      <c r="G9" s="162">
        <v>100</v>
      </c>
      <c r="H9" s="162">
        <v>8</v>
      </c>
      <c r="I9" s="163">
        <v>208</v>
      </c>
      <c r="J9" s="162">
        <v>400</v>
      </c>
      <c r="K9" s="162">
        <v>32</v>
      </c>
      <c r="L9" s="162">
        <v>432</v>
      </c>
      <c r="N9" s="110">
        <f>SUMIFS(PAGOS!$E$3:$E$1048576,PAGOS!$A$3:$A$1048576,"&lt;&gt;INGRESO*",PAGOS!$A$3:$A$1048576,"&lt;&gt;EGRESO*",PAGOS!$D$3:$D$1048576,+MID('05'!B9,6,3)*1)</f>
        <v>400</v>
      </c>
      <c r="O9" s="110">
        <f t="shared" si="0"/>
        <v>0</v>
      </c>
      <c r="P9" s="110">
        <f>SUMIFS(PAGOS!$H$3:$H$1048576,PAGOS!$A$3:$A$1048576,"&lt;&gt;INGRESO*",PAGOS!$A$3:$A$1048576,"&lt;&gt;EGRESO*",PAGOS!$D$3:$D$1048576,+MID('05'!B9,6,3)*1)</f>
        <v>32</v>
      </c>
      <c r="Q9" s="110">
        <f t="shared" si="1"/>
        <v>0</v>
      </c>
    </row>
    <row r="10" spans="1:17" x14ac:dyDescent="0.3">
      <c r="A10" s="45">
        <v>4</v>
      </c>
      <c r="B10" s="45" t="s">
        <v>188</v>
      </c>
      <c r="C10" s="45" t="s">
        <v>14</v>
      </c>
      <c r="D10" s="41">
        <v>45245</v>
      </c>
      <c r="E10" s="162">
        <v>200</v>
      </c>
      <c r="F10" s="45">
        <v>4</v>
      </c>
      <c r="G10" s="162">
        <v>50</v>
      </c>
      <c r="H10" s="162">
        <v>4</v>
      </c>
      <c r="I10" s="163">
        <v>54</v>
      </c>
      <c r="J10" s="162">
        <v>200</v>
      </c>
      <c r="K10" s="162">
        <v>16</v>
      </c>
      <c r="L10" s="162">
        <v>216</v>
      </c>
      <c r="N10" s="110">
        <f>SUMIFS(PAGOS!$E$3:$E$1048576,PAGOS!$A$3:$A$1048576,"&lt;&gt;INGRESO*",PAGOS!$A$3:$A$1048576,"&lt;&gt;EGRESO*",PAGOS!$D$3:$D$1048576,+MID('05'!B10,6,3)*1)</f>
        <v>200</v>
      </c>
      <c r="O10" s="110">
        <f t="shared" si="0"/>
        <v>0</v>
      </c>
      <c r="P10" s="110">
        <f>SUMIFS(PAGOS!$H$3:$H$1048576,PAGOS!$A$3:$A$1048576,"&lt;&gt;INGRESO*",PAGOS!$A$3:$A$1048576,"&lt;&gt;EGRESO*",PAGOS!$D$3:$D$1048576,+MID('05'!B10,6,3)*1)</f>
        <v>16</v>
      </c>
      <c r="Q10" s="110">
        <f t="shared" si="1"/>
        <v>0</v>
      </c>
    </row>
    <row r="11" spans="1:17" x14ac:dyDescent="0.3">
      <c r="A11" s="45">
        <v>5</v>
      </c>
      <c r="B11" s="45" t="s">
        <v>197</v>
      </c>
      <c r="C11" s="45" t="s">
        <v>14</v>
      </c>
      <c r="D11" s="41">
        <v>45366</v>
      </c>
      <c r="E11" s="167">
        <v>1000</v>
      </c>
      <c r="F11" s="45">
        <v>10</v>
      </c>
      <c r="G11" s="162">
        <v>100</v>
      </c>
      <c r="H11" s="162">
        <v>20</v>
      </c>
      <c r="I11" s="163">
        <v>120</v>
      </c>
      <c r="J11" s="162">
        <v>1000</v>
      </c>
      <c r="K11" s="162">
        <v>200</v>
      </c>
      <c r="L11" s="162">
        <v>1200</v>
      </c>
      <c r="N11" s="110">
        <f>SUMIFS(PAGOS!$E$3:$E$1048576,PAGOS!$A$3:$A$1048576,"&lt;&gt;INGRESO*",PAGOS!$A$3:$A$1048576,"&lt;&gt;EGRESO*",PAGOS!$D$3:$D$1048576,+MID('05'!B11,6,3)*1)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SUMIFS(PAGOS!$H$3:$H$1048576,PAGOS!$A$3:$A$1048576,"&lt;&gt;INGRESO*",PAGOS!$A$3:$A$1048576,"&lt;&gt;EGRESO*",PAGOS!$D$3:$D$1048576,+MID('05'!B11,6,3)*1)</f>
        <v>200</v>
      </c>
      <c r="Q11" s="110">
        <f t="shared" si="1"/>
        <v>0</v>
      </c>
    </row>
    <row r="12" spans="1:17" x14ac:dyDescent="0.3">
      <c r="A12" s="45">
        <v>6</v>
      </c>
      <c r="B12" s="45" t="s">
        <v>319</v>
      </c>
      <c r="C12" s="45" t="s">
        <v>14</v>
      </c>
      <c r="D12" s="41">
        <v>45704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62">
        <v>500</v>
      </c>
      <c r="K12" s="162">
        <v>50</v>
      </c>
      <c r="L12" s="162">
        <v>550</v>
      </c>
      <c r="N12" s="110">
        <f>SUMIFS(PAGOS!$E$3:$E$1048576,PAGOS!$A$3:$A$1048576,"&lt;&gt;INGRESO*",PAGOS!$A$3:$A$1048576,"&lt;&gt;EGRESO*",PAGOS!$D$3:$D$1048576,+MID('05'!B12,6,3)*1)</f>
        <v>500</v>
      </c>
      <c r="O12" s="110">
        <f t="shared" si="0"/>
        <v>0</v>
      </c>
      <c r="P12" s="110">
        <f>SUMIFS(PAGOS!$H$3:$H$1048576,PAGOS!$A$3:$A$1048576,"&lt;&gt;INGRESO*",PAGOS!$A$3:$A$1048576,"&lt;&gt;EGRESO*",PAGOS!$D$3:$D$1048576,+MID('05'!B12,6,3)*1)</f>
        <v>30</v>
      </c>
      <c r="Q12" s="110">
        <f t="shared" si="1"/>
        <v>20</v>
      </c>
    </row>
    <row r="13" spans="1:17" x14ac:dyDescent="0.3">
      <c r="A13" s="45">
        <v>7</v>
      </c>
      <c r="B13" s="45" t="s">
        <v>366</v>
      </c>
      <c r="C13" s="45" t="s">
        <v>14</v>
      </c>
      <c r="D13" s="41">
        <v>45792</v>
      </c>
      <c r="E13" s="167">
        <v>1200</v>
      </c>
      <c r="F13" s="45">
        <v>12</v>
      </c>
      <c r="G13" s="11">
        <v>100</v>
      </c>
      <c r="H13" s="11">
        <v>24</v>
      </c>
      <c r="I13" s="199">
        <v>124</v>
      </c>
      <c r="J13" s="162">
        <v>1200</v>
      </c>
      <c r="K13" s="162">
        <v>288</v>
      </c>
      <c r="L13" s="162">
        <v>1488</v>
      </c>
      <c r="N13" s="110">
        <f>SUMIFS(PAGOS!$E$3:$E$1048576,PAGOS!$A$3:$A$1048576,"&lt;&gt;INGRESO*",PAGOS!$A$3:$A$1048576,"&lt;&gt;EGRESO*",PAGOS!$D$3:$D$1048576,+MID('05'!B13,6,3)*1)</f>
        <v>500</v>
      </c>
      <c r="O13" s="110">
        <f t="shared" ref="O13" si="2">E13-N13</f>
        <v>700</v>
      </c>
      <c r="P13" s="110">
        <f>SUMIFS(PAGOS!$H$3:$H$1048576,PAGOS!$A$3:$A$1048576,"&lt;&gt;INGRESO*",PAGOS!$A$3:$A$1048576,"&lt;&gt;EGRESO*",PAGOS!$D$3:$D$1048576,+MID('05'!B13,6,3)*1)</f>
        <v>120</v>
      </c>
      <c r="Q13" s="110">
        <f t="shared" ref="Q13" si="3">K13-P13</f>
        <v>168</v>
      </c>
    </row>
    <row r="14" spans="1:17" x14ac:dyDescent="0.3">
      <c r="A14" s="45">
        <v>8</v>
      </c>
      <c r="B14" s="45" t="s">
        <v>494</v>
      </c>
      <c r="C14" s="45" t="s">
        <v>14</v>
      </c>
      <c r="D14" s="41">
        <v>45910</v>
      </c>
      <c r="E14" s="167">
        <v>100</v>
      </c>
      <c r="F14" s="45">
        <v>2</v>
      </c>
      <c r="G14" s="11">
        <v>50</v>
      </c>
      <c r="H14" s="11">
        <v>2</v>
      </c>
      <c r="I14" s="199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SUMIFS(PAGOS!$E$3:$E$1048576,PAGOS!$A$3:$A$1048576,"&lt;&gt;INGRESO*",PAGOS!$A$3:$A$1048576,"&lt;&gt;EGRESO*",PAGOS!$D$3:$D$1048576,+MID('05'!B14,6,3)*1)</f>
        <v>100</v>
      </c>
      <c r="O14" s="110">
        <f t="shared" ref="O14" si="4">E14-N14</f>
        <v>0</v>
      </c>
      <c r="P14" s="110">
        <f>SUMIFS(PAGOS!$H$3:$H$1048576,PAGOS!$A$3:$A$1048576,"&lt;&gt;INGRESO*",PAGOS!$A$3:$A$1048576,"&lt;&gt;EGRESO*",PAGOS!$D$3:$D$1048576,+MID('05'!B14,6,3)*1)</f>
        <v>4</v>
      </c>
      <c r="Q14" s="110">
        <f t="shared" ref="Q14" si="5">K14-P14</f>
        <v>0</v>
      </c>
    </row>
    <row r="15" spans="1:17" x14ac:dyDescent="0.3">
      <c r="I15" s="159"/>
    </row>
    <row r="16" spans="1:17" x14ac:dyDescent="0.3">
      <c r="I16" s="159"/>
    </row>
    <row r="17" spans="9:9" x14ac:dyDescent="0.3">
      <c r="I17" s="159"/>
    </row>
    <row r="18" spans="9:9" x14ac:dyDescent="0.3">
      <c r="I18" s="159"/>
    </row>
    <row r="22" spans="9:9" x14ac:dyDescent="0.3">
      <c r="I22" s="159"/>
    </row>
    <row r="23" spans="9:9" x14ac:dyDescent="0.3">
      <c r="I23" s="159"/>
    </row>
    <row r="34" spans="9:9" x14ac:dyDescent="0.3">
      <c r="I34"/>
    </row>
    <row r="35" spans="9:9" x14ac:dyDescent="0.3">
      <c r="I35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59" customWidth="1"/>
    <col min="6" max="6" width="9.33203125" bestFit="1" customWidth="1"/>
    <col min="7" max="7" width="9.88671875" style="159" bestFit="1" customWidth="1"/>
    <col min="8" max="8" width="8" style="159" bestFit="1" customWidth="1"/>
    <col min="9" max="9" width="9.88671875" style="160" bestFit="1" customWidth="1"/>
    <col min="10" max="10" width="13.6640625" style="159" bestFit="1" customWidth="1"/>
    <col min="11" max="11" width="11.33203125" style="159" bestFit="1" customWidth="1"/>
    <col min="12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3750</v>
      </c>
      <c r="H3" s="132" t="s">
        <v>177</v>
      </c>
      <c r="I3" s="150">
        <f>SUM($P$7:$P$1048576)</f>
        <v>146</v>
      </c>
      <c r="J3" s="132" t="s">
        <v>178</v>
      </c>
      <c r="K3" s="151">
        <f>G3+I3</f>
        <v>3896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5" t="s">
        <v>4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7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7">_xlfn.SEQUENCE(COUNTA(C7:C1048576))</f>
        <v>1</v>
      </c>
      <c r="B7" s="161">
        <v>3</v>
      </c>
      <c r="C7" s="45" t="s">
        <v>15</v>
      </c>
      <c r="D7" s="41">
        <v>44849</v>
      </c>
      <c r="E7" s="11">
        <v>200</v>
      </c>
      <c r="F7" s="45">
        <v>1</v>
      </c>
      <c r="G7" s="11">
        <v>200</v>
      </c>
      <c r="H7" s="11">
        <v>4</v>
      </c>
      <c r="I7" s="199">
        <v>204</v>
      </c>
      <c r="J7" s="11">
        <v>200</v>
      </c>
      <c r="K7" s="11">
        <v>4</v>
      </c>
      <c r="L7" s="11">
        <v>204</v>
      </c>
      <c r="N7" s="110">
        <f>SUMIFS(PAGOS!$E$3:$E$1048576,PAGOS!$A$3:$A$1048576,"&lt;&gt;INGRESO*",PAGOS!$A$3:$A$1048576,"&lt;&gt;EGRESO*",PAGOS!$D$3:$D$1048576,B7)</f>
        <v>200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4</v>
      </c>
      <c r="Q7" s="110">
        <f t="shared" ref="Q7:Q13" si="1">K7-P7</f>
        <v>0</v>
      </c>
    </row>
    <row r="8" spans="1:17" x14ac:dyDescent="0.3">
      <c r="A8" s="45">
        <v>2</v>
      </c>
      <c r="B8" s="161">
        <v>13</v>
      </c>
      <c r="C8" s="45" t="s">
        <v>15</v>
      </c>
      <c r="D8" s="41">
        <v>45000</v>
      </c>
      <c r="E8" s="11">
        <v>400</v>
      </c>
      <c r="F8" s="45">
        <v>4</v>
      </c>
      <c r="G8" s="11">
        <v>100</v>
      </c>
      <c r="H8" s="11">
        <v>8</v>
      </c>
      <c r="I8" s="199">
        <v>108</v>
      </c>
      <c r="J8" s="11">
        <v>400</v>
      </c>
      <c r="K8" s="11">
        <v>32</v>
      </c>
      <c r="L8" s="11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23</v>
      </c>
      <c r="C9" s="45" t="s">
        <v>15</v>
      </c>
      <c r="D9" s="41">
        <v>45129</v>
      </c>
      <c r="E9" s="11">
        <v>200</v>
      </c>
      <c r="F9" s="45">
        <v>1</v>
      </c>
      <c r="G9" s="11">
        <v>200</v>
      </c>
      <c r="H9" s="11">
        <v>4</v>
      </c>
      <c r="I9" s="199">
        <v>204</v>
      </c>
      <c r="J9" s="11">
        <v>200</v>
      </c>
      <c r="K9" s="11">
        <v>4</v>
      </c>
      <c r="L9" s="11">
        <v>204</v>
      </c>
      <c r="N9" s="110">
        <f>SUMIFS(PAGOS!$E$3:$E$1048576,PAGOS!$A$3:$A$1048576,"&lt;&gt;INGRESO*",PAGOS!$A$3:$A$1048576,"&lt;&gt;EGRESO*",PAGOS!$D$3:$D$1048576,B9)</f>
        <v>200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4</v>
      </c>
      <c r="Q9" s="110">
        <f t="shared" si="1"/>
        <v>0</v>
      </c>
    </row>
    <row r="10" spans="1:17" x14ac:dyDescent="0.3">
      <c r="A10" s="45">
        <v>4</v>
      </c>
      <c r="B10" s="161">
        <v>26</v>
      </c>
      <c r="C10" s="45" t="s">
        <v>15</v>
      </c>
      <c r="D10" s="41">
        <v>45184</v>
      </c>
      <c r="E10" s="11">
        <v>100</v>
      </c>
      <c r="F10" s="45">
        <v>1</v>
      </c>
      <c r="G10" s="11">
        <v>100</v>
      </c>
      <c r="H10" s="11">
        <v>2</v>
      </c>
      <c r="I10" s="199">
        <v>102</v>
      </c>
      <c r="J10" s="11">
        <v>100</v>
      </c>
      <c r="K10" s="11">
        <v>2</v>
      </c>
      <c r="L10" s="11">
        <v>102</v>
      </c>
      <c r="N10" s="110">
        <f>SUMIFS(PAGOS!$E$3:$E$1048576,PAGOS!$A$3:$A$1048576,"&lt;&gt;INGRESO*",PAGOS!$A$3:$A$1048576,"&lt;&gt;EGRESO*",PAGOS!$D$3:$D$1048576,B10)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</v>
      </c>
      <c r="Q10" s="110">
        <f t="shared" si="1"/>
        <v>0</v>
      </c>
    </row>
    <row r="11" spans="1:17" x14ac:dyDescent="0.3">
      <c r="A11" s="45">
        <v>5</v>
      </c>
      <c r="B11" s="39" t="s">
        <v>210</v>
      </c>
      <c r="C11" s="45" t="s">
        <v>15</v>
      </c>
      <c r="D11" s="41">
        <v>45427</v>
      </c>
      <c r="E11" s="11">
        <v>400</v>
      </c>
      <c r="F11" s="45">
        <v>4</v>
      </c>
      <c r="G11" s="11">
        <v>100</v>
      </c>
      <c r="H11" s="11">
        <v>8</v>
      </c>
      <c r="I11" s="199">
        <v>108</v>
      </c>
      <c r="J11" s="11">
        <v>400</v>
      </c>
      <c r="K11" s="11">
        <v>32</v>
      </c>
      <c r="L11" s="11">
        <v>432</v>
      </c>
      <c r="N11" s="110">
        <f>SUMIFS(PAGOS!$E$3:$E$1048576,PAGOS!$A$3:$A$1048576,"&lt;&gt;INGRESO*",PAGOS!$A$3:$A$1048576,"&lt;&gt;EGRESO*",PAGOS!$D$3:$D$1048576,+MID('07'!B11,6,3)*1)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SUMIFS(PAGOS!$H$3:$H$1048576,PAGOS!$A$3:$A$1048576,"&lt;&gt;INGRESO*",PAGOS!$A$3:$A$1048576,"&lt;&gt;EGRESO*",PAGOS!$D$3:$D$1048576,+MID('07'!B11,6,3)*1)</f>
        <v>32</v>
      </c>
      <c r="Q11" s="110">
        <f t="shared" si="1"/>
        <v>0</v>
      </c>
    </row>
    <row r="12" spans="1:17" x14ac:dyDescent="0.3">
      <c r="A12" s="45">
        <v>6</v>
      </c>
      <c r="B12" s="39" t="s">
        <v>239</v>
      </c>
      <c r="C12" s="45" t="s">
        <v>15</v>
      </c>
      <c r="D12" s="41">
        <v>45580</v>
      </c>
      <c r="E12" s="11">
        <v>250</v>
      </c>
      <c r="F12" s="45">
        <v>4</v>
      </c>
      <c r="G12" s="11">
        <v>62.5</v>
      </c>
      <c r="H12" s="11">
        <v>5</v>
      </c>
      <c r="I12" s="199">
        <v>67.5</v>
      </c>
      <c r="J12" s="11">
        <v>250</v>
      </c>
      <c r="K12" s="11">
        <v>20</v>
      </c>
      <c r="L12" s="11">
        <v>270</v>
      </c>
      <c r="N12" s="110">
        <f>SUMIFS(PAGOS!$E$3:$E$1048576,PAGOS!$A$3:$A$1048576,"&lt;&gt;INGRESO*",PAGOS!$A$3:$A$1048576,"&lt;&gt;EGRESO*",PAGOS!$D$3:$D$1048576,+MID('07'!B12,6,3)*1)</f>
        <v>250</v>
      </c>
      <c r="O12" s="110">
        <f t="shared" si="0"/>
        <v>0</v>
      </c>
      <c r="P12" s="110">
        <f>SUMIFS(PAGOS!$H$3:$H$1048576,PAGOS!$A$3:$A$1048576,"&lt;&gt;INGRESO*",PAGOS!$A$3:$A$1048576,"&lt;&gt;EGRESO*",PAGOS!$D$3:$D$1048576,+MID('07'!B12,6,3)*1)</f>
        <v>20</v>
      </c>
      <c r="Q12" s="110">
        <f t="shared" si="1"/>
        <v>0</v>
      </c>
    </row>
    <row r="13" spans="1:17" x14ac:dyDescent="0.3">
      <c r="A13" s="45">
        <v>7</v>
      </c>
      <c r="B13" s="39" t="s">
        <v>332</v>
      </c>
      <c r="C13" s="45" t="s">
        <v>15</v>
      </c>
      <c r="D13" s="41">
        <v>45758</v>
      </c>
      <c r="E13" s="11">
        <v>1200</v>
      </c>
      <c r="F13" s="45">
        <v>1</v>
      </c>
      <c r="G13" s="11">
        <v>1200</v>
      </c>
      <c r="H13" s="11">
        <v>24</v>
      </c>
      <c r="I13" s="199">
        <v>1224</v>
      </c>
      <c r="J13" s="11">
        <v>1200</v>
      </c>
      <c r="K13" s="11">
        <v>24</v>
      </c>
      <c r="L13" s="11">
        <v>1224</v>
      </c>
      <c r="N13" s="110">
        <f>SUMIFS(PAGOS!$E$3:$E$1048576,PAGOS!$A$3:$A$1048576,"&lt;&gt;INGRESO*",PAGOS!$A$3:$A$1048576,"&lt;&gt;EGRESO*",PAGOS!$D$3:$D$1048576,+MID('07'!B13,6,3)*1)</f>
        <v>1200</v>
      </c>
      <c r="O13" s="110">
        <f t="shared" si="0"/>
        <v>0</v>
      </c>
      <c r="P13" s="110">
        <f>SUMIFS(PAGOS!$H$3:$H$1048576,PAGOS!$A$3:$A$1048576,"&lt;&gt;INGRESO*",PAGOS!$A$3:$A$1048576,"&lt;&gt;EGRESO*",PAGOS!$D$3:$D$1048576,+MID('07'!B13,6,3)*1)</f>
        <v>24</v>
      </c>
      <c r="Q13" s="110">
        <f t="shared" si="1"/>
        <v>0</v>
      </c>
    </row>
    <row r="14" spans="1:17" x14ac:dyDescent="0.3">
      <c r="A14" s="45">
        <v>8</v>
      </c>
      <c r="B14" s="39" t="s">
        <v>445</v>
      </c>
      <c r="C14" s="45" t="s">
        <v>408</v>
      </c>
      <c r="D14" s="41">
        <v>45884</v>
      </c>
      <c r="E14" s="11">
        <v>400</v>
      </c>
      <c r="F14" s="45">
        <v>4</v>
      </c>
      <c r="G14" s="11">
        <v>100</v>
      </c>
      <c r="H14" s="11">
        <v>8</v>
      </c>
      <c r="I14" s="199">
        <v>108</v>
      </c>
      <c r="J14" s="11">
        <v>400</v>
      </c>
      <c r="K14" s="11">
        <v>32</v>
      </c>
      <c r="L14" s="11">
        <v>432</v>
      </c>
      <c r="N14" s="110">
        <f>SUMIFS(PAGOS!$E$3:$E$1048576,PAGOS!$A$3:$A$1048576,"&lt;&gt;INGRESO*",PAGOS!$A$3:$A$1048576,"&lt;&gt;EGRESO*",PAGOS!$D$3:$D$1048576,+MID('07'!B14,6,3)*1)</f>
        <v>200</v>
      </c>
      <c r="O14" s="110">
        <f t="shared" ref="O14" si="2">E14-N14</f>
        <v>200</v>
      </c>
      <c r="P14" s="110">
        <f>SUMIFS(PAGOS!$H$3:$H$1048576,PAGOS!$A$3:$A$1048576,"&lt;&gt;INGRESO*",PAGOS!$A$3:$A$1048576,"&lt;&gt;EGRESO*",PAGOS!$D$3:$D$1048576,+MID('07'!B14,6,3)*1)</f>
        <v>16</v>
      </c>
      <c r="Q14" s="110">
        <f t="shared" ref="Q14" si="3">K14-P14</f>
        <v>16</v>
      </c>
    </row>
    <row r="15" spans="1:17" x14ac:dyDescent="0.3">
      <c r="A15" s="45">
        <v>9</v>
      </c>
      <c r="B15" s="39" t="s">
        <v>487</v>
      </c>
      <c r="C15" s="45" t="s">
        <v>408</v>
      </c>
      <c r="D15" s="41">
        <v>45897</v>
      </c>
      <c r="E15" s="11">
        <v>200</v>
      </c>
      <c r="F15" s="45">
        <v>1</v>
      </c>
      <c r="G15" s="11">
        <v>200</v>
      </c>
      <c r="H15" s="11">
        <v>4</v>
      </c>
      <c r="I15" s="199">
        <v>204</v>
      </c>
      <c r="J15" s="11">
        <v>200</v>
      </c>
      <c r="K15" s="11">
        <v>4</v>
      </c>
      <c r="L15" s="11">
        <v>204</v>
      </c>
      <c r="N15" s="110">
        <f>SUMIFS(PAGOS!$E$3:$E$1048576,PAGOS!$A$3:$A$1048576,"&lt;&gt;INGRESO*",PAGOS!$A$3:$A$1048576,"&lt;&gt;EGRESO*",PAGOS!$D$3:$D$1048576,+MID('07'!B15,6,3)*1)</f>
        <v>200</v>
      </c>
      <c r="O15" s="110">
        <f t="shared" ref="O15:O17" si="4">E15-N15</f>
        <v>0</v>
      </c>
      <c r="P15" s="110">
        <f>SUMIFS(PAGOS!$H$3:$H$1048576,PAGOS!$A$3:$A$1048576,"&lt;&gt;INGRESO*",PAGOS!$A$3:$A$1048576,"&lt;&gt;EGRESO*",PAGOS!$D$3:$D$1048576,+MID('07'!B15,6,3)*1)</f>
        <v>4</v>
      </c>
      <c r="Q15" s="110">
        <f t="shared" ref="Q15:Q17" si="5">K15-P15</f>
        <v>0</v>
      </c>
    </row>
    <row r="16" spans="1:17" x14ac:dyDescent="0.3">
      <c r="A16" s="45">
        <v>10</v>
      </c>
      <c r="B16" s="39" t="s">
        <v>489</v>
      </c>
      <c r="C16" s="45" t="s">
        <v>408</v>
      </c>
      <c r="D16" s="41">
        <v>45900</v>
      </c>
      <c r="E16" s="11">
        <v>100</v>
      </c>
      <c r="F16" s="45">
        <v>1</v>
      </c>
      <c r="G16" s="11">
        <v>100</v>
      </c>
      <c r="H16" s="11">
        <v>2</v>
      </c>
      <c r="I16" s="199">
        <v>102</v>
      </c>
      <c r="J16" s="11">
        <v>100</v>
      </c>
      <c r="K16" s="11">
        <v>2</v>
      </c>
      <c r="L16" s="11">
        <v>102</v>
      </c>
      <c r="N16" s="110">
        <f>SUMIFS(PAGOS!$E$3:$E$1048576,PAGOS!$A$3:$A$1048576,"&lt;&gt;INGRESO*",PAGOS!$A$3:$A$1048576,"&lt;&gt;EGRESO*",PAGOS!$D$3:$D$1048576,+MID('07'!B16,6,3)*1)</f>
        <v>100</v>
      </c>
      <c r="O16" s="110">
        <f t="shared" si="4"/>
        <v>0</v>
      </c>
      <c r="P16" s="110">
        <f>SUMIFS(PAGOS!$H$3:$H$1048576,PAGOS!$A$3:$A$1048576,"&lt;&gt;INGRESO*",PAGOS!$A$3:$A$1048576,"&lt;&gt;EGRESO*",PAGOS!$D$3:$D$1048576,+MID('07'!B16,6,3)*1)</f>
        <v>2</v>
      </c>
      <c r="Q16" s="110">
        <f t="shared" si="5"/>
        <v>0</v>
      </c>
    </row>
    <row r="17" spans="1:17" x14ac:dyDescent="0.3">
      <c r="A17" s="45">
        <v>11</v>
      </c>
      <c r="B17" s="39" t="s">
        <v>509</v>
      </c>
      <c r="C17" s="45" t="s">
        <v>408</v>
      </c>
      <c r="D17" s="41">
        <v>45928</v>
      </c>
      <c r="E17" s="11">
        <v>300</v>
      </c>
      <c r="F17" s="45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110">
        <f>SUMIFS(PAGOS!$E$3:$E$1048576,PAGOS!$A$3:$A$1048576,"&lt;&gt;INGRESO*",PAGOS!$A$3:$A$1048576,"&lt;&gt;EGRESO*",PAGOS!$D$3:$D$1048576,+MID('07'!B17,6,3)*1)</f>
        <v>300</v>
      </c>
      <c r="O17" s="110">
        <f t="shared" si="4"/>
        <v>0</v>
      </c>
      <c r="P17" s="110">
        <f>SUMIFS(PAGOS!$H$3:$H$1048576,PAGOS!$A$3:$A$1048576,"&lt;&gt;INGRESO*",PAGOS!$A$3:$A$1048576,"&lt;&gt;EGRESO*",PAGOS!$D$3:$D$1048576,+MID('07'!B17,6,3)*1)</f>
        <v>6</v>
      </c>
      <c r="Q17" s="110">
        <f t="shared" si="5"/>
        <v>0</v>
      </c>
    </row>
    <row r="18" spans="1:17" x14ac:dyDescent="0.3">
      <c r="I18" s="159"/>
    </row>
  </sheetData>
  <pageMargins left="0.7" right="0.7" top="0.75" bottom="0.75" header="0.3" footer="0.3"/>
  <pageSetup scale="87" fitToHeight="0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59" bestFit="1" customWidth="1"/>
    <col min="8" max="8" width="7.88671875" style="159" bestFit="1" customWidth="1"/>
    <col min="9" max="9" width="9.109375" style="160" customWidth="1"/>
    <col min="10" max="10" width="8.44140625" style="159" bestFit="1" customWidth="1"/>
    <col min="11" max="12" width="11.33203125" style="159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2750</v>
      </c>
      <c r="H3" s="132" t="s">
        <v>177</v>
      </c>
      <c r="I3" s="150">
        <f>SUM($P$7:$P$1048576)</f>
        <v>120</v>
      </c>
      <c r="J3" s="132" t="s">
        <v>178</v>
      </c>
      <c r="K3" s="151">
        <f>G3+I3</f>
        <v>2870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17</v>
      </c>
      <c r="C7" s="45" t="s">
        <v>16</v>
      </c>
      <c r="D7" s="41">
        <v>45061</v>
      </c>
      <c r="E7" s="162">
        <v>200</v>
      </c>
      <c r="F7" s="45">
        <v>2</v>
      </c>
      <c r="G7" s="162">
        <v>100</v>
      </c>
      <c r="H7" s="162">
        <v>4</v>
      </c>
      <c r="I7" s="163">
        <v>104</v>
      </c>
      <c r="J7" s="162">
        <v>200</v>
      </c>
      <c r="K7" s="162">
        <v>8</v>
      </c>
      <c r="L7" s="162">
        <v>208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161">
        <v>24</v>
      </c>
      <c r="C8" s="45" t="s">
        <v>16</v>
      </c>
      <c r="D8" s="41">
        <v>45153</v>
      </c>
      <c r="E8" s="162">
        <v>200</v>
      </c>
      <c r="F8" s="45">
        <v>1</v>
      </c>
      <c r="G8" s="162">
        <v>200</v>
      </c>
      <c r="H8" s="162">
        <v>4</v>
      </c>
      <c r="I8" s="163">
        <v>204</v>
      </c>
      <c r="J8" s="162">
        <v>200</v>
      </c>
      <c r="K8" s="162">
        <v>4</v>
      </c>
      <c r="L8" s="162">
        <v>204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4</v>
      </c>
      <c r="Q8" s="110">
        <f>K8-P8</f>
        <v>0</v>
      </c>
    </row>
    <row r="9" spans="1:17" x14ac:dyDescent="0.3">
      <c r="A9" s="45">
        <v>3</v>
      </c>
      <c r="B9" s="39" t="s">
        <v>214</v>
      </c>
      <c r="C9" s="45" t="s">
        <v>16</v>
      </c>
      <c r="D9" s="41">
        <v>45458</v>
      </c>
      <c r="E9" s="167">
        <v>300</v>
      </c>
      <c r="F9" s="45">
        <v>3</v>
      </c>
      <c r="G9" s="162">
        <v>100</v>
      </c>
      <c r="H9" s="162">
        <v>6</v>
      </c>
      <c r="I9" s="163">
        <v>106</v>
      </c>
      <c r="J9" s="162">
        <v>300</v>
      </c>
      <c r="K9" s="162">
        <v>18</v>
      </c>
      <c r="L9" s="167">
        <v>318</v>
      </c>
      <c r="N9" s="110">
        <f>SUMIFS(PAGOS!$E$3:$E$1048576,PAGOS!$A$3:$A$1048576,"&lt;&gt;INGRESO*",PAGOS!$A$3:$A$1048576,"&lt;&gt;EGRESO*",PAGOS!$D$3:$D$1048576,+MID('08'!B9,6,3)*1)</f>
        <v>300</v>
      </c>
      <c r="O9" s="110">
        <f>E9-N9</f>
        <v>0</v>
      </c>
      <c r="P9" s="110">
        <f>SUMIFS(PAGOS!$H$3:$H$1048576,PAGOS!$A$3:$A$1048576,"&lt;&gt;INGRESO*",PAGOS!$A$3:$A$1048576,"&lt;&gt;EGRESO*",PAGOS!$D$3:$D$1048576,+MID('08'!B9,6,3)*1)</f>
        <v>18</v>
      </c>
      <c r="Q9" s="110">
        <f>K9-P9</f>
        <v>0</v>
      </c>
    </row>
    <row r="10" spans="1:17" x14ac:dyDescent="0.3">
      <c r="A10" s="45">
        <v>4</v>
      </c>
      <c r="B10" s="39" t="s">
        <v>240</v>
      </c>
      <c r="C10" s="45" t="s">
        <v>16</v>
      </c>
      <c r="D10" s="41">
        <v>45580</v>
      </c>
      <c r="E10" s="167">
        <v>250</v>
      </c>
      <c r="F10" s="45">
        <v>4</v>
      </c>
      <c r="G10" s="162">
        <v>62.5</v>
      </c>
      <c r="H10" s="162">
        <v>5</v>
      </c>
      <c r="I10" s="163">
        <v>67.5</v>
      </c>
      <c r="J10" s="162">
        <v>250</v>
      </c>
      <c r="K10" s="162">
        <v>20</v>
      </c>
      <c r="L10" s="167">
        <v>270</v>
      </c>
      <c r="N10" s="110">
        <f>SUMIFS(PAGOS!$E$3:$E$1048576,PAGOS!$A$3:$A$1048576,"&lt;&gt;INGRESO*",PAGOS!$A$3:$A$1048576,"&lt;&gt;EGRESO*",PAGOS!$D$3:$D$1048576,+MID('08'!B10,6,3)*1)</f>
        <v>250</v>
      </c>
      <c r="O10" s="110">
        <f>E10-N10</f>
        <v>0</v>
      </c>
      <c r="P10" s="110">
        <f>SUMIFS(PAGOS!$H$3:$H$1048576,PAGOS!$A$3:$A$1048576,"&lt;&gt;INGRESO*",PAGOS!$A$3:$A$1048576,"&lt;&gt;EGRESO*",PAGOS!$D$3:$D$1048576,+MID('08'!B10,6,3)*1)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320</v>
      </c>
      <c r="C11" s="45" t="s">
        <v>16</v>
      </c>
      <c r="D11" s="41">
        <v>45704</v>
      </c>
      <c r="E11" s="167">
        <v>300</v>
      </c>
      <c r="F11" s="45">
        <v>3</v>
      </c>
      <c r="G11" s="11">
        <v>100</v>
      </c>
      <c r="H11" s="11">
        <v>6</v>
      </c>
      <c r="I11" s="199">
        <v>106</v>
      </c>
      <c r="J11" s="11">
        <v>300</v>
      </c>
      <c r="K11" s="11">
        <v>18</v>
      </c>
      <c r="L11" s="11">
        <v>318</v>
      </c>
      <c r="N11" s="110">
        <f>SUMIFS(PAGOS!$E$3:$E$1048576,PAGOS!$A$3:$A$1048576,"&lt;&gt;INGRESO*",PAGOS!$A$3:$A$1048576,"&lt;&gt;EGRESO*",PAGOS!$D$3:$D$1048576,+MID('08'!B11,6,3)*1)</f>
        <v>300</v>
      </c>
      <c r="O11" s="110">
        <f>E11-N11</f>
        <v>0</v>
      </c>
      <c r="P11" s="110">
        <f>SUMIFS(PAGOS!$H$3:$H$1048576,PAGOS!$A$3:$A$1048576,"&lt;&gt;INGRESO*",PAGOS!$A$3:$A$1048576,"&lt;&gt;EGRESO*",PAGOS!$D$3:$D$1048576,+MID('08'!B11,6,3)*1)</f>
        <v>12</v>
      </c>
      <c r="Q11" s="110">
        <f>K11-P11</f>
        <v>6</v>
      </c>
    </row>
    <row r="12" spans="1:17" x14ac:dyDescent="0.3">
      <c r="A12" s="45">
        <v>6</v>
      </c>
      <c r="B12" s="39" t="s">
        <v>350</v>
      </c>
      <c r="C12" s="45" t="s">
        <v>16</v>
      </c>
      <c r="D12" s="41">
        <v>45764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1">
        <v>500</v>
      </c>
      <c r="K12" s="11">
        <v>50</v>
      </c>
      <c r="L12" s="11">
        <v>550</v>
      </c>
      <c r="N12" s="110">
        <f>SUMIFS(PAGOS!$E$3:$E$1048576,PAGOS!$A$3:$A$1048576,"&lt;&gt;INGRESO*",PAGOS!$A$3:$A$1048576,"&lt;&gt;EGRESO*",PAGOS!$D$3:$D$1048576,+MID('08'!B12,6,3)*1)</f>
        <v>500</v>
      </c>
      <c r="O12" s="110">
        <f t="shared" ref="O12:O13" si="0">E12-N12</f>
        <v>0</v>
      </c>
      <c r="P12" s="110">
        <f>SUMIFS(PAGOS!$H$3:$H$1048576,PAGOS!$A$3:$A$1048576,"&lt;&gt;INGRESO*",PAGOS!$A$3:$A$1048576,"&lt;&gt;EGRESO*",PAGOS!$D$3:$D$1048576,+MID('08'!B12,6,3)*1)</f>
        <v>40</v>
      </c>
      <c r="Q12" s="110">
        <f t="shared" ref="Q12:Q13" si="1">K12-P12</f>
        <v>10</v>
      </c>
    </row>
    <row r="13" spans="1:17" x14ac:dyDescent="0.3">
      <c r="A13" s="45">
        <v>7</v>
      </c>
      <c r="B13" s="39" t="s">
        <v>399</v>
      </c>
      <c r="C13" s="45" t="s">
        <v>16</v>
      </c>
      <c r="D13" s="41">
        <v>45860</v>
      </c>
      <c r="E13" s="167">
        <v>300</v>
      </c>
      <c r="F13" s="45">
        <v>2</v>
      </c>
      <c r="G13" s="11">
        <v>150</v>
      </c>
      <c r="H13" s="11">
        <v>6</v>
      </c>
      <c r="I13" s="199">
        <v>156</v>
      </c>
      <c r="J13" s="11">
        <v>300</v>
      </c>
      <c r="K13" s="11">
        <v>12</v>
      </c>
      <c r="L13" s="11">
        <v>312</v>
      </c>
      <c r="N13" s="110">
        <f>SUMIFS(PAGOS!$E$3:$E$1048576,PAGOS!$A$3:$A$1048576,"&lt;&gt;INGRESO*",PAGOS!$A$3:$A$1048576,"&lt;&gt;EGRESO*",PAGOS!$D$3:$D$1048576,+MID('08'!B13,6,3)*1)</f>
        <v>200</v>
      </c>
      <c r="O13" s="110">
        <f t="shared" si="0"/>
        <v>100</v>
      </c>
      <c r="P13" s="110">
        <f>SUMIFS(PAGOS!$H$3:$H$1048576,PAGOS!$A$3:$A$1048576,"&lt;&gt;INGRESO*",PAGOS!$A$3:$A$1048576,"&lt;&gt;EGRESO*",PAGOS!$D$3:$D$1048576,+MID('08'!B13,6,3)*1)</f>
        <v>4</v>
      </c>
      <c r="Q13" s="110">
        <f t="shared" si="1"/>
        <v>8</v>
      </c>
    </row>
    <row r="14" spans="1:17" x14ac:dyDescent="0.3">
      <c r="A14" s="45">
        <v>8</v>
      </c>
      <c r="B14" s="39" t="s">
        <v>504</v>
      </c>
      <c r="C14" s="45" t="s">
        <v>409</v>
      </c>
      <c r="D14" s="41">
        <v>45915</v>
      </c>
      <c r="E14" s="45">
        <v>700</v>
      </c>
      <c r="F14" s="45">
        <v>5</v>
      </c>
      <c r="G14" s="11">
        <v>140</v>
      </c>
      <c r="H14" s="11">
        <v>14</v>
      </c>
      <c r="I14" s="199">
        <v>154</v>
      </c>
      <c r="J14" s="11">
        <v>700</v>
      </c>
      <c r="K14" s="11">
        <v>70</v>
      </c>
      <c r="L14" s="11">
        <v>770</v>
      </c>
      <c r="N14" s="110">
        <f>SUMIFS(PAGOS!$E$3:$E$1048576,PAGOS!$A$3:$A$1048576,"&lt;&gt;INGRESO*",PAGOS!$A$3:$A$1048576,"&lt;&gt;EGRESO*",PAGOS!$D$3:$D$1048576,+MID('08'!B14,6,3)*1)</f>
        <v>0</v>
      </c>
      <c r="O14" s="110">
        <f t="shared" ref="O14" si="2">E14-N14</f>
        <v>700</v>
      </c>
      <c r="P14" s="110">
        <f>SUMIFS(PAGOS!$H$3:$H$1048576,PAGOS!$A$3:$A$1048576,"&lt;&gt;INGRESO*",PAGOS!$A$3:$A$1048576,"&lt;&gt;EGRESO*",PAGOS!$D$3:$D$1048576,+MID('08'!B14,6,3)*1)</f>
        <v>14</v>
      </c>
      <c r="Q14" s="110">
        <f t="shared" ref="Q14" si="3">K14-P14</f>
        <v>56</v>
      </c>
    </row>
    <row r="16" spans="1:17" x14ac:dyDescent="0.3">
      <c r="I16" s="159"/>
    </row>
    <row r="17" spans="9:9" x14ac:dyDescent="0.3">
      <c r="I17" s="159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30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2860</v>
      </c>
      <c r="H3" s="132" t="s">
        <v>177</v>
      </c>
      <c r="I3" s="150">
        <f>SUM($P$7:$P$1048576)</f>
        <v>276.39999999999998</v>
      </c>
      <c r="J3" s="132" t="s">
        <v>178</v>
      </c>
      <c r="K3" s="151">
        <f>G3+I3</f>
        <v>3136.4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</v>
      </c>
      <c r="C7" s="45" t="s">
        <v>17</v>
      </c>
      <c r="D7" s="41">
        <v>44788</v>
      </c>
      <c r="E7" s="162">
        <v>60</v>
      </c>
      <c r="F7" s="45">
        <v>2</v>
      </c>
      <c r="G7" s="162">
        <v>30</v>
      </c>
      <c r="H7" s="162">
        <v>1.2</v>
      </c>
      <c r="I7" s="163">
        <v>31.2</v>
      </c>
      <c r="J7" s="162">
        <v>60</v>
      </c>
      <c r="K7" s="162">
        <v>2.4</v>
      </c>
      <c r="L7" s="162">
        <v>62.4</v>
      </c>
      <c r="N7" s="110">
        <f>SUMIFS(PAGOS!$E$3:$E$1048576,PAGOS!$A$3:$A$1048576,"&lt;&gt;INGRESO*",PAGOS!$A$3:$A$1048576,"&lt;&gt;EGRESO*",PAGOS!$D$3:$D$1048576,B7)</f>
        <v>60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2.4</v>
      </c>
      <c r="Q7" s="110">
        <f t="shared" ref="Q7:Q13" si="1">K7-P7</f>
        <v>0</v>
      </c>
    </row>
    <row r="8" spans="1:17" x14ac:dyDescent="0.3">
      <c r="A8" s="45">
        <v>2</v>
      </c>
      <c r="B8" s="161">
        <v>10</v>
      </c>
      <c r="C8" s="45" t="s">
        <v>17</v>
      </c>
      <c r="D8" s="41">
        <v>44941</v>
      </c>
      <c r="E8" s="162">
        <v>100</v>
      </c>
      <c r="F8" s="45">
        <v>4</v>
      </c>
      <c r="G8" s="162">
        <v>25</v>
      </c>
      <c r="H8" s="162">
        <v>2</v>
      </c>
      <c r="I8" s="163">
        <v>27</v>
      </c>
      <c r="J8" s="162">
        <v>100</v>
      </c>
      <c r="K8" s="162">
        <v>8</v>
      </c>
      <c r="L8" s="162">
        <v>108</v>
      </c>
      <c r="N8" s="110">
        <f>SUMIFS(PAGOS!$E$3:$E$1048576,PAGOS!$A$3:$A$1048576,"&lt;&gt;INGRESO*",PAGOS!$A$3:$A$1048576,"&lt;&gt;EGRESO*",PAGOS!$D$3:$D$1048576,B8)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8</v>
      </c>
      <c r="Q8" s="110">
        <f t="shared" si="1"/>
        <v>0</v>
      </c>
    </row>
    <row r="9" spans="1:17" x14ac:dyDescent="0.3">
      <c r="A9" s="45">
        <v>3</v>
      </c>
      <c r="B9" s="161">
        <v>18</v>
      </c>
      <c r="C9" s="45" t="s">
        <v>17</v>
      </c>
      <c r="D9" s="41">
        <v>45061</v>
      </c>
      <c r="E9" s="162">
        <v>100</v>
      </c>
      <c r="F9" s="45">
        <v>4</v>
      </c>
      <c r="G9" s="162">
        <v>25</v>
      </c>
      <c r="H9" s="162">
        <v>2</v>
      </c>
      <c r="I9" s="163">
        <v>27</v>
      </c>
      <c r="J9" s="162">
        <v>100</v>
      </c>
      <c r="K9" s="162">
        <v>8</v>
      </c>
      <c r="L9" s="162">
        <v>108</v>
      </c>
      <c r="N9" s="110">
        <f>SUMIFS(PAGOS!$E$3:$E$1048576,PAGOS!$A$3:$A$1048576,"&lt;&gt;INGRESO*",PAGOS!$A$3:$A$1048576,"&lt;&gt;EGRESO*",PAGOS!$D$3:$D$1048576,B9)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8</v>
      </c>
      <c r="Q9" s="110">
        <f t="shared" si="1"/>
        <v>0</v>
      </c>
    </row>
    <row r="10" spans="1:17" x14ac:dyDescent="0.3">
      <c r="A10" s="45">
        <v>4</v>
      </c>
      <c r="B10" s="161">
        <v>28</v>
      </c>
      <c r="C10" s="45" t="s">
        <v>17</v>
      </c>
      <c r="D10" s="41">
        <v>45214</v>
      </c>
      <c r="E10" s="162">
        <v>600</v>
      </c>
      <c r="F10" s="45">
        <v>4</v>
      </c>
      <c r="G10" s="162">
        <v>150</v>
      </c>
      <c r="H10" s="162">
        <v>12</v>
      </c>
      <c r="I10" s="163">
        <v>162</v>
      </c>
      <c r="J10" s="162">
        <v>600</v>
      </c>
      <c r="K10" s="162">
        <v>48</v>
      </c>
      <c r="L10" s="162">
        <v>648</v>
      </c>
      <c r="N10" s="110">
        <f>SUMIFS(PAGOS!$E$3:$E$1048576,PAGOS!$A$3:$A$1048576,"&lt;&gt;INGRESO*",PAGOS!$A$3:$A$1048576,"&lt;&gt;EGRESO*",PAGOS!$D$3:$D$1048576,B10)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48</v>
      </c>
      <c r="Q10" s="110">
        <f t="shared" si="1"/>
        <v>0</v>
      </c>
    </row>
    <row r="11" spans="1:17" x14ac:dyDescent="0.3">
      <c r="A11" s="45">
        <v>5</v>
      </c>
      <c r="B11" s="161">
        <v>35</v>
      </c>
      <c r="C11" s="45" t="s">
        <v>17</v>
      </c>
      <c r="D11" s="41">
        <v>45337</v>
      </c>
      <c r="E11" s="162">
        <v>600</v>
      </c>
      <c r="F11" s="45">
        <v>5</v>
      </c>
      <c r="G11" s="162">
        <v>120</v>
      </c>
      <c r="H11" s="162">
        <v>12</v>
      </c>
      <c r="I11" s="163">
        <v>132</v>
      </c>
      <c r="J11" s="162">
        <v>600</v>
      </c>
      <c r="K11" s="162">
        <v>60</v>
      </c>
      <c r="L11" s="162">
        <v>660</v>
      </c>
      <c r="N11" s="110">
        <f>SUMIFS(PAGOS!$E$3:$E$1048576,PAGOS!$A$3:$A$1048576,"&lt;&gt;INGRESO*",PAGOS!$A$3:$A$1048576,"&lt;&gt;EGRESO*",PAGOS!$D$3:$D$1048576,B11)</f>
        <v>600</v>
      </c>
      <c r="O11" s="110">
        <f t="shared" si="0"/>
        <v>0</v>
      </c>
      <c r="P11" s="110">
        <f>SUMIFS(PAGOS!$H$3:$H$1048576,PAGOS!$A$3:$A$1048576,"&lt;&gt;INGRESO*",PAGOS!$A$3:$A$1048576,"&lt;&gt;EGRESO*",PAGOS!$D$3:$D$1048576,B11)</f>
        <v>60</v>
      </c>
      <c r="Q11" s="110">
        <f t="shared" si="1"/>
        <v>0</v>
      </c>
    </row>
    <row r="12" spans="1:17" x14ac:dyDescent="0.3">
      <c r="A12" s="45">
        <v>6</v>
      </c>
      <c r="B12" s="39" t="s">
        <v>222</v>
      </c>
      <c r="C12" s="45" t="s">
        <v>17</v>
      </c>
      <c r="D12" s="41">
        <v>45519</v>
      </c>
      <c r="E12" s="167">
        <v>600</v>
      </c>
      <c r="F12" s="45">
        <v>6</v>
      </c>
      <c r="G12" s="162">
        <v>100</v>
      </c>
      <c r="H12" s="162">
        <v>12</v>
      </c>
      <c r="I12" s="163">
        <v>112</v>
      </c>
      <c r="J12" s="162">
        <v>600</v>
      </c>
      <c r="K12" s="162">
        <v>72</v>
      </c>
      <c r="L12" s="167">
        <v>672</v>
      </c>
      <c r="N12" s="110">
        <f>SUMIFS(PAGOS!$E$3:$E$1048576,PAGOS!$A$3:$A$1048576,"&lt;&gt;INGRESO*",PAGOS!$A$3:$A$1048576,"&lt;&gt;EGRESO*",PAGOS!$D$3:$D$1048576,+MID('09'!B12,6,3)*1)</f>
        <v>600</v>
      </c>
      <c r="O12" s="110">
        <f t="shared" si="0"/>
        <v>0</v>
      </c>
      <c r="P12" s="110">
        <f>SUMIFS(PAGOS!$H$3:$H$1048576,PAGOS!$A$3:$A$1048576,"&lt;&gt;INGRESO*",PAGOS!$A$3:$A$1048576,"&lt;&gt;EGRESO*",PAGOS!$D$3:$D$1048576,+MID('09'!B12,6,3)*1)</f>
        <v>48</v>
      </c>
      <c r="Q12" s="110">
        <f t="shared" si="1"/>
        <v>24</v>
      </c>
    </row>
    <row r="13" spans="1:17" x14ac:dyDescent="0.3">
      <c r="A13" s="45">
        <v>7</v>
      </c>
      <c r="B13" s="39" t="s">
        <v>305</v>
      </c>
      <c r="C13" s="45" t="s">
        <v>17</v>
      </c>
      <c r="D13" s="41">
        <v>45672</v>
      </c>
      <c r="E13" s="167">
        <v>700</v>
      </c>
      <c r="F13" s="45">
        <v>7</v>
      </c>
      <c r="G13" s="167">
        <v>100</v>
      </c>
      <c r="H13" s="167">
        <v>14</v>
      </c>
      <c r="I13" s="163">
        <v>114</v>
      </c>
      <c r="J13" s="162">
        <v>700</v>
      </c>
      <c r="K13" s="162">
        <v>98</v>
      </c>
      <c r="L13" s="162">
        <v>798</v>
      </c>
      <c r="N13" s="110">
        <f>SUMIFS(PAGOS!$E$3:$E$1048576,PAGOS!$A$3:$A$1048576,"&lt;&gt;INGRESO*",PAGOS!$A$3:$A$1048576,"&lt;&gt;EGRESO*",PAGOS!$D$3:$D$1048576,+MID('09'!B13,6,3)*1)</f>
        <v>700</v>
      </c>
      <c r="O13" s="110">
        <f t="shared" si="0"/>
        <v>0</v>
      </c>
      <c r="P13" s="110">
        <f>SUMIFS(PAGOS!$H$3:$H$1048576,PAGOS!$A$3:$A$1048576,"&lt;&gt;INGRESO*",PAGOS!$A$3:$A$1048576,"&lt;&gt;EGRESO*",PAGOS!$D$3:$D$1048576,+MID('09'!B13,6,3)*1)</f>
        <v>98</v>
      </c>
      <c r="Q13" s="110">
        <f t="shared" si="1"/>
        <v>0</v>
      </c>
    </row>
    <row r="14" spans="1:17" x14ac:dyDescent="0.3">
      <c r="A14" s="45">
        <v>8</v>
      </c>
      <c r="B14" s="39" t="s">
        <v>493</v>
      </c>
      <c r="C14" s="45" t="s">
        <v>17</v>
      </c>
      <c r="D14" s="41">
        <v>45900</v>
      </c>
      <c r="E14" s="167">
        <v>100</v>
      </c>
      <c r="F14" s="45">
        <v>2</v>
      </c>
      <c r="G14" s="167">
        <v>50</v>
      </c>
      <c r="H14" s="167">
        <v>2</v>
      </c>
      <c r="I14" s="163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SUMIFS(PAGOS!$E$3:$E$1048576,PAGOS!$A$3:$A$1048576,"&lt;&gt;INGRESO*",PAGOS!$A$3:$A$1048576,"&lt;&gt;EGRESO*",PAGOS!$D$3:$D$1048576,+MID('09'!B14,6,3)*1)</f>
        <v>100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SUMIFS(PAGOS!$H$3:$H$1048576,PAGOS!$A$3:$A$1048576,"&lt;&gt;INGRESO*",PAGOS!$A$3:$A$1048576,"&lt;&gt;EGRESO*",PAGOS!$D$3:$D$1048576,+MID('09'!B14,6,3)*1)</f>
        <v>4</v>
      </c>
      <c r="Q14" s="110">
        <f t="shared" ref="Q14" si="3">K14-P14</f>
        <v>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M12" sqref="M12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29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750</v>
      </c>
      <c r="H3" s="132" t="s">
        <v>177</v>
      </c>
      <c r="I3" s="150">
        <f>SUM($P$7:$P$1048576)</f>
        <v>50</v>
      </c>
      <c r="J3" s="132" t="s">
        <v>178</v>
      </c>
      <c r="K3" s="151">
        <f>G3+I3</f>
        <v>800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12</v>
      </c>
      <c r="C7" s="45" t="s">
        <v>18</v>
      </c>
      <c r="D7" s="41">
        <v>44972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SUMIFS(PAGOS!$E$3:$E$1048576,PAGOS!$A$3:$A$1048576,"&lt;&gt;INGRESO*",PAGOS!$A$3:$A$1048576,"&lt;&gt;EGRESO*",PAGOS!$D$3:$D$1048576,B7)</f>
        <v>100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39" t="s">
        <v>201</v>
      </c>
      <c r="C8" s="45" t="s">
        <v>18</v>
      </c>
      <c r="D8" s="41">
        <v>45366</v>
      </c>
      <c r="E8" s="167">
        <v>100</v>
      </c>
      <c r="F8" s="45">
        <v>5</v>
      </c>
      <c r="G8" s="162">
        <v>20</v>
      </c>
      <c r="H8" s="162">
        <v>2</v>
      </c>
      <c r="I8" s="163">
        <v>22</v>
      </c>
      <c r="J8" s="162">
        <v>100</v>
      </c>
      <c r="K8" s="162">
        <v>10</v>
      </c>
      <c r="L8" s="162">
        <v>110</v>
      </c>
      <c r="N8" s="110">
        <f>SUMIFS(PAGOS!$E$3:$E$1048576,PAGOS!$A$3:$A$1048576,"&lt;&gt;INGRESO*",PAGOS!$A$3:$A$1048576,"&lt;&gt;EGRESO*",PAGOS!$D$3:$D$1048576,+MID('10'!B8,6,3)*1)</f>
        <v>100</v>
      </c>
      <c r="O8" s="110">
        <f>E8-N8</f>
        <v>0</v>
      </c>
      <c r="P8" s="110">
        <f>SUMIFS(PAGOS!$H$3:$H$1048576,PAGOS!$A$3:$A$1048576,"&lt;&gt;INGRESO*",PAGOS!$A$3:$A$1048576,"&lt;&gt;EGRESO*",PAGOS!$D$3:$D$1048576,+MID('10'!B8,6,3)*1)</f>
        <v>10</v>
      </c>
      <c r="Q8" s="110">
        <f>K8-P8</f>
        <v>0</v>
      </c>
    </row>
    <row r="9" spans="1:17" x14ac:dyDescent="0.3">
      <c r="A9" s="45">
        <v>3</v>
      </c>
      <c r="B9" s="39" t="s">
        <v>270</v>
      </c>
      <c r="C9" s="45" t="s">
        <v>18</v>
      </c>
      <c r="D9" s="41">
        <v>45611</v>
      </c>
      <c r="E9" s="167">
        <v>200</v>
      </c>
      <c r="F9" s="45">
        <v>5</v>
      </c>
      <c r="G9" s="162">
        <v>40</v>
      </c>
      <c r="H9" s="162">
        <v>4</v>
      </c>
      <c r="I9" s="163">
        <v>44</v>
      </c>
      <c r="J9" s="162">
        <v>200</v>
      </c>
      <c r="K9" s="162">
        <v>20</v>
      </c>
      <c r="L9" s="162">
        <v>220</v>
      </c>
      <c r="N9" s="110">
        <f>SUMIFS(PAGOS!$E$3:$E$1048576,PAGOS!$A$3:$A$1048576,"&lt;&gt;INGRESO*",PAGOS!$A$3:$A$1048576,"&lt;&gt;EGRESO*",PAGOS!$D$3:$D$1048576,+MID('10'!B9,6,3)*1)</f>
        <v>200</v>
      </c>
      <c r="O9" s="110">
        <f>E9-N9</f>
        <v>0</v>
      </c>
      <c r="P9" s="110">
        <f>SUMIFS(PAGOS!$H$3:$H$1048576,PAGOS!$A$3:$A$1048576,"&lt;&gt;INGRESO*",PAGOS!$A$3:$A$1048576,"&lt;&gt;EGRESO*",PAGOS!$D$3:$D$1048576,+MID('10'!B9,6,3)*1)</f>
        <v>12</v>
      </c>
      <c r="Q9" s="110">
        <f>K9-P9</f>
        <v>8</v>
      </c>
    </row>
    <row r="10" spans="1:17" x14ac:dyDescent="0.3">
      <c r="A10" s="45">
        <v>4</v>
      </c>
      <c r="B10" s="39" t="s">
        <v>338</v>
      </c>
      <c r="C10" s="45" t="s">
        <v>18</v>
      </c>
      <c r="D10" s="41">
        <v>45762</v>
      </c>
      <c r="E10" s="167">
        <v>200</v>
      </c>
      <c r="F10" s="45">
        <v>5</v>
      </c>
      <c r="G10" s="162">
        <v>40</v>
      </c>
      <c r="H10" s="162">
        <v>4</v>
      </c>
      <c r="I10" s="163">
        <v>44</v>
      </c>
      <c r="J10" s="162">
        <v>200</v>
      </c>
      <c r="K10" s="162">
        <v>20</v>
      </c>
      <c r="L10" s="167">
        <v>220</v>
      </c>
      <c r="N10" s="110">
        <f>SUMIFS(PAGOS!$E$3:$E$1048576,PAGOS!$A$3:$A$1048576,"&lt;&gt;INGRESO*",PAGOS!$A$3:$A$1048576,"&lt;&gt;EGRESO*",PAGOS!$D$3:$D$1048576,+MID('10'!B10,6,3)*1)</f>
        <v>200</v>
      </c>
      <c r="O10" s="110">
        <f>E10-N10</f>
        <v>0</v>
      </c>
      <c r="P10" s="110">
        <f>SUMIFS(PAGOS!$H$3:$H$1048576,PAGOS!$A$3:$A$1048576,"&lt;&gt;INGRESO*",PAGOS!$A$3:$A$1048576,"&lt;&gt;EGRESO*",PAGOS!$D$3:$D$1048576,+MID('10'!B10,6,3)*1)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520</v>
      </c>
      <c r="C11" s="45" t="s">
        <v>18</v>
      </c>
      <c r="D11" s="41">
        <v>45945</v>
      </c>
      <c r="E11" s="167">
        <v>150</v>
      </c>
      <c r="F11" s="45">
        <v>3</v>
      </c>
      <c r="G11" s="162">
        <v>50</v>
      </c>
      <c r="H11" s="162">
        <v>3</v>
      </c>
      <c r="I11" s="163">
        <v>53</v>
      </c>
      <c r="J11" s="162">
        <v>150</v>
      </c>
      <c r="K11" s="162">
        <v>9</v>
      </c>
      <c r="L11" s="162">
        <v>159</v>
      </c>
      <c r="N11" s="110">
        <f>SUMIFS(PAGOS!$E$3:$E$1048576,PAGOS!$A$3:$A$1048576,"&lt;&gt;INGRESO*",PAGOS!$A$3:$A$1048576,"&lt;&gt;EGRESO*",PAGOS!$D$3:$D$1048576,+MID('10'!B11,6,3)*1)</f>
        <v>0</v>
      </c>
      <c r="O11" s="110">
        <f>E11-N11</f>
        <v>150</v>
      </c>
      <c r="P11" s="110">
        <f>SUMIFS(PAGOS!$H$3:$H$1048576,PAGOS!$A$3:$A$1048576,"&lt;&gt;INGRESO*",PAGOS!$A$3:$A$1048576,"&lt;&gt;EGRESO*",PAGOS!$D$3:$D$1048576,+MID('10'!B11,6,3)*1)</f>
        <v>0</v>
      </c>
      <c r="Q11" s="110">
        <f>K11-P11</f>
        <v>9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9.88671875" style="160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1400</v>
      </c>
      <c r="H3" s="132" t="s">
        <v>177</v>
      </c>
      <c r="I3" s="150">
        <f>SUM($P$7:$P$1048576)</f>
        <v>96</v>
      </c>
      <c r="J3" s="132" t="s">
        <v>178</v>
      </c>
      <c r="K3" s="151">
        <f>G3+I3</f>
        <v>1496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161">
        <v>5</v>
      </c>
      <c r="C7" s="45" t="s">
        <v>19</v>
      </c>
      <c r="D7" s="41">
        <v>44910</v>
      </c>
      <c r="E7" s="162">
        <v>200</v>
      </c>
      <c r="F7" s="45">
        <v>1</v>
      </c>
      <c r="G7" s="162">
        <v>200</v>
      </c>
      <c r="H7" s="162">
        <v>4</v>
      </c>
      <c r="I7" s="163">
        <v>204</v>
      </c>
      <c r="J7" s="162">
        <v>200</v>
      </c>
      <c r="K7" s="162">
        <v>4</v>
      </c>
      <c r="L7" s="162">
        <v>204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4</v>
      </c>
      <c r="Q7" s="110">
        <f>K7-P7</f>
        <v>0</v>
      </c>
    </row>
    <row r="8" spans="1:17" x14ac:dyDescent="0.3">
      <c r="A8" s="45">
        <v>2</v>
      </c>
      <c r="B8" s="39" t="s">
        <v>235</v>
      </c>
      <c r="C8" s="45" t="s">
        <v>19</v>
      </c>
      <c r="D8" s="41">
        <v>45549</v>
      </c>
      <c r="E8" s="167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7">
        <v>432</v>
      </c>
      <c r="N8" s="110">
        <f>SUMIFS(PAGOS!$E$3:$E$1048576,PAGOS!$A$3:$A$1048576,"&lt;&gt;INGRESO*",PAGOS!$A$3:$A$1048576,"&lt;&gt;EGRESO*",PAGOS!$D$3:$D$1048576,+MID('11'!B8,6,3)*1)</f>
        <v>400</v>
      </c>
      <c r="O8" s="110">
        <f>E8-N8</f>
        <v>0</v>
      </c>
      <c r="P8" s="110">
        <f>SUMIFS(PAGOS!$H$3:$H$1048576,PAGOS!$A$3:$A$1048576,"&lt;&gt;INGRESO*",PAGOS!$A$3:$A$1048576,"&lt;&gt;EGRESO*",PAGOS!$D$3:$D$1048576,+MID('11'!B8,6,3)*1)</f>
        <v>24</v>
      </c>
      <c r="Q8" s="110">
        <f>K8-P8</f>
        <v>8</v>
      </c>
    </row>
    <row r="9" spans="1:17" x14ac:dyDescent="0.3">
      <c r="A9" s="45">
        <v>3</v>
      </c>
      <c r="B9" s="39" t="s">
        <v>290</v>
      </c>
      <c r="C9" s="45" t="s">
        <v>19</v>
      </c>
      <c r="D9" s="41">
        <v>45641</v>
      </c>
      <c r="E9" s="167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SUMIFS(PAGOS!$E$3:$E$1048576,PAGOS!$A$3:$A$1048576,"&lt;&gt;INGRESO*",PAGOS!$A$3:$A$1048576,"&lt;&gt;EGRESO*",PAGOS!$D$3:$D$1048576,+MID('11'!B9,6,3)*1)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SUMIFS(PAGOS!$H$3:$H$1048576,PAGOS!$A$3:$A$1048576,"&lt;&gt;INGRESO*",PAGOS!$A$3:$A$1048576,"&lt;&gt;EGRESO*",PAGOS!$D$3:$D$1048576,+MID('11'!B9,6,3)*1)</f>
        <v>50</v>
      </c>
      <c r="Q9" s="110">
        <f>K9-P9</f>
        <v>0</v>
      </c>
    </row>
    <row r="10" spans="1:17" x14ac:dyDescent="0.3">
      <c r="A10" s="45">
        <v>4</v>
      </c>
      <c r="B10" s="39" t="s">
        <v>374</v>
      </c>
      <c r="C10" s="45" t="s">
        <v>19</v>
      </c>
      <c r="D10" s="41">
        <v>45792</v>
      </c>
      <c r="E10" s="167">
        <v>300</v>
      </c>
      <c r="F10" s="45">
        <v>3</v>
      </c>
      <c r="G10" s="11">
        <v>100</v>
      </c>
      <c r="H10" s="11">
        <v>6</v>
      </c>
      <c r="I10" s="199">
        <v>106</v>
      </c>
      <c r="J10" s="11">
        <v>300</v>
      </c>
      <c r="K10" s="11">
        <v>18</v>
      </c>
      <c r="L10" s="11">
        <v>318</v>
      </c>
      <c r="N10" s="110">
        <f>SUMIFS(PAGOS!$E$3:$E$1048576,PAGOS!$A$3:$A$1048576,"&lt;&gt;INGRESO*",PAGOS!$A$3:$A$1048576,"&lt;&gt;EGRESO*",PAGOS!$D$3:$D$1048576,+MID('11'!B10,6,3)*1)</f>
        <v>300</v>
      </c>
      <c r="O10" s="110">
        <f>E10-N10</f>
        <v>0</v>
      </c>
      <c r="P10" s="110">
        <f>SUMIFS(PAGOS!$H$3:$H$1048576,PAGOS!$A$3:$A$1048576,"&lt;&gt;INGRESO*",PAGOS!$A$3:$A$1048576,"&lt;&gt;EGRESO*",PAGOS!$D$3:$D$1048576,+MID('11'!B10,6,3)*1)</f>
        <v>18</v>
      </c>
      <c r="Q10" s="110">
        <f>K10-P10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59" customWidth="1"/>
    <col min="6" max="6" width="9.33203125" bestFit="1" customWidth="1"/>
    <col min="7" max="7" width="11.88671875" style="159" bestFit="1" customWidth="1"/>
    <col min="8" max="8" width="7.6640625" style="159" bestFit="1" customWidth="1"/>
    <col min="9" max="9" width="8.44140625" style="160" bestFit="1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3500</v>
      </c>
      <c r="H3" s="132" t="s">
        <v>177</v>
      </c>
      <c r="I3" s="150">
        <f>SUM($P$7:$P$1048576)</f>
        <v>380</v>
      </c>
      <c r="J3" s="132" t="s">
        <v>178</v>
      </c>
      <c r="K3" s="151">
        <f>G3+I3</f>
        <v>3880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161">
        <v>7</v>
      </c>
      <c r="C7" s="45" t="s">
        <v>20</v>
      </c>
      <c r="D7" s="41">
        <v>44910</v>
      </c>
      <c r="E7" s="11">
        <v>100</v>
      </c>
      <c r="F7" s="45">
        <v>4</v>
      </c>
      <c r="G7" s="11">
        <v>25</v>
      </c>
      <c r="H7" s="11">
        <v>2</v>
      </c>
      <c r="I7" s="199">
        <v>27</v>
      </c>
      <c r="J7" s="11">
        <v>100</v>
      </c>
      <c r="K7" s="11">
        <v>8</v>
      </c>
      <c r="L7" s="11">
        <v>108</v>
      </c>
      <c r="N7" s="110">
        <f>SUMIFS(PAGOS!$E$3:$E$1048576,PAGOS!$A$3:$A$1048576,"&lt;&gt;INGRESO*",PAGOS!$A$3:$A$1048576,"&lt;&gt;EGRESO*",PAGOS!$D$3:$D$1048576,B7)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2" si="1">K7-P7</f>
        <v>0</v>
      </c>
    </row>
    <row r="8" spans="1:17" x14ac:dyDescent="0.3">
      <c r="A8" s="45">
        <v>2</v>
      </c>
      <c r="B8" s="161">
        <v>15</v>
      </c>
      <c r="C8" s="45" t="s">
        <v>20</v>
      </c>
      <c r="D8" s="41">
        <v>45031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161">
        <v>30</v>
      </c>
      <c r="C9" s="45" t="s">
        <v>20</v>
      </c>
      <c r="D9" s="41">
        <v>45214</v>
      </c>
      <c r="E9" s="11">
        <v>400</v>
      </c>
      <c r="F9" s="45">
        <v>7</v>
      </c>
      <c r="G9" s="11">
        <v>57.142857142857146</v>
      </c>
      <c r="H9" s="11">
        <v>8</v>
      </c>
      <c r="I9" s="199">
        <v>65.142857142857139</v>
      </c>
      <c r="J9" s="11">
        <v>400</v>
      </c>
      <c r="K9" s="11">
        <v>56</v>
      </c>
      <c r="L9" s="11">
        <v>456</v>
      </c>
      <c r="N9" s="110">
        <f>SUMIFS(PAGOS!$E$3:$E$1048576,PAGOS!$A$3:$A$1048576,"&lt;&gt;INGRESO*",PAGOS!$A$3:$A$1048576,"&lt;&gt;EGRESO*",PAGOS!$D$3:$D$1048576,B9)</f>
        <v>399.99999999999994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56</v>
      </c>
      <c r="Q9" s="110">
        <f t="shared" si="1"/>
        <v>0</v>
      </c>
    </row>
    <row r="10" spans="1:17" x14ac:dyDescent="0.3">
      <c r="A10" s="45">
        <v>4</v>
      </c>
      <c r="B10" s="39" t="s">
        <v>206</v>
      </c>
      <c r="C10" s="45" t="s">
        <v>20</v>
      </c>
      <c r="D10" s="41">
        <v>45427</v>
      </c>
      <c r="E10" s="11">
        <v>600</v>
      </c>
      <c r="F10" s="45">
        <v>7</v>
      </c>
      <c r="G10" s="11">
        <v>85.714285714285708</v>
      </c>
      <c r="H10" s="11">
        <v>12</v>
      </c>
      <c r="I10" s="199">
        <v>97.714285714285708</v>
      </c>
      <c r="J10" s="11">
        <v>600</v>
      </c>
      <c r="K10" s="11">
        <v>84</v>
      </c>
      <c r="L10" s="11">
        <v>684</v>
      </c>
      <c r="N10" s="110">
        <f>SUMIFS(PAGOS!$E$3:$E$1048576,PAGOS!$A$3:$A$1048576,"&lt;&gt;INGRESO*",PAGOS!$A$3:$A$1048576,"&lt;&gt;EGRESO*",PAGOS!$D$3:$D$1048576,+MID('12'!B10,6,3)*1)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SUMIFS(PAGOS!$H$3:$H$1048576,PAGOS!$A$3:$A$1048576,"&lt;&gt;INGRESO*",PAGOS!$A$3:$A$1048576,"&lt;&gt;EGRESO*",PAGOS!$D$3:$D$1048576,+MID('12'!B10,6,3)*1)</f>
        <v>72</v>
      </c>
      <c r="Q10" s="110">
        <f t="shared" si="1"/>
        <v>12</v>
      </c>
    </row>
    <row r="11" spans="1:17" x14ac:dyDescent="0.3">
      <c r="A11" s="45">
        <v>5</v>
      </c>
      <c r="B11" s="39" t="s">
        <v>267</v>
      </c>
      <c r="C11" s="45" t="s">
        <v>20</v>
      </c>
      <c r="D11" s="41">
        <v>45611</v>
      </c>
      <c r="E11" s="11">
        <v>1000</v>
      </c>
      <c r="F11" s="45">
        <v>10</v>
      </c>
      <c r="G11" s="11">
        <v>100</v>
      </c>
      <c r="H11" s="11">
        <v>20</v>
      </c>
      <c r="I11" s="199">
        <v>120</v>
      </c>
      <c r="J11" s="11">
        <v>1000</v>
      </c>
      <c r="K11" s="11">
        <v>200</v>
      </c>
      <c r="L11" s="11">
        <v>1200</v>
      </c>
      <c r="N11" s="110">
        <f>SUMIFS(PAGOS!$E$3:$E$1048576,PAGOS!$A$3:$A$1048576,"&lt;&gt;INGRESO*",PAGOS!$A$3:$A$1048576,"&lt;&gt;EGRESO*",PAGOS!$D$3:$D$1048576,+MID('12'!B11,6,3)*1)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SUMIFS(PAGOS!$H$3:$H$1048576,PAGOS!$A$3:$A$1048576,"&lt;&gt;INGRESO*",PAGOS!$A$3:$A$1048576,"&lt;&gt;EGRESO*",PAGOS!$D$3:$D$1048576,+MID('12'!B11,6,3)*1)</f>
        <v>180</v>
      </c>
      <c r="Q11" s="110">
        <f t="shared" si="1"/>
        <v>20</v>
      </c>
    </row>
    <row r="12" spans="1:17" x14ac:dyDescent="0.3">
      <c r="A12" s="45">
        <v>6</v>
      </c>
      <c r="B12" s="39" t="s">
        <v>446</v>
      </c>
      <c r="C12" s="45" t="s">
        <v>20</v>
      </c>
      <c r="D12" s="41">
        <v>45884</v>
      </c>
      <c r="E12" s="11">
        <v>1100</v>
      </c>
      <c r="F12" s="45">
        <v>10</v>
      </c>
      <c r="G12" s="11">
        <v>110</v>
      </c>
      <c r="H12" s="11">
        <v>22</v>
      </c>
      <c r="I12" s="199">
        <v>132</v>
      </c>
      <c r="J12" s="11">
        <v>1100</v>
      </c>
      <c r="K12" s="11">
        <v>220</v>
      </c>
      <c r="L12" s="11">
        <v>1320</v>
      </c>
      <c r="N12" s="110">
        <f>SUMIFS(PAGOS!$E$3:$E$1048576,PAGOS!$A$3:$A$1048576,"&lt;&gt;INGRESO*",PAGOS!$A$3:$A$1048576,"&lt;&gt;EGRESO*",PAGOS!$D$3:$D$1048576,+MID('12'!B12,6,3)*1)</f>
        <v>220</v>
      </c>
      <c r="O12" s="110">
        <f t="shared" si="0"/>
        <v>880</v>
      </c>
      <c r="P12" s="110">
        <f>SUMIFS(PAGOS!$H$3:$H$1048576,PAGOS!$A$3:$A$1048576,"&lt;&gt;INGRESO*",PAGOS!$A$3:$A$1048576,"&lt;&gt;EGRESO*",PAGOS!$D$3:$D$1048576,+MID('12'!B12,6,3)*1)</f>
        <v>44</v>
      </c>
      <c r="Q12" s="110">
        <f t="shared" si="1"/>
        <v>176</v>
      </c>
    </row>
    <row r="13" spans="1:17" x14ac:dyDescent="0.3">
      <c r="A13" s="45">
        <v>7</v>
      </c>
      <c r="B13" s="39" t="s">
        <v>492</v>
      </c>
      <c r="C13" s="45" t="s">
        <v>20</v>
      </c>
      <c r="D13" s="41">
        <v>45900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SUMIFS(PAGOS!$E$3:$E$1048576,PAGOS!$A$3:$A$1048576,"&lt;&gt;INGRESO*",PAGOS!$A$3:$A$1048576,"&lt;&gt;EGRESO*",PAGOS!$D$3:$D$1048576,+MID('12'!B13,6,3)*1)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SUMIFS(PAGOS!$H$3:$H$1048576,PAGOS!$A$3:$A$1048576,"&lt;&gt;INGRESO*",PAGOS!$A$3:$A$1048576,"&lt;&gt;EGRESO*",PAGOS!$D$3:$D$1048576,+MID('12'!B13,6,3)*1)</f>
        <v>4</v>
      </c>
      <c r="Q13" s="110">
        <f t="shared" ref="Q13" si="3">K13-P13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2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3620</v>
      </c>
      <c r="H3" s="132" t="s">
        <v>177</v>
      </c>
      <c r="I3" s="150">
        <f>SUM($P$7:$P$1048576)</f>
        <v>287</v>
      </c>
      <c r="J3" s="132" t="s">
        <v>178</v>
      </c>
      <c r="K3" s="151">
        <f>G3+I3</f>
        <v>3907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162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8</v>
      </c>
      <c r="C7" s="45" t="s">
        <v>21</v>
      </c>
      <c r="D7" s="41">
        <v>44910</v>
      </c>
      <c r="E7" s="162">
        <v>170</v>
      </c>
      <c r="F7" s="45">
        <v>5</v>
      </c>
      <c r="G7" s="162">
        <v>34</v>
      </c>
      <c r="H7" s="162">
        <v>3.4</v>
      </c>
      <c r="I7" s="163">
        <v>37.4</v>
      </c>
      <c r="J7" s="162">
        <v>170</v>
      </c>
      <c r="K7" s="162">
        <v>17</v>
      </c>
      <c r="L7" s="162">
        <v>187</v>
      </c>
      <c r="N7" s="110">
        <f>SUMIFS(PAGOS!$E$3:$E$1048576,PAGOS!$A$3:$A$1048576,"&lt;&gt;INGRESO*",PAGOS!$A$3:$A$1048576,"&lt;&gt;EGRESO*",PAGOS!$D$3:$D$1048576,B7)</f>
        <v>170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17</v>
      </c>
      <c r="Q7" s="110">
        <f t="shared" ref="Q7:Q13" si="1">K7-P7</f>
        <v>0</v>
      </c>
    </row>
    <row r="8" spans="1:17" x14ac:dyDescent="0.3">
      <c r="A8" s="45">
        <v>2</v>
      </c>
      <c r="B8" s="161">
        <v>19</v>
      </c>
      <c r="C8" s="45" t="s">
        <v>21</v>
      </c>
      <c r="D8" s="41">
        <v>45092</v>
      </c>
      <c r="E8" s="162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2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32</v>
      </c>
      <c r="C9" s="45" t="s">
        <v>21</v>
      </c>
      <c r="D9" s="41">
        <v>45245</v>
      </c>
      <c r="E9" s="162">
        <v>250</v>
      </c>
      <c r="F9" s="45">
        <v>4</v>
      </c>
      <c r="G9" s="162">
        <v>62.5</v>
      </c>
      <c r="H9" s="162">
        <v>5</v>
      </c>
      <c r="I9" s="163">
        <v>67.5</v>
      </c>
      <c r="J9" s="162">
        <v>250</v>
      </c>
      <c r="K9" s="162">
        <v>20</v>
      </c>
      <c r="L9" s="162">
        <v>270</v>
      </c>
      <c r="N9" s="110">
        <f>SUMIFS(PAGOS!$E$3:$E$1048576,PAGOS!$A$3:$A$1048576,"&lt;&gt;INGRESO*",PAGOS!$A$3:$A$1048576,"&lt;&gt;EGRESO*",PAGOS!$D$3:$D$1048576,B9)</f>
        <v>250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10</v>
      </c>
      <c r="Q9" s="110">
        <f t="shared" si="1"/>
        <v>10</v>
      </c>
    </row>
    <row r="10" spans="1:17" x14ac:dyDescent="0.3">
      <c r="A10" s="45">
        <v>4</v>
      </c>
      <c r="B10" s="161">
        <v>33</v>
      </c>
      <c r="C10" s="45" t="s">
        <v>21</v>
      </c>
      <c r="D10" s="41">
        <v>45306</v>
      </c>
      <c r="E10" s="162">
        <v>500</v>
      </c>
      <c r="F10" s="45">
        <v>2</v>
      </c>
      <c r="G10" s="162">
        <v>250</v>
      </c>
      <c r="H10" s="162">
        <v>10</v>
      </c>
      <c r="I10" s="163">
        <v>260</v>
      </c>
      <c r="J10" s="162">
        <v>500</v>
      </c>
      <c r="K10" s="162">
        <v>20</v>
      </c>
      <c r="L10" s="162">
        <v>520</v>
      </c>
      <c r="N10" s="110">
        <f>SUMIFS(PAGOS!$E$3:$E$1048576,PAGOS!$A$3:$A$1048576,"&lt;&gt;INGRESO*",PAGOS!$A$3:$A$1048576,"&lt;&gt;EGRESO*",PAGOS!$D$3:$D$1048576,B10)</f>
        <v>500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20</v>
      </c>
      <c r="Q10" s="110">
        <f t="shared" si="1"/>
        <v>0</v>
      </c>
    </row>
    <row r="11" spans="1:17" x14ac:dyDescent="0.3">
      <c r="A11" s="45">
        <v>5</v>
      </c>
      <c r="B11" s="39" t="s">
        <v>200</v>
      </c>
      <c r="C11" s="45" t="s">
        <v>21</v>
      </c>
      <c r="D11" s="41">
        <v>45366</v>
      </c>
      <c r="E11" s="167">
        <v>400</v>
      </c>
      <c r="F11" s="45">
        <v>4</v>
      </c>
      <c r="G11" s="162">
        <v>100</v>
      </c>
      <c r="H11" s="162">
        <v>8</v>
      </c>
      <c r="I11" s="163">
        <v>108</v>
      </c>
      <c r="J11" s="162">
        <v>400</v>
      </c>
      <c r="K11" s="162">
        <v>32</v>
      </c>
      <c r="L11" s="167">
        <v>432</v>
      </c>
      <c r="N11" s="110">
        <f>SUMIFS(PAGOS!$E$3:$E$1048576,PAGOS!$A$3:$A$1048576,"&lt;&gt;INGRESO*",PAGOS!$A$3:$A$1048576,"&lt;&gt;EGRESO*",PAGOS!$D$3:$D$1048576,+MID('14'!B11,6,3)*1)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SUMIFS(PAGOS!$H$3:$H$1048576,PAGOS!$A$3:$A$1048576,"&lt;&gt;INGRESO*",PAGOS!$A$3:$A$1048576,"&lt;&gt;EGRESO*",PAGOS!$D$3:$D$1048576,+MID('14'!B11,6,3)*1)</f>
        <v>24</v>
      </c>
      <c r="Q11" s="110">
        <f t="shared" si="1"/>
        <v>8</v>
      </c>
    </row>
    <row r="12" spans="1:17" x14ac:dyDescent="0.3">
      <c r="A12" s="45">
        <v>6</v>
      </c>
      <c r="B12" s="39" t="s">
        <v>212</v>
      </c>
      <c r="C12" s="45" t="s">
        <v>21</v>
      </c>
      <c r="D12" s="41">
        <v>45458</v>
      </c>
      <c r="E12" s="167">
        <v>700</v>
      </c>
      <c r="F12" s="45">
        <v>5</v>
      </c>
      <c r="G12" s="162">
        <v>140</v>
      </c>
      <c r="H12" s="162">
        <v>14</v>
      </c>
      <c r="I12" s="163">
        <v>154</v>
      </c>
      <c r="J12" s="162">
        <v>700</v>
      </c>
      <c r="K12" s="162">
        <v>70</v>
      </c>
      <c r="L12" s="167">
        <v>770</v>
      </c>
      <c r="N12" s="110">
        <f>SUMIFS(PAGOS!$E$3:$E$1048576,PAGOS!$A$3:$A$1048576,"&lt;&gt;INGRESO*",PAGOS!$A$3:$A$1048576,"&lt;&gt;EGRESO*",PAGOS!$D$3:$D$1048576,+MID('14'!B12,6,3)*1)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SUMIFS(PAGOS!$H$3:$H$1048576,PAGOS!$A$3:$A$1048576,"&lt;&gt;INGRESO*",PAGOS!$A$3:$A$1048576,"&lt;&gt;EGRESO*",PAGOS!$D$3:$D$1048576,+MID('14'!B12,6,3)*1)</f>
        <v>56</v>
      </c>
      <c r="Q12" s="110">
        <f t="shared" si="1"/>
        <v>14</v>
      </c>
    </row>
    <row r="13" spans="1:17" x14ac:dyDescent="0.3">
      <c r="A13" s="45">
        <v>7</v>
      </c>
      <c r="B13" s="39" t="s">
        <v>243</v>
      </c>
      <c r="C13" s="45" t="s">
        <v>21</v>
      </c>
      <c r="D13" s="41">
        <v>45580</v>
      </c>
      <c r="E13" s="167">
        <v>500</v>
      </c>
      <c r="F13" s="45">
        <v>4</v>
      </c>
      <c r="G13" s="162">
        <v>125</v>
      </c>
      <c r="H13" s="162">
        <v>10</v>
      </c>
      <c r="I13" s="163">
        <v>135</v>
      </c>
      <c r="J13" s="162">
        <v>500</v>
      </c>
      <c r="K13" s="162">
        <v>40</v>
      </c>
      <c r="L13" s="167">
        <v>540</v>
      </c>
      <c r="N13" s="110">
        <f>SUMIFS(PAGOS!$E$3:$E$1048576,PAGOS!$A$3:$A$1048576,"&lt;&gt;INGRESO*",PAGOS!$A$3:$A$1048576,"&lt;&gt;EGRESO*",PAGOS!$D$3:$D$1048576,+MID('14'!B13,6,3)*1)</f>
        <v>500</v>
      </c>
      <c r="O13" s="110">
        <f t="shared" si="0"/>
        <v>0</v>
      </c>
      <c r="P13" s="110">
        <f>SUMIFS(PAGOS!$H$3:$H$1048576,PAGOS!$A$3:$A$1048576,"&lt;&gt;INGRESO*",PAGOS!$A$3:$A$1048576,"&lt;&gt;EGRESO*",PAGOS!$D$3:$D$1048576,+MID('14'!B13,6,3)*1)</f>
        <v>30</v>
      </c>
      <c r="Q13" s="110">
        <f t="shared" si="1"/>
        <v>10</v>
      </c>
    </row>
    <row r="14" spans="1:17" x14ac:dyDescent="0.3">
      <c r="A14" s="45">
        <v>8</v>
      </c>
      <c r="B14" s="39" t="s">
        <v>309</v>
      </c>
      <c r="C14" s="45" t="s">
        <v>21</v>
      </c>
      <c r="D14" s="41">
        <v>45672</v>
      </c>
      <c r="E14" s="167">
        <v>700</v>
      </c>
      <c r="F14" s="45">
        <v>7</v>
      </c>
      <c r="G14" s="162">
        <v>100</v>
      </c>
      <c r="H14" s="162">
        <v>14</v>
      </c>
      <c r="I14" s="163">
        <v>114</v>
      </c>
      <c r="J14" s="162">
        <v>700</v>
      </c>
      <c r="K14" s="162">
        <v>98</v>
      </c>
      <c r="L14" s="162">
        <v>798</v>
      </c>
      <c r="N14" s="110">
        <f>SUMIFS(PAGOS!$E$3:$E$1048576,PAGOS!$A$3:$A$1048576,"&lt;&gt;INGRESO*",PAGOS!$A$3:$A$1048576,"&lt;&gt;EGRESO*",PAGOS!$D$3:$D$1048576,+MID('14'!B14,6,3)*1)</f>
        <v>700</v>
      </c>
      <c r="O14" s="110">
        <f>E14-N14</f>
        <v>0</v>
      </c>
      <c r="P14" s="110">
        <f>SUMIFS(PAGOS!$H$3:$H$1048576,PAGOS!$A$3:$A$1048576,"&lt;&gt;INGRESO*",PAGOS!$A$3:$A$1048576,"&lt;&gt;EGRESO*",PAGOS!$D$3:$D$1048576,+MID('14'!B14,6,3)*1)</f>
        <v>98</v>
      </c>
      <c r="Q14" s="110">
        <f>K14-P14</f>
        <v>0</v>
      </c>
    </row>
    <row r="15" spans="1:17" x14ac:dyDescent="0.3">
      <c r="I15"/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59" customWidth="1"/>
    <col min="6" max="6" width="9.33203125" bestFit="1" customWidth="1"/>
    <col min="7" max="7" width="12" style="159" bestFit="1" customWidth="1"/>
    <col min="8" max="8" width="7.88671875" style="159" bestFit="1" customWidth="1"/>
    <col min="9" max="9" width="8.6640625" style="160" customWidth="1"/>
    <col min="10" max="10" width="13.6640625" style="159" bestFit="1" customWidth="1"/>
    <col min="11" max="12" width="11.109375" style="159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1800</v>
      </c>
      <c r="H3" s="132" t="s">
        <v>177</v>
      </c>
      <c r="I3" s="150">
        <f>SUM($P$7:$P$1048576)</f>
        <v>204</v>
      </c>
      <c r="J3" s="132" t="s">
        <v>178</v>
      </c>
      <c r="K3" s="151">
        <f>G3+I3</f>
        <v>2004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164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9</v>
      </c>
      <c r="C7" s="45" t="s">
        <v>22</v>
      </c>
      <c r="D7" s="41">
        <v>44941</v>
      </c>
      <c r="E7" s="11">
        <v>200</v>
      </c>
      <c r="F7" s="45">
        <v>3</v>
      </c>
      <c r="G7" s="11">
        <v>66.666666666666671</v>
      </c>
      <c r="H7" s="11">
        <v>4</v>
      </c>
      <c r="I7" s="199">
        <v>70.666666666666671</v>
      </c>
      <c r="J7" s="11">
        <v>200</v>
      </c>
      <c r="K7" s="11">
        <v>12</v>
      </c>
      <c r="L7" s="11">
        <v>212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12</v>
      </c>
      <c r="Q7" s="110">
        <f>K7-P7</f>
        <v>0</v>
      </c>
    </row>
    <row r="8" spans="1:17" x14ac:dyDescent="0.3">
      <c r="A8" s="45">
        <v>2</v>
      </c>
      <c r="B8" s="161">
        <v>20</v>
      </c>
      <c r="C8" s="45" t="s">
        <v>22</v>
      </c>
      <c r="D8" s="41">
        <v>45092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16</v>
      </c>
      <c r="Q8" s="110">
        <f>K8-P8</f>
        <v>0</v>
      </c>
    </row>
    <row r="9" spans="1:17" x14ac:dyDescent="0.3">
      <c r="A9" s="45">
        <v>3</v>
      </c>
      <c r="B9" s="161">
        <v>34</v>
      </c>
      <c r="C9" s="45" t="s">
        <v>22</v>
      </c>
      <c r="D9" s="41">
        <v>45311</v>
      </c>
      <c r="E9" s="11">
        <v>100</v>
      </c>
      <c r="F9" s="45">
        <v>5</v>
      </c>
      <c r="G9" s="11">
        <v>20</v>
      </c>
      <c r="H9" s="11">
        <v>2</v>
      </c>
      <c r="I9" s="199">
        <v>22</v>
      </c>
      <c r="J9" s="11">
        <v>100</v>
      </c>
      <c r="K9" s="11">
        <v>10</v>
      </c>
      <c r="L9" s="11">
        <v>110</v>
      </c>
      <c r="N9" s="110">
        <f>SUMIFS(PAGOS!$E$3:$E$1048576,PAGOS!$A$3:$A$1048576,"&lt;&gt;INGRESO*",PAGOS!$A$3:$A$1048576,"&lt;&gt;EGRESO*",PAGOS!$D$3:$D$1048576,B9)</f>
        <v>100</v>
      </c>
      <c r="O9" s="110">
        <f>E9-N9</f>
        <v>0</v>
      </c>
      <c r="P9" s="110">
        <f>SUMIFS(PAGOS!$H$3:$H$1048576,PAGOS!$A$3:$A$1048576,"&lt;&gt;INGRESO*",PAGOS!$A$3:$A$1048576,"&lt;&gt;EGRESO*",PAGOS!$D$3:$D$1048576,B9)</f>
        <v>4</v>
      </c>
      <c r="Q9" s="110">
        <f>K9-P9</f>
        <v>6</v>
      </c>
    </row>
    <row r="10" spans="1:17" x14ac:dyDescent="0.3">
      <c r="A10" s="45">
        <v>4</v>
      </c>
      <c r="B10" s="39" t="s">
        <v>198</v>
      </c>
      <c r="C10" s="45" t="s">
        <v>22</v>
      </c>
      <c r="D10" s="41">
        <v>45366</v>
      </c>
      <c r="E10" s="11">
        <v>600</v>
      </c>
      <c r="F10" s="45">
        <v>12</v>
      </c>
      <c r="G10" s="11">
        <v>50</v>
      </c>
      <c r="H10" s="11">
        <v>12</v>
      </c>
      <c r="I10" s="199">
        <v>62</v>
      </c>
      <c r="J10" s="11">
        <v>600</v>
      </c>
      <c r="K10" s="11">
        <v>144</v>
      </c>
      <c r="L10" s="11">
        <v>744</v>
      </c>
      <c r="N10" s="110">
        <f>SUMIFS(PAGOS!$E$3:$E$1048576,PAGOS!$A$3:$A$1048576,"&lt;&gt;INGRESO*",PAGOS!$A$3:$A$1048576,"&lt;&gt;EGRESO*",PAGOS!$D$3:$D$1048576,+MID('15'!B10,6,3)*1)</f>
        <v>600</v>
      </c>
      <c r="O10" s="110">
        <f>E10-N10</f>
        <v>0</v>
      </c>
      <c r="P10" s="110">
        <f>SUMIFS(PAGOS!$H$3:$H$1048576,PAGOS!$A$3:$A$1048576,"&lt;&gt;INGRESO*",PAGOS!$A$3:$A$1048576,"&lt;&gt;EGRESO*",PAGOS!$D$3:$D$1048576,+MID('15'!B10,6,3)*1)</f>
        <v>144</v>
      </c>
      <c r="Q10" s="110">
        <f>K10-P10</f>
        <v>0</v>
      </c>
    </row>
    <row r="11" spans="1:17" x14ac:dyDescent="0.3">
      <c r="A11" s="45">
        <v>5</v>
      </c>
      <c r="B11" s="39" t="s">
        <v>441</v>
      </c>
      <c r="C11" s="45" t="s">
        <v>22</v>
      </c>
      <c r="D11" s="41">
        <v>45884</v>
      </c>
      <c r="E11" s="11">
        <v>700</v>
      </c>
      <c r="F11" s="45">
        <v>7</v>
      </c>
      <c r="G11" s="11">
        <v>100</v>
      </c>
      <c r="H11" s="11">
        <v>14</v>
      </c>
      <c r="I11" s="199">
        <v>114</v>
      </c>
      <c r="J11" s="11">
        <v>700</v>
      </c>
      <c r="K11" s="11">
        <v>98</v>
      </c>
      <c r="L11" s="11">
        <v>798</v>
      </c>
      <c r="N11" s="110">
        <f>SUMIFS(PAGOS!$E$3:$E$1048576,PAGOS!$A$3:$A$1048576,"&lt;&gt;INGRESO*",PAGOS!$A$3:$A$1048576,"&lt;&gt;EGRESO*",PAGOS!$D$3:$D$1048576,+MID('15'!B11,6,3)*1)</f>
        <v>200</v>
      </c>
      <c r="O11" s="110">
        <f>E11-N11</f>
        <v>500</v>
      </c>
      <c r="P11" s="110">
        <f>SUMIFS(PAGOS!$H$3:$H$1048576,PAGOS!$A$3:$A$1048576,"&lt;&gt;INGRESO*",PAGOS!$A$3:$A$1048576,"&lt;&gt;EGRESO*",PAGOS!$D$3:$D$1048576,+MID('15'!B11,6,3)*1)</f>
        <v>28</v>
      </c>
      <c r="Q11" s="110">
        <f>K11-P11</f>
        <v>70</v>
      </c>
    </row>
    <row r="15" spans="1:17" x14ac:dyDescent="0.3">
      <c r="I15" s="159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59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8.33203125" style="160" bestFit="1" customWidth="1"/>
    <col min="10" max="10" width="8.4414062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2610</v>
      </c>
      <c r="H3" s="132" t="s">
        <v>177</v>
      </c>
      <c r="I3" s="150">
        <f>SUM($P$7:$P$1048576)</f>
        <v>182.20000000000002</v>
      </c>
      <c r="J3" s="132" t="s">
        <v>178</v>
      </c>
      <c r="K3" s="151">
        <f>G3+I3</f>
        <v>2792.2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5" t="s">
        <v>163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7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20">_xlfn.SEQUENCE(COUNTA(C7:C1048576))</f>
        <v>1</v>
      </c>
      <c r="B7" s="161">
        <v>4</v>
      </c>
      <c r="C7" s="45" t="s">
        <v>23</v>
      </c>
      <c r="D7" s="41">
        <v>44910</v>
      </c>
      <c r="E7" s="11">
        <v>200</v>
      </c>
      <c r="F7" s="45">
        <v>2</v>
      </c>
      <c r="G7" s="11">
        <v>100</v>
      </c>
      <c r="H7" s="11">
        <v>4</v>
      </c>
      <c r="I7" s="199">
        <v>104</v>
      </c>
      <c r="J7" s="11">
        <v>200</v>
      </c>
      <c r="K7" s="11">
        <v>8</v>
      </c>
      <c r="L7" s="11">
        <v>208</v>
      </c>
      <c r="N7" s="110">
        <f>SUMIFS(PAGOS!$E$3:$E$1048576,PAGOS!$A$3:$A$1048576,"&lt;&gt;INGRESO*",PAGOS!$A$3:$A$1048576,"&lt;&gt;EGRESO*",PAGOS!$D$3:$D$1048576,B7)</f>
        <v>200</v>
      </c>
      <c r="O7" s="110">
        <f t="shared" ref="O7:O15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5" si="1">K7-P7</f>
        <v>0</v>
      </c>
    </row>
    <row r="8" spans="1:17" x14ac:dyDescent="0.3">
      <c r="A8" s="45">
        <v>2</v>
      </c>
      <c r="B8" s="161">
        <v>29</v>
      </c>
      <c r="C8" s="45" t="s">
        <v>23</v>
      </c>
      <c r="D8" s="41">
        <v>45214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39" t="s">
        <v>203</v>
      </c>
      <c r="C9" s="45" t="s">
        <v>23</v>
      </c>
      <c r="D9" s="41">
        <v>45397</v>
      </c>
      <c r="E9" s="11">
        <v>150</v>
      </c>
      <c r="F9" s="45">
        <v>3</v>
      </c>
      <c r="G9" s="11">
        <v>50</v>
      </c>
      <c r="H9" s="11">
        <v>3</v>
      </c>
      <c r="I9" s="199">
        <v>53</v>
      </c>
      <c r="J9" s="11">
        <v>150</v>
      </c>
      <c r="K9" s="11">
        <v>9</v>
      </c>
      <c r="L9" s="11">
        <v>159</v>
      </c>
      <c r="N9" s="110">
        <f>SUMIFS(PAGOS!$E$3:$E$1048576,PAGOS!$A$3:$A$1048576,"&lt;&gt;INGRESO*",PAGOS!$A$3:$A$1048576,"&lt;&gt;EGRESO*",PAGOS!$D$3:$D$1048576,+MID('16'!B9,6,3)*1)</f>
        <v>150</v>
      </c>
      <c r="O9" s="110">
        <f t="shared" si="0"/>
        <v>0</v>
      </c>
      <c r="P9" s="110">
        <f>SUMIFS(PAGOS!$H$3:$H$1048576,PAGOS!$A$3:$A$1048576,"&lt;&gt;INGRESO*",PAGOS!$A$3:$A$1048576,"&lt;&gt;EGRESO*",PAGOS!$D$3:$D$1048576,+MID('16'!B9,6,3)*1)</f>
        <v>9</v>
      </c>
      <c r="Q9" s="110">
        <f t="shared" si="1"/>
        <v>0</v>
      </c>
    </row>
    <row r="10" spans="1:17" x14ac:dyDescent="0.3">
      <c r="A10" s="45">
        <v>4</v>
      </c>
      <c r="B10" s="39" t="s">
        <v>220</v>
      </c>
      <c r="C10" s="45" t="s">
        <v>23</v>
      </c>
      <c r="D10" s="41">
        <v>45488</v>
      </c>
      <c r="E10" s="11">
        <v>500</v>
      </c>
      <c r="F10" s="45">
        <v>12</v>
      </c>
      <c r="G10" s="11">
        <v>41.666666666666664</v>
      </c>
      <c r="H10" s="11">
        <v>10</v>
      </c>
      <c r="I10" s="199">
        <v>51.666666666666664</v>
      </c>
      <c r="J10" s="11">
        <v>500</v>
      </c>
      <c r="K10" s="11">
        <v>120</v>
      </c>
      <c r="L10" s="11">
        <v>620</v>
      </c>
      <c r="N10" s="110">
        <f>SUMIFS(PAGOS!$E$3:$E$1048576,PAGOS!$A$3:$A$1048576,"&lt;&gt;INGRESO*",PAGOS!$A$3:$A$1048576,"&lt;&gt;EGRESO*",PAGOS!$D$3:$D$1048576,+MID('16'!B10,6,3)*1)</f>
        <v>500.04000000000013</v>
      </c>
      <c r="O10" s="110">
        <f t="shared" si="0"/>
        <v>-4.000000000013415E-2</v>
      </c>
      <c r="P10" s="110">
        <f>SUMIFS(PAGOS!$H$3:$H$1048576,PAGOS!$A$3:$A$1048576,"&lt;&gt;INGRESO*",PAGOS!$A$3:$A$1048576,"&lt;&gt;EGRESO*",PAGOS!$D$3:$D$1048576,+MID('16'!B10,6,3)*1)</f>
        <v>120</v>
      </c>
      <c r="Q10" s="110">
        <f t="shared" si="1"/>
        <v>0</v>
      </c>
    </row>
    <row r="11" spans="1:17" x14ac:dyDescent="0.3">
      <c r="A11" s="45">
        <v>5</v>
      </c>
      <c r="B11" s="45" t="s">
        <v>293</v>
      </c>
      <c r="C11" s="45" t="s">
        <v>292</v>
      </c>
      <c r="D11" s="41">
        <v>45643</v>
      </c>
      <c r="E11" s="11">
        <v>80</v>
      </c>
      <c r="F11" s="45">
        <v>1</v>
      </c>
      <c r="G11" s="11">
        <v>80</v>
      </c>
      <c r="H11" s="11">
        <v>1.6</v>
      </c>
      <c r="I11" s="199">
        <v>81.599999999999994</v>
      </c>
      <c r="J11" s="11">
        <v>80</v>
      </c>
      <c r="K11" s="11">
        <v>1.6</v>
      </c>
      <c r="L11" s="11">
        <v>81.599999999999994</v>
      </c>
      <c r="N11" s="110">
        <f>SUMIFS(PAGOS!$E$3:$E$1048576,PAGOS!$A$3:$A$1048576,"&lt;&gt;INGRESO*",PAGOS!$A$3:$A$1048576,"&lt;&gt;EGRESO*",PAGOS!$D$3:$D$1048576,+MID('16'!B11,6,3)*1)</f>
        <v>80</v>
      </c>
      <c r="O11" s="110">
        <f t="shared" si="0"/>
        <v>0</v>
      </c>
      <c r="P11" s="110">
        <f>SUMIFS(PAGOS!$H$3:$H$1048576,PAGOS!$A$3:$A$1048576,"&lt;&gt;INGRESO*",PAGOS!$A$3:$A$1048576,"&lt;&gt;EGRESO*",PAGOS!$D$3:$D$1048576,+MID('16'!B11,6,3)*1)</f>
        <v>1.6</v>
      </c>
      <c r="Q11" s="110">
        <f t="shared" si="1"/>
        <v>0</v>
      </c>
    </row>
    <row r="12" spans="1:17" x14ac:dyDescent="0.3">
      <c r="A12" s="45">
        <v>6</v>
      </c>
      <c r="B12" s="39" t="s">
        <v>312</v>
      </c>
      <c r="C12" s="45" t="s">
        <v>311</v>
      </c>
      <c r="D12" s="41">
        <v>45676</v>
      </c>
      <c r="E12" s="11">
        <v>150</v>
      </c>
      <c r="F12" s="45">
        <v>2</v>
      </c>
      <c r="G12" s="11">
        <v>75</v>
      </c>
      <c r="H12" s="11">
        <v>3</v>
      </c>
      <c r="I12" s="199">
        <v>78</v>
      </c>
      <c r="J12" s="11">
        <v>150</v>
      </c>
      <c r="K12" s="11">
        <v>6</v>
      </c>
      <c r="L12" s="11">
        <v>156</v>
      </c>
      <c r="N12" s="110">
        <f>SUMIFS(PAGOS!$E$3:$E$1048576,PAGOS!$A$3:$A$1048576,"&lt;&gt;INGRESO*",PAGOS!$A$3:$A$1048576,"&lt;&gt;EGRESO*",PAGOS!$D$3:$D$1048576,+MID('16'!B12,6,3)*1)</f>
        <v>150</v>
      </c>
      <c r="O12" s="110">
        <f t="shared" si="0"/>
        <v>0</v>
      </c>
      <c r="P12" s="110">
        <f>SUMIFS(PAGOS!$H$3:$H$1048576,PAGOS!$A$3:$A$1048576,"&lt;&gt;INGRESO*",PAGOS!$A$3:$A$1048576,"&lt;&gt;EGRESO*",PAGOS!$D$3:$D$1048576,+MID('16'!B12,6,3)*1)</f>
        <v>6</v>
      </c>
      <c r="Q12" s="110">
        <f t="shared" si="1"/>
        <v>0</v>
      </c>
    </row>
    <row r="13" spans="1:17" x14ac:dyDescent="0.3">
      <c r="A13" s="45">
        <v>7</v>
      </c>
      <c r="B13" s="39" t="s">
        <v>323</v>
      </c>
      <c r="C13" s="45" t="s">
        <v>322</v>
      </c>
      <c r="D13" s="41">
        <v>45707</v>
      </c>
      <c r="E13" s="11">
        <v>400</v>
      </c>
      <c r="F13" s="45">
        <v>1</v>
      </c>
      <c r="G13" s="11">
        <v>400</v>
      </c>
      <c r="H13" s="11">
        <v>8</v>
      </c>
      <c r="I13" s="199">
        <v>408</v>
      </c>
      <c r="J13" s="11">
        <v>400</v>
      </c>
      <c r="K13" s="11">
        <v>8</v>
      </c>
      <c r="L13" s="11">
        <v>408</v>
      </c>
      <c r="N13" s="110">
        <f>SUMIFS(PAGOS!$E$3:$E$1048576,PAGOS!$A$3:$A$1048576,"&lt;&gt;INGRESO*",PAGOS!$A$3:$A$1048576,"&lt;&gt;EGRESO*",PAGOS!$D$3:$D$1048576,+MID('16'!B13,6,3)*1)</f>
        <v>400</v>
      </c>
      <c r="O13" s="110">
        <f t="shared" si="0"/>
        <v>0</v>
      </c>
      <c r="P13" s="110">
        <f>SUMIFS(PAGOS!$H$3:$H$1048576,PAGOS!$A$3:$A$1048576,"&lt;&gt;INGRESO*",PAGOS!$A$3:$A$1048576,"&lt;&gt;EGRESO*",PAGOS!$D$3:$D$1048576,+MID('16'!B13,6,3)*1)</f>
        <v>8</v>
      </c>
      <c r="Q13" s="110">
        <f t="shared" si="1"/>
        <v>0</v>
      </c>
    </row>
    <row r="14" spans="1:17" x14ac:dyDescent="0.3">
      <c r="A14" s="45">
        <v>8</v>
      </c>
      <c r="B14" s="39" t="s">
        <v>375</v>
      </c>
      <c r="C14" s="45" t="s">
        <v>292</v>
      </c>
      <c r="D14" s="41">
        <v>45792</v>
      </c>
      <c r="E14" s="11">
        <v>40</v>
      </c>
      <c r="F14" s="45">
        <v>1</v>
      </c>
      <c r="G14" s="11">
        <v>40</v>
      </c>
      <c r="H14" s="11">
        <v>0.8</v>
      </c>
      <c r="I14" s="199">
        <v>40.799999999999997</v>
      </c>
      <c r="J14" s="11">
        <v>40</v>
      </c>
      <c r="K14" s="11">
        <v>0.8</v>
      </c>
      <c r="L14" s="11">
        <v>40.799999999999997</v>
      </c>
      <c r="N14" s="110">
        <f>SUMIFS(PAGOS!$E$3:$E$1048576,PAGOS!$A$3:$A$1048576,"&lt;&gt;INGRESO*",PAGOS!$A$3:$A$1048576,"&lt;&gt;EGRESO*",PAGOS!$D$3:$D$1048576,+MID('16'!B14,6,3)*1)</f>
        <v>40</v>
      </c>
      <c r="O14" s="110">
        <f t="shared" si="0"/>
        <v>0</v>
      </c>
      <c r="P14" s="110">
        <f>SUMIFS(PAGOS!$H$3:$H$1048576,PAGOS!$A$3:$A$1048576,"&lt;&gt;INGRESO*",PAGOS!$A$3:$A$1048576,"&lt;&gt;EGRESO*",PAGOS!$D$3:$D$1048576,+MID('16'!B14,6,3)*1)</f>
        <v>0.8</v>
      </c>
      <c r="Q14" s="110">
        <f t="shared" si="1"/>
        <v>0</v>
      </c>
    </row>
    <row r="15" spans="1:17" x14ac:dyDescent="0.3">
      <c r="A15" s="45">
        <v>9</v>
      </c>
      <c r="B15" s="39" t="s">
        <v>380</v>
      </c>
      <c r="C15" s="45" t="s">
        <v>379</v>
      </c>
      <c r="D15" s="41">
        <v>45855</v>
      </c>
      <c r="E15" s="11">
        <v>100</v>
      </c>
      <c r="F15" s="45">
        <v>1</v>
      </c>
      <c r="G15" s="11">
        <v>100</v>
      </c>
      <c r="H15" s="11">
        <v>2</v>
      </c>
      <c r="I15" s="199">
        <v>102</v>
      </c>
      <c r="J15" s="11">
        <v>100</v>
      </c>
      <c r="K15" s="11">
        <v>2</v>
      </c>
      <c r="L15" s="11">
        <v>102</v>
      </c>
      <c r="N15" s="110">
        <f>SUMIFS(PAGOS!$E$3:$E$1048576,PAGOS!$A$3:$A$1048576,"&lt;&gt;INGRESO*",PAGOS!$A$3:$A$1048576,"&lt;&gt;EGRESO*",PAGOS!$D$3:$D$1048576,+MID('16'!B15,6,3)*1)</f>
        <v>100</v>
      </c>
      <c r="O15" s="110">
        <f t="shared" si="0"/>
        <v>0</v>
      </c>
      <c r="P15" s="110">
        <f>SUMIFS(PAGOS!$H$3:$H$1048576,PAGOS!$A$3:$A$1048576,"&lt;&gt;INGRESO*",PAGOS!$A$3:$A$1048576,"&lt;&gt;EGRESO*",PAGOS!$D$3:$D$1048576,+MID('16'!B15,6,3)*1)</f>
        <v>2</v>
      </c>
      <c r="Q15" s="110">
        <f t="shared" si="1"/>
        <v>0</v>
      </c>
    </row>
    <row r="16" spans="1:17" x14ac:dyDescent="0.3">
      <c r="A16" s="45">
        <v>10</v>
      </c>
      <c r="B16" s="39" t="s">
        <v>399</v>
      </c>
      <c r="C16" s="45" t="s">
        <v>427</v>
      </c>
      <c r="D16" s="41">
        <v>45877</v>
      </c>
      <c r="E16" s="11">
        <v>200</v>
      </c>
      <c r="F16" s="45">
        <v>1</v>
      </c>
      <c r="G16" s="11">
        <v>200</v>
      </c>
      <c r="H16" s="11">
        <v>4</v>
      </c>
      <c r="I16" s="199">
        <v>204</v>
      </c>
      <c r="J16" s="11">
        <v>200</v>
      </c>
      <c r="K16" s="11">
        <v>4</v>
      </c>
      <c r="L16" s="11">
        <v>204</v>
      </c>
      <c r="N16" s="110">
        <f>SUMIFS(PAGOS!$E$3:$E$1048576,PAGOS!$A$3:$A$1048576,"&lt;&gt;INGRESO*",PAGOS!$A$3:$A$1048576,"&lt;&gt;EGRESO*",PAGOS!$D$3:$D$1048576,+MID('16'!B16,6,3)*1)</f>
        <v>200</v>
      </c>
      <c r="O16" s="110">
        <f t="shared" ref="O16" si="2">E16-N16</f>
        <v>0</v>
      </c>
      <c r="P16" s="110">
        <f>SUMIFS(PAGOS!$H$3:$H$1048576,PAGOS!$A$3:$A$1048576,"&lt;&gt;INGRESO*",PAGOS!$A$3:$A$1048576,"&lt;&gt;EGRESO*",PAGOS!$D$3:$D$1048576,+MID('16'!B16,6,3)*1)</f>
        <v>4</v>
      </c>
      <c r="Q16" s="110">
        <f t="shared" ref="Q16" si="3">K16-P16</f>
        <v>0</v>
      </c>
    </row>
    <row r="17" spans="1:17" x14ac:dyDescent="0.3">
      <c r="A17" s="45">
        <v>11</v>
      </c>
      <c r="B17" s="39" t="s">
        <v>490</v>
      </c>
      <c r="C17" s="45" t="s">
        <v>23</v>
      </c>
      <c r="D17" s="41">
        <v>45900</v>
      </c>
      <c r="E17" s="11">
        <v>40</v>
      </c>
      <c r="F17" s="45">
        <v>1</v>
      </c>
      <c r="G17" s="11">
        <v>40</v>
      </c>
      <c r="H17" s="11">
        <v>0.8</v>
      </c>
      <c r="I17" s="199">
        <v>40.799999999999997</v>
      </c>
      <c r="J17" s="11">
        <v>40</v>
      </c>
      <c r="K17" s="11">
        <v>0.8</v>
      </c>
      <c r="L17" s="11">
        <v>40.799999999999997</v>
      </c>
      <c r="N17" s="110">
        <f>SUMIFS(PAGOS!$E$3:$E$1048576,PAGOS!$A$3:$A$1048576,"&lt;&gt;INGRESO*",PAGOS!$A$3:$A$1048576,"&lt;&gt;EGRESO*",PAGOS!$D$3:$D$1048576,+MID('16'!B17,6,3)*1)</f>
        <v>40</v>
      </c>
      <c r="O17" s="110">
        <f t="shared" ref="O17:O18" si="4">E17-N17</f>
        <v>0</v>
      </c>
      <c r="P17" s="110">
        <f>SUMIFS(PAGOS!$H$3:$H$1048576,PAGOS!$A$3:$A$1048576,"&lt;&gt;INGRESO*",PAGOS!$A$3:$A$1048576,"&lt;&gt;EGRESO*",PAGOS!$D$3:$D$1048576,+MID('16'!B17,6,3)*1)</f>
        <v>0.8</v>
      </c>
      <c r="Q17" s="110">
        <f t="shared" ref="Q17:Q18" si="5">K17-P17</f>
        <v>0</v>
      </c>
    </row>
    <row r="18" spans="1:17" x14ac:dyDescent="0.3">
      <c r="A18" s="45">
        <v>12</v>
      </c>
      <c r="B18" s="39" t="s">
        <v>497</v>
      </c>
      <c r="C18" s="45" t="s">
        <v>23</v>
      </c>
      <c r="D18" s="41">
        <v>45909</v>
      </c>
      <c r="E18" s="11">
        <v>150</v>
      </c>
      <c r="F18" s="45">
        <v>3</v>
      </c>
      <c r="G18" s="11">
        <v>50</v>
      </c>
      <c r="H18" s="11">
        <v>3</v>
      </c>
      <c r="I18" s="199">
        <v>53</v>
      </c>
      <c r="J18" s="11">
        <v>150</v>
      </c>
      <c r="K18" s="11">
        <v>9</v>
      </c>
      <c r="L18" s="11">
        <v>159</v>
      </c>
      <c r="N18" s="110">
        <f>SUMIFS(PAGOS!$E$3:$E$1048576,PAGOS!$A$3:$A$1048576,"&lt;&gt;INGRESO*",PAGOS!$A$3:$A$1048576,"&lt;&gt;EGRESO*",PAGOS!$D$3:$D$1048576,+MID('16'!B18,6,3)*1)</f>
        <v>100</v>
      </c>
      <c r="O18" s="110">
        <f t="shared" si="4"/>
        <v>50</v>
      </c>
      <c r="P18" s="110">
        <f>SUMIFS(PAGOS!$H$3:$H$1048576,PAGOS!$A$3:$A$1048576,"&lt;&gt;INGRESO*",PAGOS!$A$3:$A$1048576,"&lt;&gt;EGRESO*",PAGOS!$D$3:$D$1048576,+MID('16'!B18,6,3)*1)</f>
        <v>6</v>
      </c>
      <c r="Q18" s="110">
        <f t="shared" si="5"/>
        <v>3</v>
      </c>
    </row>
    <row r="19" spans="1:17" x14ac:dyDescent="0.3">
      <c r="A19" s="45">
        <v>13</v>
      </c>
      <c r="B19" s="39" t="s">
        <v>514</v>
      </c>
      <c r="C19" s="45" t="s">
        <v>513</v>
      </c>
      <c r="D19" s="41">
        <v>45938</v>
      </c>
      <c r="E19" s="11">
        <v>200</v>
      </c>
      <c r="F19" s="45">
        <v>3</v>
      </c>
      <c r="G19" s="11">
        <v>66.666666666666671</v>
      </c>
      <c r="H19" s="11">
        <v>4</v>
      </c>
      <c r="I19" s="199">
        <v>70.666666666666671</v>
      </c>
      <c r="J19" s="11">
        <v>200</v>
      </c>
      <c r="K19" s="11">
        <v>12</v>
      </c>
      <c r="L19" s="11">
        <v>212</v>
      </c>
      <c r="N19" s="110">
        <f>SUMIFS(PAGOS!$E$3:$E$1048576,PAGOS!$A$3:$A$1048576,"&lt;&gt;INGRESO*",PAGOS!$A$3:$A$1048576,"&lt;&gt;EGRESO*",PAGOS!$D$3:$D$1048576,+MID('16'!B19,6,3)*1)</f>
        <v>0</v>
      </c>
      <c r="O19" s="110">
        <f t="shared" ref="O19" si="6">E19-N19</f>
        <v>200</v>
      </c>
      <c r="P19" s="110">
        <f>SUMIFS(PAGOS!$H$3:$H$1048576,PAGOS!$A$3:$A$1048576,"&lt;&gt;INGRESO*",PAGOS!$A$3:$A$1048576,"&lt;&gt;EGRESO*",PAGOS!$D$3:$D$1048576,+MID('16'!B19,6,3)*1)</f>
        <v>0</v>
      </c>
      <c r="Q19" s="110">
        <f t="shared" ref="Q19" si="7">K19-P19</f>
        <v>12</v>
      </c>
    </row>
    <row r="20" spans="1:17" x14ac:dyDescent="0.3">
      <c r="A20" s="45">
        <v>14</v>
      </c>
      <c r="B20" s="39" t="s">
        <v>528</v>
      </c>
      <c r="C20" s="45" t="s">
        <v>527</v>
      </c>
      <c r="D20" s="41">
        <v>45949</v>
      </c>
      <c r="E20" s="11">
        <v>200</v>
      </c>
      <c r="F20" s="45">
        <v>4</v>
      </c>
      <c r="G20" s="11">
        <v>50</v>
      </c>
      <c r="H20" s="11">
        <v>4</v>
      </c>
      <c r="I20" s="199">
        <v>54</v>
      </c>
      <c r="J20" s="11">
        <v>200</v>
      </c>
      <c r="K20" s="11">
        <v>16</v>
      </c>
      <c r="L20" s="11">
        <v>216</v>
      </c>
      <c r="N20" s="110">
        <f>SUMIFS(PAGOS!$E$3:$E$1048576,PAGOS!$A$3:$A$1048576,"&lt;&gt;INGRESO*",PAGOS!$A$3:$A$1048576,"&lt;&gt;EGRESO*",PAGOS!$D$3:$D$1048576,+MID('16'!B20,6,3)*1)</f>
        <v>0</v>
      </c>
      <c r="O20" s="110">
        <f t="shared" ref="O20" si="8">E20-N20</f>
        <v>200</v>
      </c>
      <c r="P20" s="110">
        <f>SUMIFS(PAGOS!$H$3:$H$1048576,PAGOS!$A$3:$A$1048576,"&lt;&gt;INGRESO*",PAGOS!$A$3:$A$1048576,"&lt;&gt;EGRESO*",PAGOS!$D$3:$D$1048576,+MID('16'!B20,6,3)*1)</f>
        <v>0</v>
      </c>
      <c r="Q20" s="110">
        <f t="shared" ref="Q20" si="9">K20-P20</f>
        <v>16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59" customWidth="1"/>
    <col min="6" max="6" width="9.33203125" bestFit="1" customWidth="1"/>
    <col min="7" max="7" width="10.109375" style="159" bestFit="1" customWidth="1"/>
    <col min="8" max="8" width="7.88671875" style="159" bestFit="1" customWidth="1"/>
    <col min="9" max="9" width="8.33203125" style="160" customWidth="1"/>
    <col min="10" max="10" width="13.6640625" style="159" bestFit="1" customWidth="1"/>
    <col min="11" max="12" width="11.109375" style="159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3280</v>
      </c>
      <c r="H3" s="132" t="s">
        <v>177</v>
      </c>
      <c r="I3" s="150">
        <f>SUM($P$7:$P$1048576)</f>
        <v>309.60000000000002</v>
      </c>
      <c r="J3" s="132" t="s">
        <v>178</v>
      </c>
      <c r="K3" s="151">
        <f>G3+I3</f>
        <v>3589.6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5" t="s">
        <v>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6" t="s">
        <v>46</v>
      </c>
      <c r="B6" s="327" t="s">
        <v>179</v>
      </c>
      <c r="C6" s="326" t="s">
        <v>11</v>
      </c>
      <c r="D6" s="326" t="s">
        <v>48</v>
      </c>
      <c r="E6" s="326" t="s">
        <v>56</v>
      </c>
      <c r="F6" s="326" t="s">
        <v>57</v>
      </c>
      <c r="G6" s="326" t="s">
        <v>49</v>
      </c>
      <c r="H6" s="326" t="s">
        <v>32</v>
      </c>
      <c r="I6" s="328" t="s">
        <v>58</v>
      </c>
      <c r="J6" s="326" t="s">
        <v>59</v>
      </c>
      <c r="K6" s="326" t="s">
        <v>52</v>
      </c>
      <c r="L6" s="326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14</v>
      </c>
      <c r="C7" s="45" t="s">
        <v>24</v>
      </c>
      <c r="D7" s="41">
        <v>45000</v>
      </c>
      <c r="E7" s="11">
        <v>80</v>
      </c>
      <c r="F7" s="45">
        <v>1</v>
      </c>
      <c r="G7" s="11">
        <v>80</v>
      </c>
      <c r="H7" s="11">
        <v>1.6</v>
      </c>
      <c r="I7" s="199">
        <v>81.599999999999994</v>
      </c>
      <c r="J7" s="11">
        <v>80</v>
      </c>
      <c r="K7" s="11">
        <v>1.6</v>
      </c>
      <c r="L7" s="11">
        <v>81.599999999999994</v>
      </c>
      <c r="N7" s="110">
        <f>SUMIFS(PAGOS!$E$3:$E$1048576,PAGOS!$A$3:$A$1048576,"&lt;&gt;INGRESO*",PAGOS!$A$3:$A$1048576,"&lt;&gt;EGRESO*",PAGOS!$D$3:$D$1048576,B7)</f>
        <v>80</v>
      </c>
      <c r="O7" s="110">
        <f>E7-N7</f>
        <v>0</v>
      </c>
      <c r="P7" s="110">
        <f>SUMIFS(PAGOS!$H$3:$H$1048576,PAGOS!$A$3:$A$1048576,"&lt;&gt;INGRESO*",PAGOS!$A$3:$A$1048576,"&lt;&gt;EGRESO*",PAGOS!$D$3:$D$1048576,B7)</f>
        <v>1.6</v>
      </c>
      <c r="Q7" s="110">
        <f>K7-P7</f>
        <v>0</v>
      </c>
    </row>
    <row r="8" spans="1:17" x14ac:dyDescent="0.3">
      <c r="A8" s="45">
        <v>2</v>
      </c>
      <c r="B8" s="161">
        <v>25</v>
      </c>
      <c r="C8" s="45" t="s">
        <v>24</v>
      </c>
      <c r="D8" s="41">
        <v>45184</v>
      </c>
      <c r="E8" s="11">
        <v>500</v>
      </c>
      <c r="F8" s="45">
        <v>6</v>
      </c>
      <c r="G8" s="11">
        <v>83.333333333333329</v>
      </c>
      <c r="H8" s="11">
        <v>10</v>
      </c>
      <c r="I8" s="199">
        <v>93.333333333333329</v>
      </c>
      <c r="J8" s="11">
        <v>500</v>
      </c>
      <c r="K8" s="11">
        <v>60</v>
      </c>
      <c r="L8" s="11">
        <v>560</v>
      </c>
      <c r="N8" s="110">
        <f>SUMIFS(PAGOS!$E$3:$E$1048576,PAGOS!$A$3:$A$1048576,"&lt;&gt;INGRESO*",PAGOS!$A$3:$A$1048576,"&lt;&gt;EGRESO*",PAGOS!$D$3:$D$1048576,B8)</f>
        <v>500</v>
      </c>
      <c r="O8" s="110">
        <f>E8-N8</f>
        <v>0</v>
      </c>
      <c r="P8" s="110">
        <f>SUMIFS(PAGOS!$H$3:$H$1048576,PAGOS!$A$3:$A$1048576,"&lt;&gt;INGRESO*",PAGOS!$A$3:$A$1048576,"&lt;&gt;EGRESO*",PAGOS!$D$3:$D$1048576,B8)</f>
        <v>60</v>
      </c>
      <c r="Q8" s="110">
        <f>K8-P8</f>
        <v>0</v>
      </c>
    </row>
    <row r="9" spans="1:17" x14ac:dyDescent="0.3">
      <c r="A9" s="45">
        <v>3</v>
      </c>
      <c r="B9" s="39" t="s">
        <v>219</v>
      </c>
      <c r="C9" s="45" t="s">
        <v>24</v>
      </c>
      <c r="D9" s="41">
        <v>45488</v>
      </c>
      <c r="E9" s="11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SUMIFS(PAGOS!$E$3:$E$1048576,PAGOS!$A$3:$A$1048576,"&lt;&gt;INGRESO*",PAGOS!$A$3:$A$1048576,"&lt;&gt;EGRESO*",PAGOS!$D$3:$D$1048576,+MID('06'!B9,6,3)*1)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SUMIFS(PAGOS!$H$3:$H$1048576,PAGOS!$A$3:$A$1048576,"&lt;&gt;INGRESO*",PAGOS!$A$3:$A$1048576,"&lt;&gt;EGRESO*",PAGOS!$D$3:$D$1048576,+MID('06'!B9,6,3)*1)</f>
        <v>40</v>
      </c>
      <c r="Q9" s="110">
        <f>K9-P9</f>
        <v>10</v>
      </c>
    </row>
    <row r="10" spans="1:17" x14ac:dyDescent="0.3">
      <c r="A10" s="45">
        <v>4</v>
      </c>
      <c r="B10" s="39" t="s">
        <v>286</v>
      </c>
      <c r="C10" s="45" t="s">
        <v>24</v>
      </c>
      <c r="D10" s="41">
        <v>45641</v>
      </c>
      <c r="E10" s="11">
        <v>1000</v>
      </c>
      <c r="F10" s="45">
        <v>10</v>
      </c>
      <c r="G10" s="11">
        <v>100</v>
      </c>
      <c r="H10" s="11">
        <v>20</v>
      </c>
      <c r="I10" s="199">
        <v>120</v>
      </c>
      <c r="J10" s="11">
        <v>1000</v>
      </c>
      <c r="K10" s="11">
        <v>200</v>
      </c>
      <c r="L10" s="11">
        <v>1200</v>
      </c>
      <c r="N10" s="110">
        <f>SUMIFS(PAGOS!$E$3:$E$1048576,PAGOS!$A$3:$A$1048576,"&lt;&gt;INGRESO*",PAGOS!$A$3:$A$1048576,"&lt;&gt;EGRESO*",PAGOS!$D$3:$D$1048576,+MID('06'!B10,6,3)*1)</f>
        <v>1000</v>
      </c>
      <c r="O10" s="110">
        <f>E10-N10</f>
        <v>0</v>
      </c>
      <c r="P10" s="110">
        <f>SUMIFS(PAGOS!$H$3:$H$1048576,PAGOS!$A$3:$A$1048576,"&lt;&gt;INGRESO*",PAGOS!$A$3:$A$1048576,"&lt;&gt;EGRESO*",PAGOS!$D$3:$D$1048576,+MID('06'!B10,6,3)*1)</f>
        <v>160</v>
      </c>
      <c r="Q10" s="110">
        <f>K10-P10</f>
        <v>40</v>
      </c>
    </row>
    <row r="11" spans="1:17" x14ac:dyDescent="0.3">
      <c r="A11" s="45">
        <v>5</v>
      </c>
      <c r="B11" s="39" t="s">
        <v>439</v>
      </c>
      <c r="C11" s="45" t="s">
        <v>24</v>
      </c>
      <c r="D11" s="41">
        <v>45884</v>
      </c>
      <c r="E11" s="11">
        <v>1200</v>
      </c>
      <c r="F11" s="45">
        <v>12</v>
      </c>
      <c r="G11" s="11">
        <v>100</v>
      </c>
      <c r="H11" s="11">
        <v>24</v>
      </c>
      <c r="I11" s="199">
        <v>124</v>
      </c>
      <c r="J11" s="11">
        <v>1200</v>
      </c>
      <c r="K11" s="11">
        <v>288</v>
      </c>
      <c r="L11" s="11">
        <v>1488</v>
      </c>
      <c r="N11" s="110">
        <f>SUMIFS(PAGOS!$E$3:$E$1048576,PAGOS!$A$3:$A$1048576,"&lt;&gt;INGRESO*",PAGOS!$A$3:$A$1048576,"&lt;&gt;EGRESO*",PAGOS!$D$3:$D$1048576,+MID('06'!B11,6,3)*1)</f>
        <v>200</v>
      </c>
      <c r="O11" s="110">
        <f>E11-N11</f>
        <v>1000</v>
      </c>
      <c r="P11" s="110">
        <f>SUMIFS(PAGOS!$H$3:$H$1048576,PAGOS!$A$3:$A$1048576,"&lt;&gt;INGRESO*",PAGOS!$A$3:$A$1048576,"&lt;&gt;EGRESO*",PAGOS!$D$3:$D$1048576,+MID('06'!B11,6,3)*1)</f>
        <v>48</v>
      </c>
      <c r="Q11" s="110">
        <f>K11-P11</f>
        <v>240</v>
      </c>
    </row>
    <row r="12" spans="1:17" x14ac:dyDescent="0.3">
      <c r="I12" s="159"/>
    </row>
    <row r="13" spans="1:17" x14ac:dyDescent="0.3">
      <c r="I13" s="159"/>
    </row>
    <row r="14" spans="1:17" x14ac:dyDescent="0.3">
      <c r="I14" s="159"/>
    </row>
    <row r="16" spans="1:17" x14ac:dyDescent="0.3">
      <c r="I16" s="159"/>
    </row>
    <row r="17" spans="9:9" x14ac:dyDescent="0.3">
      <c r="I17" s="159"/>
    </row>
    <row r="27" spans="9:9" x14ac:dyDescent="0.3">
      <c r="I27" s="159"/>
    </row>
    <row r="28" spans="9:9" x14ac:dyDescent="0.3">
      <c r="I28" s="159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340873D7-D046-4561-83BB-0AF814B7A895}">
  <ds:schemaRefs/>
</ds:datastoreItem>
</file>

<file path=customXml/itemProps2.xml><?xml version="1.0" encoding="utf-8"?>
<ds:datastoreItem xmlns:ds="http://schemas.openxmlformats.org/officeDocument/2006/customXml" ds:itemID="{504DB1F8-1600-4022-BDB4-8099180D3EF9}">
  <ds:schemaRefs/>
</ds:datastoreItem>
</file>

<file path=customXml/itemProps3.xml><?xml version="1.0" encoding="utf-8"?>
<ds:datastoreItem xmlns:ds="http://schemas.openxmlformats.org/officeDocument/2006/customXml" ds:itemID="{CCC2BFEA-1C63-45CB-998F-867C60539D8E}">
  <ds:schemaRefs/>
</ds:datastoreItem>
</file>

<file path=customXml/itemProps4.xml><?xml version="1.0" encoding="utf-8"?>
<ds:datastoreItem xmlns:ds="http://schemas.openxmlformats.org/officeDocument/2006/customXml" ds:itemID="{EA8ECFC1-1041-46A5-AC72-47EFFDA40917}">
  <ds:schemaRefs/>
</ds:datastoreItem>
</file>

<file path=customXml/itemProps5.xml><?xml version="1.0" encoding="utf-8"?>
<ds:datastoreItem xmlns:ds="http://schemas.openxmlformats.org/officeDocument/2006/customXml" ds:itemID="{5E32B214-C004-4100-B819-CAD753BF0EAD}">
  <ds:schemaRefs/>
</ds:datastoreItem>
</file>

<file path=customXml/itemProps6.xml><?xml version="1.0" encoding="utf-8"?>
<ds:datastoreItem xmlns:ds="http://schemas.openxmlformats.org/officeDocument/2006/customXml" ds:itemID="{6FACA953-6097-4604-A6ED-E95603AC46F9}">
  <ds:schemaRefs/>
</ds:datastoreItem>
</file>

<file path=customXml/itemProps7.xml><?xml version="1.0" encoding="utf-8"?>
<ds:datastoreItem xmlns:ds="http://schemas.openxmlformats.org/officeDocument/2006/customXml" ds:itemID="{A9F909EB-F002-45AB-894E-17267888885D}">
  <ds:schemaRefs/>
</ds:datastoreItem>
</file>

<file path=customXml/itemProps8.xml><?xml version="1.0" encoding="utf-8"?>
<ds:datastoreItem xmlns:ds="http://schemas.openxmlformats.org/officeDocument/2006/customXml" ds:itemID="{12E6C9B4-C406-4DBA-BDA9-CB28F7BA0F27}">
  <ds:schemaRefs/>
</ds:datastoreItem>
</file>

<file path=customXml/itemProps9.xml><?xml version="1.0" encoding="utf-8"?>
<ds:datastoreItem xmlns:ds="http://schemas.openxmlformats.org/officeDocument/2006/customXml" ds:itemID="{1EC8139C-0445-42B8-83DE-6C9E5DF257A4}">
  <ds:schemaRefs/>
</ds:datastoreItem>
</file>

<file path=customXml/itemProps10.xml><?xml version="1.0" encoding="utf-8"?>
<ds:datastoreItem xmlns:ds="http://schemas.openxmlformats.org/officeDocument/2006/customXml" ds:itemID="{56977713-5519-4DDE-A98E-ED694EEEE002}">
  <ds:schemaRefs/>
</ds:datastoreItem>
</file>

<file path=customXml/itemProps11.xml><?xml version="1.0" encoding="utf-8"?>
<ds:datastoreItem xmlns:ds="http://schemas.openxmlformats.org/officeDocument/2006/customXml" ds:itemID="{B41D8EFD-3A32-4151-9111-9D1B3D59D808}">
  <ds:schemaRefs/>
</ds:datastoreItem>
</file>

<file path=customXml/itemProps12.xml><?xml version="1.0" encoding="utf-8"?>
<ds:datastoreItem xmlns:ds="http://schemas.openxmlformats.org/officeDocument/2006/customXml" ds:itemID="{5DE1189C-7EEA-4413-B6A9-21B5269B999E}">
  <ds:schemaRefs/>
</ds:datastoreItem>
</file>

<file path=customXml/itemProps13.xml><?xml version="1.0" encoding="utf-8"?>
<ds:datastoreItem xmlns:ds="http://schemas.openxmlformats.org/officeDocument/2006/customXml" ds:itemID="{1D573793-9A2A-40BB-ACDF-EDBB95B096D0}">
  <ds:schemaRefs/>
</ds:datastoreItem>
</file>

<file path=customXml/itemProps14.xml><?xml version="1.0" encoding="utf-8"?>
<ds:datastoreItem xmlns:ds="http://schemas.openxmlformats.org/officeDocument/2006/customXml" ds:itemID="{4794A331-D7C0-48C9-A64A-2F708E40918C}">
  <ds:schemaRefs/>
</ds:datastoreItem>
</file>

<file path=customXml/itemProps15.xml><?xml version="1.0" encoding="utf-8"?>
<ds:datastoreItem xmlns:ds="http://schemas.openxmlformats.org/officeDocument/2006/customXml" ds:itemID="{970D74BA-31C1-4589-8419-C43A52CE3BC7}">
  <ds:schemaRefs/>
</ds:datastoreItem>
</file>

<file path=customXml/itemProps16.xml><?xml version="1.0" encoding="utf-8"?>
<ds:datastoreItem xmlns:ds="http://schemas.openxmlformats.org/officeDocument/2006/customXml" ds:itemID="{A28830D5-EA88-4415-8641-5FA92227B1CF}">
  <ds:schemaRefs/>
</ds:datastoreItem>
</file>

<file path=customXml/itemProps17.xml><?xml version="1.0" encoding="utf-8"?>
<ds:datastoreItem xmlns:ds="http://schemas.openxmlformats.org/officeDocument/2006/customXml" ds:itemID="{467B89DC-45DC-45DB-AE14-EBE12F6CF689}">
  <ds:schemaRefs/>
</ds:datastoreItem>
</file>

<file path=customXml/itemProps18.xml><?xml version="1.0" encoding="utf-8"?>
<ds:datastoreItem xmlns:ds="http://schemas.openxmlformats.org/officeDocument/2006/customXml" ds:itemID="{EAAAD0B9-D380-40DE-B138-5E3E3F103374}">
  <ds:schemaRefs/>
</ds:datastoreItem>
</file>

<file path=customXml/itemProps19.xml><?xml version="1.0" encoding="utf-8"?>
<ds:datastoreItem xmlns:ds="http://schemas.openxmlformats.org/officeDocument/2006/customXml" ds:itemID="{0AF9AE0E-3BD4-4E99-AEF5-94B0341FFF37}">
  <ds:schemaRefs/>
</ds:datastoreItem>
</file>

<file path=customXml/itemProps20.xml><?xml version="1.0" encoding="utf-8"?>
<ds:datastoreItem xmlns:ds="http://schemas.openxmlformats.org/officeDocument/2006/customXml" ds:itemID="{54414082-E515-4251-B822-C9A98D18339A}">
  <ds:schemaRefs/>
</ds:datastoreItem>
</file>

<file path=customXml/itemProps21.xml><?xml version="1.0" encoding="utf-8"?>
<ds:datastoreItem xmlns:ds="http://schemas.openxmlformats.org/officeDocument/2006/customXml" ds:itemID="{F4B64C65-FDE9-48C7-BFC1-1F5E0CA796BC}">
  <ds:schemaRefs/>
</ds:datastoreItem>
</file>

<file path=customXml/itemProps22.xml><?xml version="1.0" encoding="utf-8"?>
<ds:datastoreItem xmlns:ds="http://schemas.openxmlformats.org/officeDocument/2006/customXml" ds:itemID="{7CBDD84F-1825-4B1B-88D4-457D3880B62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31</vt:i4>
      </vt:variant>
      <vt:variant>
        <vt:lpstr>Rangos con nombre</vt:lpstr>
      </vt:variant>
      <vt:variant>
        <vt:i4>24</vt:i4>
      </vt:variant>
    </vt:vector>
  </HeadingPairs>
  <TitlesOfParts>
    <vt:vector size="55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2025-11-06T00:31:13Z</cp:lastPrinted>
  <dcterms:created xsi:type="dcterms:W3CDTF">2023-09-09T22:17:43Z</dcterms:created>
  <dcterms:modified xsi:type="dcterms:W3CDTF">2025-11-06T00:47:00Z</dcterms:modified>
</cp:coreProperties>
</file>