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0DCBBDAC-3112-458F-881A-78D4B8EC4BBA}" xr6:coauthVersionLast="47" xr6:coauthVersionMax="47" xr10:uidLastSave="{00000000-0000-0000-0000-000000000000}"/>
  <bookViews>
    <workbookView xWindow="-108" yWindow="-108" windowWidth="23256" windowHeight="14616" tabRatio="863" activeTab="7" xr2:uid="{432CEF09-D5A9-4C02-8634-C8C653D7B7A9}"/>
  </bookViews>
  <sheets>
    <sheet name="LINEAMIENTOS" sheetId="1" r:id="rId1"/>
    <sheet name="SOCIOS" sheetId="2" r:id="rId2"/>
    <sheet name="REGISTRO" sheetId="17" r:id="rId3"/>
    <sheet name="PRESTAMOS" sheetId="3" r:id="rId4"/>
    <sheet name="PAGOS" sheetId="18" r:id="rId5"/>
    <sheet name="CAJA" sheetId="45" r:id="rId6"/>
    <sheet name="REPORTE" sheetId="39" r:id="rId7"/>
    <sheet name="ESTADO" sheetId="22" r:id="rId8"/>
    <sheet name="DASHBOARD" sheetId="66" r:id="rId9"/>
    <sheet name="HISTORIAL E.R" sheetId="38" r:id="rId10"/>
    <sheet name="HISTORIAL E.R (2)" sheetId="65" state="hidden" r:id="rId11"/>
    <sheet name="14" sheetId="41" state="hidden" r:id="rId12"/>
    <sheet name="15" sheetId="42" state="hidden" r:id="rId13"/>
    <sheet name="16" sheetId="43" state="hidden" r:id="rId14"/>
    <sheet name="17" sheetId="44" state="hidden" r:id="rId15"/>
    <sheet name="Tabla Amortización" sheetId="29" state="hidden" r:id="rId16"/>
    <sheet name="Hoja2" sheetId="21" state="hidden" r:id="rId17"/>
    <sheet name="01" sheetId="4" state="hidden" r:id="rId18"/>
    <sheet name="02" sheetId="5" state="hidden" r:id="rId19"/>
    <sheet name="03" sheetId="6" state="hidden" r:id="rId20"/>
    <sheet name="04" sheetId="7" state="hidden" r:id="rId21"/>
    <sheet name="05" sheetId="8" state="hidden" r:id="rId22"/>
    <sheet name="06" sheetId="9" state="hidden" r:id="rId23"/>
    <sheet name="07" sheetId="10" state="hidden" r:id="rId24"/>
    <sheet name="08" sheetId="11" state="hidden" r:id="rId25"/>
    <sheet name="09" sheetId="12" state="hidden" r:id="rId26"/>
    <sheet name="10" sheetId="13" state="hidden" r:id="rId27"/>
    <sheet name="11" sheetId="14" state="hidden" r:id="rId28"/>
    <sheet name="12" sheetId="15" state="hidden" r:id="rId29"/>
    <sheet name="13" sheetId="16" state="hidden" r:id="rId30"/>
  </sheets>
  <functionGroups builtInGroupCount="19"/>
  <definedNames>
    <definedName name="_xlnm._FilterDatabase" localSheetId="4" hidden="1">PAGOS!$A$2:$K$325</definedName>
    <definedName name="_xlnm._FilterDatabase" localSheetId="3" hidden="1">PRESTAMOS!$A$2:$K$83</definedName>
    <definedName name="_xlnm._FilterDatabase" localSheetId="6" hidden="1">REPORTE!$B$5:$Q$24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nm.Extract" localSheetId="3">PRESTAMOS!#REF!</definedName>
    <definedName name="_xlnm.Print_Area" localSheetId="17">'01'!$A$1:$L$33</definedName>
    <definedName name="_xlnm.Print_Area" localSheetId="18">'02'!$A$1:$L$36</definedName>
    <definedName name="_xlnm.Print_Area" localSheetId="19">'03'!$A$1:$L$35</definedName>
    <definedName name="_xlnm.Print_Area" localSheetId="20">'04'!$A$1:$L$35</definedName>
    <definedName name="_xlnm.Print_Area" localSheetId="21">'05'!$A$1:$L$36</definedName>
    <definedName name="_xlnm.Print_Area" localSheetId="22">'06'!$A$1:$L$35</definedName>
    <definedName name="_xlnm.Print_Area" localSheetId="23">'07'!$A$1:$L$36</definedName>
    <definedName name="_xlnm.Print_Area" localSheetId="24">'08'!$A$1:$L$36</definedName>
    <definedName name="_xlnm.Print_Area" localSheetId="25">'09'!$A$1:$L$36</definedName>
    <definedName name="_xlnm.Print_Area" localSheetId="26">'10'!$A$1:$L$36</definedName>
    <definedName name="_xlnm.Print_Area" localSheetId="27">'11'!$A$1:$L$36</definedName>
    <definedName name="_xlnm.Print_Area" localSheetId="28">'12'!$A$1:$L$33</definedName>
    <definedName name="_xlnm.Print_Area" localSheetId="29">'13'!$A$1:$L$36</definedName>
    <definedName name="_xlnm.Print_Area" localSheetId="11">'14'!$A$1:$L$36</definedName>
    <definedName name="_xlnm.Print_Area" localSheetId="12">'15'!$A$1:$L$36</definedName>
    <definedName name="_xlnm.Print_Area" localSheetId="13">'16'!$A$1:$L$36</definedName>
    <definedName name="_xlnm.Print_Area" localSheetId="14">'17'!$A$1:$L$36</definedName>
    <definedName name="_xlnm.Print_Area" localSheetId="3">PRESTAMOS!$A$1:$L$83</definedName>
    <definedName name="_xlnm.Print_Area" localSheetId="15">'Tabla Amortización'!$A$1:$G$46</definedName>
    <definedName name="_xlnm.Criteria" localSheetId="3">PRESTAMOS!$N$3:$N$4</definedName>
    <definedName name="ListaFiltrada">PRESTAMOS!$N$4</definedName>
    <definedName name="_xlnm.Print_Titles" localSheetId="9">'HISTORIAL E.R'!$1:$10</definedName>
    <definedName name="_xlnm.Print_Titles" localSheetId="10">'HISTORIAL E.R (2)'!$1:$5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3" l="1"/>
  <c r="K45" i="3"/>
  <c r="K55" i="3"/>
  <c r="A7" i="15" l="1" a="1"/>
  <c r="A7" i="15" s="1"/>
  <c r="A7" i="13" a="1"/>
  <c r="A7" i="13" s="1"/>
  <c r="N13" i="6"/>
  <c r="O13" i="6" s="1"/>
  <c r="P13" i="6"/>
  <c r="Q13" i="6" s="1"/>
  <c r="C8" i="17"/>
  <c r="K8" i="17"/>
  <c r="E12" i="17"/>
  <c r="E18" i="17" s="1"/>
  <c r="M12" i="17"/>
  <c r="Q7" i="39"/>
  <c r="Q6" i="39"/>
  <c r="O16" i="17" l="1"/>
  <c r="O12" i="17"/>
  <c r="E19" i="17"/>
  <c r="E27" i="22" l="1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6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P7" i="39" s="1"/>
  <c r="F8" i="39"/>
  <c r="P8" i="39" s="1"/>
  <c r="F9" i="39"/>
  <c r="P9" i="39" s="1"/>
  <c r="F10" i="39"/>
  <c r="P10" i="39" s="1"/>
  <c r="F11" i="39"/>
  <c r="P11" i="39" s="1"/>
  <c r="F12" i="39"/>
  <c r="P12" i="39" s="1"/>
  <c r="F13" i="39"/>
  <c r="P13" i="39" s="1"/>
  <c r="F14" i="39"/>
  <c r="P14" i="39" s="1"/>
  <c r="F15" i="39"/>
  <c r="P15" i="39" s="1"/>
  <c r="F16" i="39"/>
  <c r="P16" i="39" s="1"/>
  <c r="F17" i="39"/>
  <c r="P17" i="39" s="1"/>
  <c r="F18" i="39"/>
  <c r="P18" i="39" s="1"/>
  <c r="F19" i="39"/>
  <c r="P19" i="39" s="1"/>
  <c r="F20" i="39"/>
  <c r="P20" i="39" s="1"/>
  <c r="F21" i="39"/>
  <c r="P21" i="39" s="1"/>
  <c r="F22" i="39"/>
  <c r="P22" i="39" s="1"/>
  <c r="F23" i="39"/>
  <c r="P23" i="39" s="1"/>
  <c r="F6" i="39"/>
  <c r="P6" i="39" s="1"/>
  <c r="J9" i="39"/>
  <c r="J10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G22" i="39"/>
  <c r="G23" i="39"/>
  <c r="F6" i="2"/>
  <c r="F5" i="2"/>
  <c r="D5" i="2"/>
  <c r="D6" i="2"/>
  <c r="J8" i="39"/>
  <c r="H7" i="39"/>
  <c r="N7" i="39" s="1"/>
  <c r="H6" i="39"/>
  <c r="N6" i="39" s="1"/>
  <c r="G17" i="39"/>
  <c r="G7" i="39"/>
  <c r="M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M6" i="39" s="1"/>
  <c r="J4" i="22"/>
  <c r="N7" i="12"/>
  <c r="N10" i="12"/>
  <c r="P9" i="5"/>
  <c r="Q9" i="5" s="1"/>
  <c r="E23" i="22"/>
  <c r="E22" i="2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7" i="2"/>
  <c r="XER1" i="17" l="1"/>
  <c r="G24" i="39"/>
  <c r="F24" i="39"/>
  <c r="M23" i="39"/>
  <c r="P24" i="39"/>
  <c r="M14" i="39"/>
  <c r="M15" i="39"/>
  <c r="M22" i="39"/>
  <c r="M20" i="39"/>
  <c r="M17" i="39"/>
  <c r="M16" i="39"/>
  <c r="M12" i="39"/>
  <c r="M21" i="39"/>
  <c r="M19" i="39"/>
  <c r="M13" i="39"/>
  <c r="M18" i="39"/>
  <c r="K24" i="39"/>
  <c r="L24" i="39"/>
  <c r="M11" i="39"/>
  <c r="J24" i="39"/>
  <c r="M10" i="39"/>
  <c r="O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3" i="2"/>
  <c r="F54" i="2"/>
  <c r="F55" i="2"/>
  <c r="F56" i="2"/>
  <c r="F57" i="2"/>
  <c r="F58" i="2"/>
  <c r="F46" i="2"/>
  <c r="F43" i="2"/>
  <c r="F44" i="2"/>
  <c r="F45" i="2"/>
  <c r="N8" i="41"/>
  <c r="O8" i="41" s="1"/>
  <c r="P8" i="41"/>
  <c r="Q8" i="41" s="1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l="1"/>
  <c r="E17" i="22"/>
  <c r="E31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A7" i="5" a="1"/>
  <c r="A7" i="5" s="1"/>
  <c r="H83" i="3"/>
  <c r="L83" i="3"/>
  <c r="M16" i="17"/>
  <c r="E322" i="18"/>
  <c r="E310" i="18"/>
  <c r="I9" i="39" s="1"/>
  <c r="M9" i="39" s="1"/>
  <c r="F42" i="2"/>
  <c r="F41" i="2"/>
  <c r="E20" i="22"/>
  <c r="H82" i="3"/>
  <c r="L82" i="3"/>
  <c r="H81" i="3"/>
  <c r="L81" i="3"/>
  <c r="H80" i="3"/>
  <c r="L80" i="3"/>
  <c r="H79" i="3"/>
  <c r="L79" i="3"/>
  <c r="F40" i="2"/>
  <c r="E16" i="22"/>
  <c r="N10" i="10"/>
  <c r="O10" i="10" s="1"/>
  <c r="P10" i="10"/>
  <c r="Q10" i="10" s="1"/>
  <c r="H78" i="3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K77" i="3" s="1"/>
  <c r="H76" i="3"/>
  <c r="K76" i="3" s="1"/>
  <c r="H75" i="3"/>
  <c r="K75" i="3" s="1"/>
  <c r="P7" i="44"/>
  <c r="I3" i="44" s="1"/>
  <c r="N7" i="44"/>
  <c r="O7" i="44" s="1"/>
  <c r="A7" i="44" a="1"/>
  <c r="A7" i="44" s="1"/>
  <c r="G3" i="44"/>
  <c r="P7" i="43"/>
  <c r="I3" i="43" s="1"/>
  <c r="N7" i="43"/>
  <c r="O7" i="43" s="1"/>
  <c r="A7" i="43" a="1"/>
  <c r="A7" i="43" s="1"/>
  <c r="G3" i="43"/>
  <c r="P7" i="42"/>
  <c r="I3" i="42" s="1"/>
  <c r="N7" i="42"/>
  <c r="O7" i="42" s="1"/>
  <c r="A7" i="42" a="1"/>
  <c r="A7" i="42" s="1"/>
  <c r="G3" i="42"/>
  <c r="P7" i="41"/>
  <c r="I3" i="41" s="1"/>
  <c r="N7" i="41"/>
  <c r="O7" i="41" s="1"/>
  <c r="A7" i="41" a="1"/>
  <c r="A7" i="41" s="1"/>
  <c r="G3" i="41"/>
  <c r="H74" i="3"/>
  <c r="H73" i="3"/>
  <c r="F39" i="2"/>
  <c r="P12" i="4"/>
  <c r="Q12" i="4" s="1"/>
  <c r="N7" i="7"/>
  <c r="N13" i="7"/>
  <c r="O13" i="7" s="1"/>
  <c r="P13" i="7"/>
  <c r="Q13" i="7" s="1"/>
  <c r="H72" i="3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3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F37" i="2"/>
  <c r="H69" i="3"/>
  <c r="H68" i="3"/>
  <c r="H67" i="3"/>
  <c r="H66" i="3"/>
  <c r="H65" i="3"/>
  <c r="H64" i="3"/>
  <c r="H63" i="3"/>
  <c r="H62" i="3"/>
  <c r="F34" i="2"/>
  <c r="H61" i="3"/>
  <c r="H60" i="3"/>
  <c r="H59" i="3"/>
  <c r="I80" i="3" l="1"/>
  <c r="K80" i="3"/>
  <c r="I83" i="3"/>
  <c r="K83" i="3"/>
  <c r="I67" i="3"/>
  <c r="K67" i="3"/>
  <c r="I69" i="3"/>
  <c r="K69" i="3"/>
  <c r="I59" i="3"/>
  <c r="K59" i="3"/>
  <c r="I81" i="3"/>
  <c r="K81" i="3"/>
  <c r="I65" i="3"/>
  <c r="K65" i="3"/>
  <c r="I68" i="3"/>
  <c r="K68" i="3"/>
  <c r="I78" i="3"/>
  <c r="K78" i="3"/>
  <c r="I82" i="3"/>
  <c r="K82" i="3"/>
  <c r="I72" i="3"/>
  <c r="K72" i="3"/>
  <c r="I66" i="3"/>
  <c r="K66" i="3"/>
  <c r="I70" i="3"/>
  <c r="K70" i="3"/>
  <c r="I73" i="3"/>
  <c r="K73" i="3"/>
  <c r="I61" i="3"/>
  <c r="K61" i="3"/>
  <c r="I71" i="3"/>
  <c r="K71" i="3"/>
  <c r="I74" i="3"/>
  <c r="K74" i="3"/>
  <c r="I62" i="3"/>
  <c r="K62" i="3"/>
  <c r="I60" i="3"/>
  <c r="K60" i="3"/>
  <c r="I79" i="3"/>
  <c r="K79" i="3"/>
  <c r="I63" i="3"/>
  <c r="K63" i="3"/>
  <c r="I64" i="3"/>
  <c r="K64" i="3"/>
  <c r="N9" i="5"/>
  <c r="O9" i="5" s="1"/>
  <c r="I8" i="39"/>
  <c r="I77" i="3"/>
  <c r="H18" i="39"/>
  <c r="N18" i="39" s="1"/>
  <c r="I75" i="3"/>
  <c r="H22" i="39"/>
  <c r="N22" i="39" s="1"/>
  <c r="I76" i="3"/>
  <c r="H23" i="39"/>
  <c r="N23" i="39" s="1"/>
  <c r="N12" i="4"/>
  <c r="O12" i="4" s="1"/>
  <c r="E13" i="22"/>
  <c r="J6" i="22"/>
  <c r="E14" i="22"/>
  <c r="K3" i="43"/>
  <c r="K3" i="42"/>
  <c r="K3" i="41"/>
  <c r="K3" i="44"/>
  <c r="Q7" i="44"/>
  <c r="Q7" i="43"/>
  <c r="Q7" i="42"/>
  <c r="Q7" i="41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8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I55" i="3" s="1"/>
  <c r="H58" i="3"/>
  <c r="H57" i="3"/>
  <c r="H56" i="3"/>
  <c r="H54" i="3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H52" i="3"/>
  <c r="H51" i="3"/>
  <c r="H50" i="3"/>
  <c r="H49" i="3"/>
  <c r="H48" i="3"/>
  <c r="H47" i="3"/>
  <c r="H46" i="3"/>
  <c r="H45" i="3"/>
  <c r="I45" i="3" s="1"/>
  <c r="H44" i="3"/>
  <c r="H43" i="3"/>
  <c r="H42" i="3"/>
  <c r="H41" i="3"/>
  <c r="H40" i="3"/>
  <c r="H39" i="3"/>
  <c r="E5" i="29"/>
  <c r="E4" i="29"/>
  <c r="I44" i="3" l="1"/>
  <c r="K44" i="3"/>
  <c r="I54" i="3"/>
  <c r="K54" i="3"/>
  <c r="I46" i="3"/>
  <c r="K46" i="3"/>
  <c r="I57" i="3"/>
  <c r="K57" i="3"/>
  <c r="I53" i="3"/>
  <c r="K53" i="3"/>
  <c r="I48" i="3"/>
  <c r="K48" i="3"/>
  <c r="I42" i="3"/>
  <c r="K42" i="3"/>
  <c r="I47" i="3"/>
  <c r="K47" i="3"/>
  <c r="I49" i="3"/>
  <c r="K49" i="3"/>
  <c r="I50" i="3"/>
  <c r="K50" i="3"/>
  <c r="I43" i="3"/>
  <c r="K43" i="3"/>
  <c r="I56" i="3"/>
  <c r="K56" i="3"/>
  <c r="I58" i="3"/>
  <c r="K58" i="3"/>
  <c r="I41" i="3"/>
  <c r="K41" i="3"/>
  <c r="I39" i="3"/>
  <c r="K39" i="3"/>
  <c r="I51" i="3"/>
  <c r="K51" i="3"/>
  <c r="I40" i="3"/>
  <c r="K40" i="3"/>
  <c r="I52" i="3"/>
  <c r="K52" i="3"/>
  <c r="I24" i="39"/>
  <c r="M8" i="39"/>
  <c r="M24" i="39" s="1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E6" i="29"/>
  <c r="E7" i="29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A7" i="4" a="1"/>
  <c r="A7" i="4" s="1"/>
  <c r="S10" i="22"/>
  <c r="S11" i="22"/>
  <c r="S12" i="22"/>
  <c r="S13" i="22"/>
  <c r="S14" i="22"/>
  <c r="S9" i="22"/>
  <c r="S5" i="22"/>
  <c r="S6" i="22"/>
  <c r="S7" i="22"/>
  <c r="S4" i="22"/>
  <c r="H22" i="22"/>
  <c r="I22" i="22"/>
  <c r="J22" i="22"/>
  <c r="H23" i="22"/>
  <c r="J23" i="22"/>
  <c r="H24" i="22"/>
  <c r="I24" i="22"/>
  <c r="J24" i="22"/>
  <c r="H25" i="22"/>
  <c r="I25" i="22"/>
  <c r="J25" i="22"/>
  <c r="H26" i="22"/>
  <c r="I26" i="22"/>
  <c r="J26" i="22"/>
  <c r="J21" i="22"/>
  <c r="I21" i="22"/>
  <c r="H21" i="22"/>
  <c r="H17" i="22"/>
  <c r="I17" i="22"/>
  <c r="J17" i="22"/>
  <c r="H18" i="22"/>
  <c r="I18" i="22"/>
  <c r="J18" i="22"/>
  <c r="H19" i="22"/>
  <c r="I19" i="22"/>
  <c r="J19" i="22"/>
  <c r="J16" i="22"/>
  <c r="I16" i="22"/>
  <c r="H16" i="22"/>
  <c r="I38" i="3" l="1"/>
  <c r="K38" i="3"/>
  <c r="K25" i="22"/>
  <c r="K22" i="22"/>
  <c r="K26" i="22"/>
  <c r="K23" i="22"/>
  <c r="K24" i="22"/>
  <c r="K18" i="22"/>
  <c r="K16" i="22"/>
  <c r="K21" i="22"/>
  <c r="K17" i="22"/>
  <c r="K19" i="22"/>
  <c r="K20" i="22" l="1"/>
  <c r="K15" i="22"/>
  <c r="H37" i="3"/>
  <c r="J11" i="22"/>
  <c r="H36" i="3"/>
  <c r="H35" i="3"/>
  <c r="H34" i="3"/>
  <c r="H33" i="3"/>
  <c r="H32" i="3"/>
  <c r="H31" i="3"/>
  <c r="I32" i="3" l="1"/>
  <c r="K32" i="3"/>
  <c r="I35" i="3"/>
  <c r="K35" i="3"/>
  <c r="I31" i="3"/>
  <c r="K31" i="3"/>
  <c r="I33" i="3"/>
  <c r="K33" i="3"/>
  <c r="I34" i="3"/>
  <c r="K34" i="3"/>
  <c r="I36" i="3"/>
  <c r="K36" i="3"/>
  <c r="I37" i="3"/>
  <c r="K37" i="3"/>
  <c r="H14" i="22"/>
  <c r="H30" i="3"/>
  <c r="K30" i="3" s="1"/>
  <c r="H29" i="3"/>
  <c r="H28" i="3"/>
  <c r="K28" i="3" s="1"/>
  <c r="H27" i="3"/>
  <c r="H26" i="3"/>
  <c r="H25" i="3"/>
  <c r="H24" i="3"/>
  <c r="H23" i="3"/>
  <c r="H22" i="3"/>
  <c r="H21" i="3"/>
  <c r="H20" i="3"/>
  <c r="K20" i="3" s="1"/>
  <c r="H19" i="3"/>
  <c r="H18" i="3"/>
  <c r="H17" i="3"/>
  <c r="K17" i="3" s="1"/>
  <c r="H16" i="3"/>
  <c r="H15" i="3"/>
  <c r="K15" i="3" s="1"/>
  <c r="H14" i="3"/>
  <c r="H13" i="3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I8" i="3" s="1"/>
  <c r="H4" i="3"/>
  <c r="K4" i="3" s="1"/>
  <c r="I13" i="3" l="1"/>
  <c r="K13" i="3"/>
  <c r="I25" i="3"/>
  <c r="K25" i="3"/>
  <c r="I14" i="3"/>
  <c r="K14" i="3"/>
  <c r="I26" i="3"/>
  <c r="K26" i="3"/>
  <c r="I24" i="3"/>
  <c r="K24" i="3"/>
  <c r="I27" i="3"/>
  <c r="K27" i="3"/>
  <c r="I16" i="3"/>
  <c r="K16" i="3"/>
  <c r="I29" i="3"/>
  <c r="K29" i="3"/>
  <c r="I22" i="3"/>
  <c r="K22" i="3"/>
  <c r="I18" i="3"/>
  <c r="K18" i="3"/>
  <c r="I19" i="3"/>
  <c r="K19" i="3"/>
  <c r="I23" i="3"/>
  <c r="K23" i="3"/>
  <c r="I21" i="3"/>
  <c r="K21" i="3"/>
  <c r="H12" i="39"/>
  <c r="N12" i="39" s="1"/>
  <c r="I4" i="3"/>
  <c r="H10" i="39"/>
  <c r="N10" i="39" s="1"/>
  <c r="I20" i="3"/>
  <c r="H13" i="39"/>
  <c r="N13" i="39" s="1"/>
  <c r="I7" i="3"/>
  <c r="H16" i="39"/>
  <c r="N16" i="39" s="1"/>
  <c r="I10" i="3"/>
  <c r="H17" i="39"/>
  <c r="N17" i="39" s="1"/>
  <c r="I11" i="3"/>
  <c r="H19" i="39"/>
  <c r="N19" i="39" s="1"/>
  <c r="I6" i="3"/>
  <c r="H21" i="39"/>
  <c r="N21" i="39" s="1"/>
  <c r="I9" i="3"/>
  <c r="H9" i="39"/>
  <c r="N9" i="39" s="1"/>
  <c r="I12" i="3"/>
  <c r="H20" i="39"/>
  <c r="N20" i="39" s="1"/>
  <c r="I30" i="3"/>
  <c r="H8" i="39"/>
  <c r="I17" i="3"/>
  <c r="H11" i="39"/>
  <c r="N11" i="39" s="1"/>
  <c r="I15" i="3"/>
  <c r="H15" i="39"/>
  <c r="N15" i="39" s="1"/>
  <c r="I5" i="3"/>
  <c r="I28" i="3"/>
  <c r="N8" i="39" l="1"/>
  <c r="H3" i="3"/>
  <c r="H14" i="39" l="1"/>
  <c r="N14" i="39" s="1"/>
  <c r="N24" i="39" s="1"/>
  <c r="K3" i="3"/>
  <c r="N4" i="3" s="1" a="1"/>
  <c r="N4" i="3" s="1"/>
  <c r="E10" i="22"/>
  <c r="E26" i="22" s="1"/>
  <c r="E11" i="22"/>
  <c r="J7" i="22" s="1"/>
  <c r="I3" i="3"/>
  <c r="H24" i="39" l="1"/>
  <c r="E18" i="22"/>
  <c r="A7" i="11" a="1"/>
  <c r="A7" i="11" s="1"/>
  <c r="A7" i="14" a="1"/>
  <c r="A7" i="14" s="1"/>
  <c r="A7" i="10" a="1"/>
  <c r="A7" i="10" s="1"/>
  <c r="A7" i="6" a="1"/>
  <c r="A7" i="6" s="1"/>
  <c r="A7" i="9" a="1"/>
  <c r="A7" i="9" s="1"/>
  <c r="A7" i="8" a="1"/>
  <c r="A7" i="8" s="1"/>
  <c r="A7" i="16" a="1"/>
  <c r="A7" i="16" s="1"/>
  <c r="A7" i="12" a="1"/>
  <c r="A7" i="12" s="1"/>
  <c r="A7" i="7" a="1"/>
  <c r="A7" i="7" s="1"/>
  <c r="Q10" i="39"/>
  <c r="Q15" i="39"/>
  <c r="Q14" i="39"/>
  <c r="Q23" i="39"/>
  <c r="Q18" i="39"/>
  <c r="Q11" i="39"/>
  <c r="Q13" i="39"/>
  <c r="Q16" i="39"/>
  <c r="Q22" i="39"/>
  <c r="Q8" i="39"/>
  <c r="Q12" i="39"/>
  <c r="Q17" i="39"/>
  <c r="Q19" i="39"/>
  <c r="Q21" i="39"/>
  <c r="Q9" i="39"/>
  <c r="Q20" i="39"/>
  <c r="Q24" i="39" l="1"/>
  <c r="J10" i="22"/>
  <c r="J12" i="22" s="1"/>
  <c r="P17" i="22" s="1"/>
  <c r="E5" i="22" l="1"/>
  <c r="E24" i="22" s="1"/>
  <c r="E25" i="22" s="1"/>
  <c r="E29" i="22"/>
  <c r="E28" i="22" l="1"/>
  <c r="C32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64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<sst xmlns="http://schemas.openxmlformats.org/spreadsheetml/2006/main" count="4146" uniqueCount="461">
  <si>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</si>
  <si>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</si>
  <si>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</si>
  <si>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</si>
  <si>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</si>
  <si>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</si>
  <si>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</si>
  <si>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</si>
  <si>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</si>
  <si>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</si>
  <si>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</si>
  <si>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</si>
  <si>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</si>
  <si>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</si>
  <si>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</si>
  <si>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</si>
  <si>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</si>
  <si>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</si>
  <si>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</si>
  <si>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</si>
  <si>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</si>
  <si>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</si>
  <si>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</si>
  <si>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</si>
  <si>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</si>
  <si>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</si>
  <si>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</si>
  <si>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</si>
  <si>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</si>
  <si>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</si>
  <si>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</si>
  <si>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</si>
  <si>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</si>
  <si>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</si>
  <si>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</si>
  <si>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</si>
  <si>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</si>
  <si>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</si>
  <si>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</si>
  <si>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</si>
  <si>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</si>
  <si>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</si>
  <si>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</si>
  <si>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</si>
  <si>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</si>
  <si>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</si>
  <si>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</si>
  <si>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</si>
  <si>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</si>
  <si>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</si>
  <si>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</si>
  <si>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</si>
  <si>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</si>
  <si>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</si>
  <si>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</si>
  <si>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</si>
  <si>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</si>
  <si>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</si>
  <si>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</si>
  <si>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</si>
  <si>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</si>
  <si>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</si>
  <si>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</si>
  <si>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</si>
  <si>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</si>
  <si>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</si>
  <si>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</si>
  <si>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</si>
  <si>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</si>
  <si>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</si>
  <si>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</si>
  <si>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</si>
  <si>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</si>
  <si>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</si>
  <si>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</si>
  <si>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</si>
  <si>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</si>
  <si>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</si>
  <si>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</si>
  <si>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</si>
  <si>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</si>
  <si>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</si>
  <si>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</si>
  <si>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</si>
  <si>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</si>
  <si>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</si>
  <si>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</si>
  <si>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</si>
  <si>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</si>
  <si>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</si>
  <si>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</si>
  <si>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</si>
  <si>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</si>
  <si>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</si>
  <si>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</si>
  <si>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</si>
  <si>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</si>
  <si>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</si>
  <si>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</si>
  <si>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</si>
  <si>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</si>
  <si>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</si>
  <si>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</si>
  <si>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</si>
  <si>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</si>
  <si>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</si>
  <si>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</si>
  <si>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</si>
  <si>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</si>
  <si>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</si>
  <si>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</si>
  <si>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</si>
  <si>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</si>
  <si>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</si>
  <si>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</si>
  <si>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</si>
  <si>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</si>
  <si>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</si>
  <si>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</si>
  <si>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</si>
  <si>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</si>
  <si>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</si>
  <si>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</si>
  <si>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</si>
  <si>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</si>
  <si>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</si>
  <si>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</si>
  <si>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</si>
  <si>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</si>
  <si>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</si>
  <si>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ANULACION DE PAGO DE INTERESES POR REPRESTAMO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</si>
  <si>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</si>
  <si>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</si>
  <si>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</si>
  <si>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</si>
  <si>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</si>
  <si>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</si>
  <si>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</si>
  <si>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</si>
  <si>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</si>
  <si>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</si>
  <si>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</si>
  <si>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</si>
  <si>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</si>
  <si>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</si>
  <si>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</si>
  <si>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</si>
  <si>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</si>
  <si>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</si>
  <si>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</si>
  <si>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</si>
  <si>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</si>
  <si>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</si>
  <si>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</si>
  <si>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</si>
  <si>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</si>
  <si>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</si>
  <si>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</si>
  <si>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</si>
  <si>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</si>
  <si>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</si>
  <si>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</si>
  <si>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</si>
  <si>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</si>
  <si>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</si>
  <si>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</si>
  <si>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</si>
  <si>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</si>
  <si>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</si>
  <si>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</si>
  <si>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</si>
  <si>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</si>
  <si>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</si>
  <si>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</si>
  <si>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</si>
  <si>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</si>
  <si>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</si>
  <si>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</si>
  <si>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</si>
  <si>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</si>
  <si>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</si>
  <si>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</si>
  <si>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</si>
  <si>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</si>
  <si>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</si>
  <si>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</si>
  <si>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</si>
  <si>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</si>
  <si>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</si>
  <si>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</si>
  <si>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</si>
  <si>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</si>
  <si>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</si>
  <si>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</si>
  <si>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</si>
  <si>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</si>
  <si>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</si>
  <si>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</si>
  <si>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</si>
  <si>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</si>
  <si>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</si>
  <si>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</si>
  <si>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</si>
  <si>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</si>
  <si>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</si>
  <si>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</si>
  <si>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</si>
  <si>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</si>
  <si>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</si>
  <si>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</si>
  <si>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</si>
  <si>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</si>
  <si>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</si>
  <si>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</si>
  <si>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</si>
  <si>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ANULACION DE PAGO DE INTERESES Y MONTO POR REPRESTAMO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</si>
  <si>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</si>
  <si>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</si>
  <si>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</si>
  <si>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</si>
  <si>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</si>
  <si>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</si>
  <si>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</si>
  <si>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</si>
  <si>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</si>
  <si>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</si>
  <si>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</si>
  <si>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</si>
  <si>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</si>
  <si>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</si>
  <si>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</si>
  <si>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</si>
  <si>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</si>
  <si>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</si>
  <si>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</si>
  <si>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</si>
  <si>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</si>
  <si>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</si>
  <si>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</si>
  <si>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</si>
  <si>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</si>
  <si>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</si>
  <si>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</si>
  <si>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</si>
  <si>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</si>
  <si>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</si>
  <si>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</si>
  <si>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</si>
  <si>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</si>
  <si>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</si>
  <si>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</si>
  <si>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</si>
  <si>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</si>
  <si>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</si>
  <si>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</si>
  <si>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</si>
  <si>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</si>
  <si>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</si>
  <si>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</si>
  <si>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</si>
  <si>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</si>
  <si>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</si>
  <si>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AYUDA01</t>
  </si>
  <si>
    <t>AYUDA02</t>
  </si>
  <si>
    <t>AYUDA03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</si>
  <si>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</si>
  <si>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</si>
  <si>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</si>
  <si>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</si>
  <si>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</si>
  <si>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</si>
  <si>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</si>
  <si>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</si>
  <si>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PAGO DE LA ULTIMA LETRA QUE SALE DEL REPRESTAMO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</si>
  <si>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</si>
  <si>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</si>
  <si>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</si>
  <si>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</si>
  <si>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</si>
  <si>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</si>
  <si>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</si>
  <si>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</si>
  <si>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</si>
  <si>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</si>
  <si>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</si>
  <si>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</si>
  <si>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</si>
  <si>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</si>
  <si>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</si>
  <si>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</si>
  <si>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</si>
  <si>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</si>
  <si>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</si>
  <si>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</si>
  <si>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</si>
  <si>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</si>
  <si>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</si>
  <si>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PAGO DE LA CUARTA LETRA (REEPRESTAMO)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</si>
  <si>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</si>
  <si>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</si>
  <si>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</si>
  <si>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</si>
  <si>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</si>
  <si>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</si>
  <si>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</si>
  <si>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</si>
  <si>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</si>
  <si>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</si>
  <si>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</si>
  <si>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</si>
  <si>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</si>
  <si>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</si>
  <si>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</si>
  <si>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</si>
  <si>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</si>
  <si>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</si>
  <si>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</si>
  <si>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</si>
  <si>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</si>
  <si>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</si>
  <si>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SEGUNDA LETRA (CON PAGO DE UN REPRESTAMO)</t>
  </si>
  <si>
    <t>PAGO DE LA QUINTA LETRA (PAGO CON REPRESTAMO)</t>
  </si>
  <si>
    <t>PAGO DE LA SEXTA CUOTA (PAGO CON REPRESTAMO)</t>
  </si>
  <si>
    <t>PAGO DE LA CUARTA LETRA PAGO CON REPRESTAMO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</si>
  <si>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</si>
  <si>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</si>
  <si>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</si>
  <si>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</si>
  <si>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</si>
  <si>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</si>
  <si>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</si>
  <si>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</si>
  <si>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</si>
  <si>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</si>
  <si>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</si>
  <si>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</si>
  <si>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</si>
  <si>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</si>
  <si>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</si>
  <si>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</si>
  <si>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</si>
  <si>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</si>
  <si>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</si>
  <si>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</si>
  <si>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</si>
  <si>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</si>
  <si>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</si>
  <si>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</si>
  <si>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</si>
  <si>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</si>
  <si>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</si>
  <si>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</si>
  <si>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</si>
  <si>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</si>
  <si>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</si>
  <si>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</si>
  <si>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</si>
  <si>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</si>
  <si>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</si>
  <si>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</si>
  <si>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</si>
  <si>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</si>
  <si>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</si>
  <si>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</si>
  <si>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</si>
  <si>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</si>
  <si>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</si>
  <si>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</si>
  <si>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</si>
  <si>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</si>
  <si>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</si>
  <si>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</si>
  <si>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</si>
  <si>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</si>
  <si>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</si>
  <si>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</si>
  <si>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</si>
  <si>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</si>
  <si>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</si>
  <si>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</si>
  <si>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</si>
  <si>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</si>
  <si>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</si>
  <si>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</si>
  <si>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</si>
  <si>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</si>
  <si>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</si>
  <si>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</si>
  <si>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</si>
  <si>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</si>
  <si>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</si>
  <si>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</si>
  <si>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</si>
  <si>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</si>
  <si>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</si>
  <si>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</si>
  <si>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</si>
  <si>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</si>
  <si>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</si>
  <si>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</si>
  <si>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ANULACION PAGO DEL MONTO POR REEPRESTAMO</t>
  </si>
  <si>
    <t>MONTO PAGADO CON REPRESTAMO DE ANA TOAQUIZA</t>
  </si>
  <si>
    <t>PAGO DEL SEGUNGO INTERES</t>
  </si>
  <si>
    <t>CANCELA EL MONTO TOTAL POR HACER REEPRESTAMO</t>
  </si>
  <si>
    <t>PAGO MONTO CANCELA PRESTAMO TOMA A CARGO LUPE</t>
  </si>
  <si>
    <t>ANULACION DE PAGO DEL MONTO POR REPRESTAMO</t>
  </si>
  <si>
    <t>PAGO DEL SEGUDO INTERES</t>
  </si>
  <si>
    <t>ANULACION DE PAGO DE INTERESES 3-4-5 POR REPRESTAMO</t>
  </si>
  <si>
    <t>EGRESO14</t>
  </si>
  <si>
    <t>EGRESO15</t>
  </si>
  <si>
    <t>EGRESO16</t>
  </si>
  <si>
    <t>EGRESO17</t>
  </si>
  <si>
    <t>EGRESO18</t>
  </si>
  <si>
    <t>EGRESO19</t>
  </si>
  <si>
    <t>EGRESO20</t>
  </si>
  <si>
    <t>EGRESO21</t>
  </si>
  <si>
    <t>EGRESO22</t>
  </si>
  <si>
    <t>EGRESO23</t>
  </si>
  <si>
    <t>EGRESO24</t>
  </si>
  <si>
    <t>EGRESO25</t>
  </si>
  <si>
    <t>EGRESO27</t>
  </si>
  <si>
    <t>EGRESO28</t>
  </si>
  <si>
    <t>EGRESO29</t>
  </si>
  <si>
    <t>EGRES. REPRESTAMOS-MONTO NO COBRADO</t>
  </si>
  <si>
    <t>FIN PERIODO</t>
  </si>
  <si>
    <t>INCO. PERIODO</t>
  </si>
  <si>
    <t>INCO. OPERACIÓN</t>
  </si>
  <si>
    <t>PREST076</t>
  </si>
  <si>
    <t>EGRESO11</t>
  </si>
  <si>
    <t>EGRESO26</t>
  </si>
  <si>
    <t>EGRESO30</t>
  </si>
  <si>
    <t>PAGO DE MAYRA TOAQUIZA CON REPRESTAMO</t>
  </si>
  <si>
    <t>PAGO DE LA DOCEAVA LETRA</t>
  </si>
  <si>
    <t>PAGO DE LA DECIMA LETRA</t>
  </si>
  <si>
    <t>PAGO DE LA ONCEAVA LETRA</t>
  </si>
  <si>
    <t>EGRESO31</t>
  </si>
  <si>
    <t>EGRESO32</t>
  </si>
  <si>
    <t>APORTE</t>
  </si>
  <si>
    <t>SECUENCIA</t>
  </si>
  <si>
    <t>PRESTAMO A TERCEROS UN SOLO PAGO (SEBASTIAN VELEMA)</t>
  </si>
  <si>
    <t>PAGO DE LA LETRA # 1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</si>
  <si>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</si>
  <si>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</si>
  <si>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</si>
  <si>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</si>
  <si>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</si>
  <si>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</si>
  <si>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</si>
  <si>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</si>
  <si>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</si>
  <si>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</si>
  <si>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</si>
  <si>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</si>
  <si>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</si>
  <si>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</si>
  <si>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</si>
  <si>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</si>
  <si>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</si>
  <si>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</si>
  <si>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</si>
  <si>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 xml:space="preserve">PAGO DE LA LETRA #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</si>
</sst>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7" formatCode="&quot;$&quot;#,##0.00;&quot;$&quot;\-#,##0.00"/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#,##0.00"/>
    <numFmt numFmtId="165" formatCode="&quot;PREST&quot;000"/>
    <numFmt numFmtId="166" formatCode="&quot;PAGOS&quot;000"/>
    <numFmt numFmtId="167" formatCode="00"/>
    <numFmt numFmtId="168" formatCode="&quot;CUOTA &quot;00"/>
    <numFmt numFmtId="169" formatCode="&quot;INTERES &quot;00"/>
    <numFmt numFmtId="170" formatCode="&quot;MESES &quot;00"/>
    <numFmt numFmtId="171" formatCode="&quot;CUOTA&quot;00"/>
    <numFmt numFmtId="172" formatCode="&quot;INTERES&quot;00"/>
    <numFmt numFmtId="173" formatCode="0.000"/>
    <numFmt numFmtId="174" formatCode="&quot;$&quot;#,##0.00;[Red]\-&quot;$&quot;#,##0.00"/>
    <numFmt numFmtId="175" formatCode="000"/>
    <numFmt numFmtId="176" formatCode="_-* #,##0.00\ _€_-;\-* #,##0.00\ _€_-;_-* &quot;-&quot;??\ _€_-;_-@_-"/>
    <numFmt numFmtId="177" formatCode="&quot;PREST&quot;\&amp;"/>
    <numFmt numFmtId="178" formatCode="&quot;CAJ&quot;000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43" fontId="7" fillId="0" borderId="0" applyFont="0" applyFill="0" applyBorder="0" applyAlignment="0" applyProtection="0"/>
  </cellStyleXfs>
  <cellXfs count="368">
    <xf numFmtId="0" fontId="0" fillId="0" borderId="0" xfId="0"/>
    <xf numFmtId="49" fontId="0" fillId="2" borderId="0" xfId="0" applyNumberFormat="1" applyFill="1"/>
    <xf numFmtId="0" fontId="0" fillId="2" borderId="0" xfId="0" applyFill="1"/>
    <xf numFmtId="164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44" fontId="0" fillId="0" borderId="1" xfId="2" applyFont="1" applyBorder="1"/>
    <xf numFmtId="44" fontId="0" fillId="0" borderId="0" xfId="0" applyNumberFormat="1"/>
    <xf numFmtId="164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5" fontId="0" fillId="2" borderId="5" xfId="0" applyNumberFormat="1" applyFill="1" applyBorder="1" applyAlignment="1" applyProtection="1">
      <alignment horizontal="center"/>
      <protection locked="0"/>
    </xf>
    <xf numFmtId="166" fontId="0" fillId="2" borderId="5" xfId="0" applyNumberFormat="1" applyFill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right"/>
    </xf>
    <xf numFmtId="168" fontId="0" fillId="2" borderId="5" xfId="0" applyNumberFormat="1" applyFill="1" applyBorder="1" applyProtection="1">
      <protection locked="0"/>
    </xf>
    <xf numFmtId="169" fontId="0" fillId="2" borderId="5" xfId="0" applyNumberFormat="1" applyFill="1" applyBorder="1" applyProtection="1">
      <protection locked="0"/>
    </xf>
    <xf numFmtId="164" fontId="0" fillId="2" borderId="5" xfId="0" applyNumberFormat="1" applyFill="1" applyBorder="1" applyProtection="1">
      <protection locked="0"/>
    </xf>
    <xf numFmtId="164" fontId="0" fillId="2" borderId="5" xfId="0" applyNumberFormat="1" applyFill="1" applyBorder="1" applyAlignment="1" applyProtection="1">
      <alignment wrapText="1"/>
      <protection locked="0"/>
    </xf>
    <xf numFmtId="170" fontId="0" fillId="2" borderId="5" xfId="0" applyNumberFormat="1" applyFill="1" applyBorder="1" applyProtection="1">
      <protection locked="0"/>
    </xf>
    <xf numFmtId="164" fontId="0" fillId="0" borderId="1" xfId="0" applyNumberForma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7" fontId="0" fillId="0" borderId="2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67" fontId="0" fillId="0" borderId="1" xfId="0" applyNumberForma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14" fontId="0" fillId="0" borderId="1" xfId="0" applyNumberFormat="1" applyBorder="1"/>
    <xf numFmtId="170" fontId="0" fillId="0" borderId="1" xfId="0" applyNumberFormat="1" applyBorder="1"/>
    <xf numFmtId="164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67" fontId="0" fillId="0" borderId="2" xfId="0" applyNumberFormat="1" applyBorder="1"/>
    <xf numFmtId="164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0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4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71" fontId="0" fillId="2" borderId="22" xfId="0" applyNumberFormat="1" applyFill="1" applyBorder="1" applyAlignment="1" applyProtection="1">
      <alignment horizontal="right"/>
      <protection locked="0"/>
    </xf>
    <xf numFmtId="172" fontId="0" fillId="2" borderId="1" xfId="0" applyNumberFormat="1" applyFill="1" applyBorder="1" applyAlignment="1">
      <alignment horizontal="right"/>
    </xf>
    <xf numFmtId="172" fontId="0" fillId="2" borderId="21" xfId="0" applyNumberFormat="1" applyFill="1" applyBorder="1" applyAlignment="1">
      <alignment horizontal="right"/>
    </xf>
    <xf numFmtId="172" fontId="0" fillId="2" borderId="21" xfId="0" applyNumberFormat="1" applyFill="1" applyBorder="1" applyAlignment="1" applyProtection="1">
      <alignment horizontal="right"/>
      <protection locked="0"/>
    </xf>
    <xf numFmtId="172" fontId="0" fillId="2" borderId="22" xfId="0" applyNumberFormat="1" applyFill="1" applyBorder="1" applyAlignment="1" applyProtection="1">
      <alignment horizontal="right"/>
      <protection locked="0"/>
    </xf>
    <xf numFmtId="167" fontId="0" fillId="0" borderId="1" xfId="0" applyNumberFormat="1" applyBorder="1" applyAlignment="1">
      <alignment horizontal="right"/>
    </xf>
    <xf numFmtId="167" fontId="0" fillId="0" borderId="21" xfId="0" applyNumberFormat="1" applyBorder="1" applyAlignment="1">
      <alignment horizontal="right"/>
    </xf>
    <xf numFmtId="167" fontId="0" fillId="2" borderId="21" xfId="0" applyNumberFormat="1" applyFill="1" applyBorder="1" applyAlignment="1" applyProtection="1">
      <alignment horizontal="right"/>
      <protection locked="0"/>
    </xf>
    <xf numFmtId="164" fontId="0" fillId="0" borderId="21" xfId="0" applyNumberFormat="1" applyBorder="1" applyAlignment="1">
      <alignment horizontal="right"/>
    </xf>
    <xf numFmtId="164" fontId="0" fillId="2" borderId="21" xfId="0" applyNumberFormat="1" applyFill="1" applyBorder="1" applyAlignment="1" applyProtection="1">
      <alignment horizontal="right"/>
      <protection locked="0"/>
    </xf>
    <xf numFmtId="164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166" fontId="0" fillId="0" borderId="2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1" fontId="0" fillId="0" borderId="2" xfId="0" applyNumberFormat="1" applyBorder="1" applyAlignment="1">
      <alignment horizontal="right"/>
    </xf>
    <xf numFmtId="172" fontId="0" fillId="2" borderId="2" xfId="0" applyNumberFormat="1" applyFill="1" applyBorder="1" applyAlignment="1">
      <alignment horizontal="right"/>
    </xf>
    <xf numFmtId="170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44" fontId="4" fillId="2" borderId="32" xfId="0" applyNumberFormat="1" applyFont="1" applyFill="1" applyBorder="1"/>
    <xf numFmtId="44" fontId="0" fillId="2" borderId="32" xfId="0" applyNumberFormat="1" applyFill="1" applyBorder="1"/>
    <xf numFmtId="44" fontId="0" fillId="0" borderId="32" xfId="0" applyNumberFormat="1" applyBorder="1"/>
    <xf numFmtId="44" fontId="0" fillId="4" borderId="32" xfId="0" applyNumberFormat="1" applyFill="1" applyBorder="1"/>
    <xf numFmtId="44" fontId="0" fillId="0" borderId="33" xfId="0" applyNumberFormat="1" applyBorder="1"/>
    <xf numFmtId="44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44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44" fontId="1" fillId="2" borderId="35" xfId="0" applyNumberFormat="1" applyFont="1" applyFill="1" applyBorder="1"/>
    <xf numFmtId="44" fontId="1" fillId="2" borderId="36" xfId="0" applyNumberFormat="1" applyFont="1" applyFill="1" applyBorder="1"/>
    <xf numFmtId="44" fontId="1" fillId="2" borderId="37" xfId="0" applyNumberFormat="1" applyFont="1" applyFill="1" applyBorder="1"/>
    <xf numFmtId="8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8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8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8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8" fontId="0" fillId="13" borderId="0" xfId="0" applyNumberFormat="1" applyFill="1"/>
    <xf numFmtId="8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8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8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3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4" fontId="18" fillId="18" borderId="1" xfId="2" applyNumberFormat="1" applyFont="1" applyFill="1" applyBorder="1" applyAlignment="1"/>
    <xf numFmtId="0" fontId="14" fillId="0" borderId="0" xfId="4" applyFill="1" applyBorder="1" applyAlignment="1"/>
    <xf numFmtId="174" fontId="18" fillId="18" borderId="1" xfId="5" applyNumberFormat="1" applyFont="1" applyFill="1" applyBorder="1" applyAlignment="1"/>
    <xf numFmtId="174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4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4" fontId="18" fillId="18" borderId="43" xfId="5" applyNumberFormat="1" applyFont="1" applyFill="1" applyBorder="1" applyAlignment="1"/>
    <xf numFmtId="174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8" fontId="0" fillId="18" borderId="39" xfId="0" applyNumberFormat="1" applyFill="1" applyBorder="1" applyAlignment="1">
      <alignment horizontal="centerContinuous"/>
    </xf>
    <xf numFmtId="8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4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44" fontId="0" fillId="0" borderId="0" xfId="2" applyFont="1"/>
    <xf numFmtId="44" fontId="1" fillId="0" borderId="0" xfId="2" applyFont="1"/>
    <xf numFmtId="165" fontId="0" fillId="0" borderId="1" xfId="0" applyNumberFormat="1" applyBorder="1" applyAlignment="1">
      <alignment horizontal="left"/>
    </xf>
    <xf numFmtId="8" fontId="0" fillId="0" borderId="1" xfId="0" applyNumberFormat="1" applyBorder="1"/>
    <xf numFmtId="8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7" fontId="0" fillId="0" borderId="1" xfId="0" applyNumberFormat="1" applyBorder="1"/>
    <xf numFmtId="9" fontId="0" fillId="2" borderId="5" xfId="1" applyFont="1" applyFill="1" applyBorder="1" applyProtection="1">
      <protection locked="0"/>
    </xf>
    <xf numFmtId="44" fontId="0" fillId="0" borderId="44" xfId="0" applyNumberFormat="1" applyBorder="1"/>
    <xf numFmtId="44" fontId="0" fillId="0" borderId="34" xfId="0" applyNumberFormat="1" applyBorder="1"/>
    <xf numFmtId="0" fontId="5" fillId="2" borderId="0" xfId="0" applyFont="1" applyFill="1"/>
    <xf numFmtId="175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44" fontId="0" fillId="0" borderId="31" xfId="0" applyNumberFormat="1" applyBorder="1" applyAlignment="1">
      <alignment horizontal="centerContinuous"/>
    </xf>
    <xf numFmtId="44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44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8" fontId="8" fillId="12" borderId="45" xfId="0" applyNumberFormat="1" applyFont="1" applyFill="1" applyBorder="1"/>
    <xf numFmtId="165" fontId="0" fillId="2" borderId="5" xfId="0" applyNumberFormat="1" applyFill="1" applyBorder="1" applyProtection="1">
      <protection locked="0"/>
    </xf>
    <xf numFmtId="165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8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44" fontId="8" fillId="19" borderId="24" xfId="0" applyNumberFormat="1" applyFont="1" applyFill="1" applyBorder="1"/>
    <xf numFmtId="44" fontId="0" fillId="0" borderId="1" xfId="2" applyFont="1" applyFill="1" applyBorder="1"/>
    <xf numFmtId="44" fontId="1" fillId="0" borderId="1" xfId="2" applyFont="1" applyFill="1" applyBorder="1"/>
    <xf numFmtId="44" fontId="1" fillId="0" borderId="1" xfId="2" applyFont="1" applyBorder="1"/>
    <xf numFmtId="164" fontId="0" fillId="0" borderId="1" xfId="2" applyNumberFormat="1" applyFont="1" applyBorder="1"/>
    <xf numFmtId="164" fontId="1" fillId="0" borderId="1" xfId="2" applyNumberFormat="1" applyFont="1" applyBorder="1"/>
    <xf numFmtId="0" fontId="0" fillId="0" borderId="0" xfId="0" pivotButton="1"/>
    <xf numFmtId="176" fontId="0" fillId="13" borderId="0" xfId="0" applyNumberFormat="1" applyFill="1"/>
    <xf numFmtId="8" fontId="0" fillId="2" borderId="2" xfId="0" applyNumberFormat="1" applyFill="1" applyBorder="1"/>
    <xf numFmtId="167" fontId="0" fillId="0" borderId="1" xfId="0" applyNumberFormat="1" applyBorder="1" applyAlignment="1">
      <alignment horizontal="center"/>
    </xf>
    <xf numFmtId="44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6" fontId="0" fillId="0" borderId="0" xfId="0" applyNumberFormat="1" applyProtection="1">
      <protection locked="0"/>
    </xf>
    <xf numFmtId="165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5" fontId="16" fillId="9" borderId="0" xfId="0" applyNumberFormat="1" applyFont="1" applyFill="1" applyAlignment="1">
      <alignment horizontal="left"/>
    </xf>
    <xf numFmtId="165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7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44" fontId="0" fillId="0" borderId="0" xfId="2" applyFont="1" applyBorder="1"/>
    <xf numFmtId="0" fontId="0" fillId="0" borderId="0" xfId="2" applyNumberFormat="1" applyFont="1" applyBorder="1"/>
    <xf numFmtId="8" fontId="0" fillId="0" borderId="2" xfId="0" applyNumberFormat="1" applyBorder="1"/>
    <xf numFmtId="14" fontId="0" fillId="0" borderId="2" xfId="0" applyNumberFormat="1" applyBorder="1"/>
    <xf numFmtId="165" fontId="0" fillId="0" borderId="2" xfId="0" applyNumberFormat="1" applyBorder="1" applyAlignment="1">
      <alignment horizontal="left"/>
    </xf>
    <xf numFmtId="8" fontId="1" fillId="0" borderId="2" xfId="0" applyNumberFormat="1" applyFont="1" applyBorder="1"/>
    <xf numFmtId="14" fontId="0" fillId="0" borderId="4" xfId="0" applyNumberFormat="1" applyBorder="1"/>
    <xf numFmtId="7" fontId="0" fillId="0" borderId="4" xfId="0" applyNumberFormat="1" applyBorder="1"/>
    <xf numFmtId="8" fontId="0" fillId="0" borderId="3" xfId="0" applyNumberFormat="1" applyBorder="1"/>
    <xf numFmtId="0" fontId="1" fillId="13" borderId="0" xfId="0" applyFont="1" applyFill="1"/>
    <xf numFmtId="0" fontId="0" fillId="0" borderId="3" xfId="0" applyBorder="1"/>
    <xf numFmtId="0" fontId="4" fillId="13" borderId="0" xfId="0" applyFont="1" applyFill="1"/>
    <xf numFmtId="178" fontId="0" fillId="0" borderId="0" xfId="0" applyNumberFormat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178" fontId="0" fillId="0" borderId="48" xfId="0" applyNumberFormat="1" applyBorder="1"/>
    <xf numFmtId="178" fontId="0" fillId="0" borderId="40" xfId="0" applyNumberFormat="1" applyBorder="1"/>
    <xf numFmtId="0" fontId="0" fillId="0" borderId="38" xfId="0" applyBorder="1"/>
    <xf numFmtId="166" fontId="18" fillId="21" borderId="2" xfId="0" applyNumberFormat="1" applyFont="1" applyFill="1" applyBorder="1" applyAlignment="1">
      <alignment horizontal="right"/>
    </xf>
    <xf numFmtId="166" fontId="0" fillId="21" borderId="2" xfId="0" applyNumberFormat="1" applyFill="1" applyBorder="1" applyAlignment="1">
      <alignment horizontal="right"/>
    </xf>
    <xf numFmtId="0" fontId="0" fillId="2" borderId="2" xfId="0" applyFill="1" applyBorder="1" applyAlignment="1" applyProtection="1">
      <alignment horizontal="right"/>
      <protection locked="0"/>
    </xf>
    <xf numFmtId="164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1" fontId="0" fillId="2" borderId="2" xfId="0" applyNumberFormat="1" applyFill="1" applyBorder="1" applyAlignment="1" applyProtection="1">
      <alignment horizontal="right"/>
      <protection locked="0"/>
    </xf>
    <xf numFmtId="172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0" fillId="4" borderId="1" xfId="0" applyNumberFormat="1" applyFill="1" applyBorder="1" applyAlignment="1">
      <alignment horizontal="right"/>
    </xf>
    <xf numFmtId="166" fontId="0" fillId="4" borderId="2" xfId="0" applyNumberFormat="1" applyFill="1" applyBorder="1" applyAlignment="1">
      <alignment horizontal="right"/>
    </xf>
    <xf numFmtId="166" fontId="0" fillId="21" borderId="1" xfId="0" applyNumberFormat="1" applyFill="1" applyBorder="1" applyAlignment="1">
      <alignment horizontal="right"/>
    </xf>
    <xf numFmtId="44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164" fontId="0" fillId="21" borderId="1" xfId="0" applyNumberFormat="1" applyFill="1" applyBorder="1" applyAlignment="1">
      <alignment horizontal="right"/>
    </xf>
    <xf numFmtId="0" fontId="0" fillId="0" borderId="1" xfId="2" applyNumberFormat="1" applyFont="1" applyBorder="1"/>
    <xf numFmtId="0" fontId="0" fillId="2" borderId="1" xfId="0" applyFill="1" applyBorder="1"/>
    <xf numFmtId="175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175" fontId="0" fillId="2" borderId="40" xfId="0" applyNumberFormat="1" applyFill="1" applyBorder="1"/>
    <xf numFmtId="0" fontId="0" fillId="2" borderId="38" xfId="0" applyFill="1" applyBorder="1"/>
    <xf numFmtId="175" fontId="0" fillId="2" borderId="48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64" fontId="6" fillId="2" borderId="3" xfId="0" applyNumberFormat="1" applyFont="1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167" fontId="0" fillId="20" borderId="4" xfId="0" applyNumberFormat="1" applyFill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4" fontId="26" fillId="2" borderId="49" xfId="0" applyNumberFormat="1" applyFont="1" applyFill="1" applyBorder="1" applyAlignment="1">
      <alignment horizontal="center"/>
    </xf>
    <xf numFmtId="167" fontId="0" fillId="0" borderId="0" xfId="0" applyNumberFormat="1"/>
    <xf numFmtId="167" fontId="0" fillId="2" borderId="1" xfId="0" applyNumberFormat="1" applyFill="1" applyBorder="1"/>
    <xf numFmtId="167" fontId="0" fillId="2" borderId="2" xfId="0" applyNumberFormat="1" applyFill="1" applyBorder="1"/>
    <xf numFmtId="0" fontId="22" fillId="0" borderId="0" xfId="0" applyFont="1" applyAlignment="1">
      <alignment horizontal="center" vertical="center"/>
    </xf>
    <xf numFmtId="0" fontId="1" fillId="0" borderId="0" xfId="0" applyFont="1"/>
    <xf numFmtId="8" fontId="1" fillId="13" borderId="0" xfId="0" applyNumberFormat="1" applyFont="1" applyFill="1"/>
    <xf numFmtId="167" fontId="0" fillId="2" borderId="5" xfId="0" applyNumberFormat="1" applyFill="1" applyBorder="1" applyProtection="1">
      <protection locked="0"/>
    </xf>
    <xf numFmtId="44" fontId="8" fillId="0" borderId="0" xfId="0" applyNumberFormat="1" applyFont="1"/>
    <xf numFmtId="167" fontId="0" fillId="20" borderId="1" xfId="0" applyNumberFormat="1" applyFill="1" applyBorder="1" applyAlignment="1">
      <alignment horizontal="center"/>
    </xf>
    <xf numFmtId="0" fontId="0" fillId="20" borderId="1" xfId="0" applyFill="1" applyBorder="1"/>
    <xf numFmtId="167" fontId="0" fillId="20" borderId="1" xfId="0" applyNumberFormat="1" applyFill="1" applyBorder="1" applyAlignment="1">
      <alignment horizontal="left"/>
    </xf>
    <xf numFmtId="167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8" fontId="2" fillId="20" borderId="0" xfId="0" applyNumberFormat="1" applyFont="1" applyFill="1"/>
    <xf numFmtId="0" fontId="0" fillId="0" borderId="50" xfId="0" applyBorder="1"/>
    <xf numFmtId="8" fontId="0" fillId="0" borderId="50" xfId="0" applyNumberFormat="1" applyBorder="1"/>
    <xf numFmtId="164" fontId="0" fillId="0" borderId="50" xfId="0" applyNumberFormat="1" applyBorder="1"/>
    <xf numFmtId="0" fontId="4" fillId="20" borderId="0" xfId="0" applyFont="1" applyFill="1" applyAlignment="1">
      <alignment horizontal="center"/>
    </xf>
    <xf numFmtId="8" fontId="1" fillId="0" borderId="50" xfId="0" applyNumberFormat="1" applyFont="1" applyBorder="1"/>
    <xf numFmtId="8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8" fontId="25" fillId="0" borderId="50" xfId="2" applyNumberFormat="1" applyFont="1" applyFill="1" applyBorder="1"/>
    <xf numFmtId="8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8" fontId="28" fillId="0" borderId="50" xfId="0" applyNumberFormat="1" applyFont="1" applyBorder="1"/>
    <xf numFmtId="8" fontId="13" fillId="20" borderId="0" xfId="0" applyNumberFormat="1" applyFont="1" applyFill="1"/>
    <xf numFmtId="165" fontId="0" fillId="0" borderId="1" xfId="0" applyNumberFormat="1" applyBorder="1" applyAlignment="1">
      <alignment horizontal="right"/>
    </xf>
    <xf numFmtId="165" fontId="0" fillId="0" borderId="21" xfId="0" applyNumberFormat="1" applyBorder="1" applyAlignment="1">
      <alignment horizontal="right"/>
    </xf>
    <xf numFmtId="165" fontId="0" fillId="0" borderId="21" xfId="0" applyNumberFormat="1" applyBorder="1" applyAlignment="1" applyProtection="1">
      <alignment horizontal="right"/>
      <protection locked="0"/>
    </xf>
    <xf numFmtId="165" fontId="0" fillId="0" borderId="22" xfId="0" applyNumberFormat="1" applyBorder="1" applyAlignment="1" applyProtection="1">
      <alignment horizontal="right"/>
      <protection locked="0"/>
    </xf>
    <xf numFmtId="165" fontId="0" fillId="0" borderId="2" xfId="0" applyNumberFormat="1" applyBorder="1" applyAlignment="1" applyProtection="1">
      <alignment horizontal="right"/>
      <protection locked="0"/>
    </xf>
    <xf numFmtId="165" fontId="0" fillId="0" borderId="2" xfId="0" applyNumberFormat="1" applyBorder="1" applyAlignment="1">
      <alignment horizontal="right"/>
    </xf>
    <xf numFmtId="165" fontId="0" fillId="0" borderId="1" xfId="0" applyNumberFormat="1" applyBorder="1"/>
    <xf numFmtId="165" fontId="1" fillId="0" borderId="2" xfId="0" applyNumberFormat="1" applyFont="1" applyBorder="1" applyAlignment="1">
      <alignment horizontal="right"/>
    </xf>
    <xf numFmtId="8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77" fontId="2" fillId="8" borderId="0" xfId="0" applyNumberFormat="1" applyFont="1" applyFill="1"/>
    <xf numFmtId="167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4" fontId="0" fillId="8" borderId="0" xfId="0" applyNumberFormat="1" applyFill="1" applyAlignment="1">
      <alignment wrapText="1"/>
    </xf>
    <xf numFmtId="164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68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2" fontId="0" fillId="2" borderId="0" xfId="0" applyNumberFormat="1" applyFill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0"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2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178" formatCode="&quot;CAJ&quot;00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PAGOS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9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2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9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5" formatCode="000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06/relationships/rdRichValue" Target="richData/rdrichvalue.xml"/><Relationship Id="rId40" Type="http://schemas.openxmlformats.org/officeDocument/2006/relationships/powerPivotData" Target="model/item.data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microsoft.com/office/2017/06/relationships/rdRichValueStructure" Target="richData/rdrichvaluestructure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worksheet" Target="worksheets/sheet20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REGISTRO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REPORT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6.svg"/><Relationship Id="rId7" Type="http://schemas.openxmlformats.org/officeDocument/2006/relationships/hyperlink" Target="#REPORTE!A1"/><Relationship Id="rId2" Type="http://schemas.openxmlformats.org/officeDocument/2006/relationships/image" Target="../media/image5.png"/><Relationship Id="rId1" Type="http://schemas.openxmlformats.org/officeDocument/2006/relationships/hyperlink" Target="#SOCIOS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ESTADO!A1"/><Relationship Id="rId9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SOCIOS!A1"/><Relationship Id="rId5" Type="http://schemas.openxmlformats.org/officeDocument/2006/relationships/image" Target="../media/image14.sv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svg"/><Relationship Id="rId2" Type="http://schemas.openxmlformats.org/officeDocument/2006/relationships/image" Target="../media/image15.png"/><Relationship Id="rId1" Type="http://schemas.openxmlformats.org/officeDocument/2006/relationships/hyperlink" Target="#REGISTRO!A1"/><Relationship Id="rId5" Type="http://schemas.openxmlformats.org/officeDocument/2006/relationships/image" Target="../media/image18.sv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44450</xdr:rowOff>
    </xdr:from>
    <xdr:to>
      <xdr:col>0</xdr:col>
      <xdr:colOff>355600</xdr:colOff>
      <xdr:row>4</xdr:row>
      <xdr:rowOff>209550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0" y="8064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6</xdr:row>
      <xdr:rowOff>57150</xdr:rowOff>
    </xdr:from>
    <xdr:to>
      <xdr:col>0</xdr:col>
      <xdr:colOff>355600</xdr:colOff>
      <xdr:row>6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0" y="13144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8</xdr:row>
      <xdr:rowOff>66675</xdr:rowOff>
    </xdr:from>
    <xdr:to>
      <xdr:col>0</xdr:col>
      <xdr:colOff>355600</xdr:colOff>
      <xdr:row>8</xdr:row>
      <xdr:rowOff>231775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0" y="18192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9</xdr:row>
      <xdr:rowOff>47625</xdr:rowOff>
    </xdr:from>
    <xdr:to>
      <xdr:col>0</xdr:col>
      <xdr:colOff>355600</xdr:colOff>
      <xdr:row>9</xdr:row>
      <xdr:rowOff>212725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0" y="2047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10</xdr:row>
      <xdr:rowOff>47625</xdr:rowOff>
    </xdr:from>
    <xdr:to>
      <xdr:col>0</xdr:col>
      <xdr:colOff>355600</xdr:colOff>
      <xdr:row>10</xdr:row>
      <xdr:rowOff>212725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0" y="22955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11</xdr:row>
      <xdr:rowOff>47625</xdr:rowOff>
    </xdr:from>
    <xdr:to>
      <xdr:col>0</xdr:col>
      <xdr:colOff>355600</xdr:colOff>
      <xdr:row>11</xdr:row>
      <xdr:rowOff>212725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0" y="25431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12</xdr:row>
      <xdr:rowOff>47625</xdr:rowOff>
    </xdr:from>
    <xdr:to>
      <xdr:col>0</xdr:col>
      <xdr:colOff>355600</xdr:colOff>
      <xdr:row>12</xdr:row>
      <xdr:rowOff>212725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0" y="27908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9525</xdr:colOff>
      <xdr:row>13</xdr:row>
      <xdr:rowOff>57150</xdr:rowOff>
    </xdr:from>
    <xdr:to>
      <xdr:col>0</xdr:col>
      <xdr:colOff>365125</xdr:colOff>
      <xdr:row>13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95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9525</xdr:colOff>
      <xdr:row>15</xdr:row>
      <xdr:rowOff>47625</xdr:rowOff>
    </xdr:from>
    <xdr:to>
      <xdr:col>0</xdr:col>
      <xdr:colOff>365125</xdr:colOff>
      <xdr:row>15</xdr:row>
      <xdr:rowOff>212725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9525" y="35337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16</xdr:row>
      <xdr:rowOff>47625</xdr:rowOff>
    </xdr:from>
    <xdr:to>
      <xdr:col>0</xdr:col>
      <xdr:colOff>355600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0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17</xdr:row>
      <xdr:rowOff>66675</xdr:rowOff>
    </xdr:from>
    <xdr:to>
      <xdr:col>0</xdr:col>
      <xdr:colOff>355600</xdr:colOff>
      <xdr:row>17</xdr:row>
      <xdr:rowOff>231775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0" y="40481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7</xdr:row>
      <xdr:rowOff>38100</xdr:rowOff>
    </xdr:from>
    <xdr:to>
      <xdr:col>0</xdr:col>
      <xdr:colOff>355600</xdr:colOff>
      <xdr:row>7</xdr:row>
      <xdr:rowOff>203200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0" y="15430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5</xdr:row>
      <xdr:rowOff>57150</xdr:rowOff>
    </xdr:from>
    <xdr:to>
      <xdr:col>0</xdr:col>
      <xdr:colOff>355600</xdr:colOff>
      <xdr:row>5</xdr:row>
      <xdr:rowOff>222250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0" y="10668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1</xdr:col>
      <xdr:colOff>127000</xdr:colOff>
      <xdr:row>2</xdr:row>
      <xdr:rowOff>165100</xdr:rowOff>
    </xdr:to>
    <xdr:pic>
      <xdr:nvPicPr>
        <xdr:cNvPr id="3" name="Gráfico 2" descr="List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9EAF5-A757-4CD9-B315-5DD9F436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19050"/>
          <a:ext cx="514350" cy="51435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18</xdr:row>
      <xdr:rowOff>52705</xdr:rowOff>
    </xdr:from>
    <xdr:to>
      <xdr:col>0</xdr:col>
      <xdr:colOff>355600</xdr:colOff>
      <xdr:row>18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0" y="428180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19</xdr:row>
      <xdr:rowOff>56515</xdr:rowOff>
    </xdr:from>
    <xdr:to>
      <xdr:col>0</xdr:col>
      <xdr:colOff>355600</xdr:colOff>
      <xdr:row>19</xdr:row>
      <xdr:rowOff>229235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0" y="4533265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14</xdr:row>
      <xdr:rowOff>56515</xdr:rowOff>
    </xdr:from>
    <xdr:to>
      <xdr:col>0</xdr:col>
      <xdr:colOff>355600</xdr:colOff>
      <xdr:row>14</xdr:row>
      <xdr:rowOff>229235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0" y="3295015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20</xdr:row>
      <xdr:rowOff>27940</xdr:rowOff>
    </xdr:from>
    <xdr:to>
      <xdr:col>0</xdr:col>
      <xdr:colOff>355600</xdr:colOff>
      <xdr:row>20</xdr:row>
      <xdr:rowOff>200660</xdr:rowOff>
    </xdr:to>
    <xdr:sp macro="[0]!MOSTRAR17" textlink="">
      <xdr:nvSpPr>
        <xdr:cNvPr id="21" name="Flecha: a la derecha con bandas 20">
          <a:extLst>
            <a:ext uri="{FF2B5EF4-FFF2-40B4-BE49-F238E27FC236}">
              <a16:creationId xmlns:a16="http://schemas.microsoft.com/office/drawing/2014/main" id="{BC90720E-59B6-4C89-B720-D29AA7E2686F}"/>
            </a:ext>
          </a:extLst>
        </xdr:cNvPr>
        <xdr:cNvSpPr/>
      </xdr:nvSpPr>
      <xdr:spPr>
        <a:xfrm>
          <a:off x="0" y="47523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14</xdr:col>
      <xdr:colOff>482600</xdr:colOff>
      <xdr:row>2</xdr:row>
      <xdr:rowOff>88900</xdr:rowOff>
    </xdr:from>
    <xdr:to>
      <xdr:col>14</xdr:col>
      <xdr:colOff>1022350</xdr:colOff>
      <xdr:row>5</xdr:row>
      <xdr:rowOff>63500</xdr:rowOff>
    </xdr:to>
    <xdr:pic>
      <xdr:nvPicPr>
        <xdr:cNvPr id="9" name="Gráfico 8" descr="Reun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E3D645-B5DF-49B7-AFD7-C72C0A93C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40850" y="469900"/>
          <a:ext cx="539750" cy="539750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15</xdr:col>
      <xdr:colOff>342900</xdr:colOff>
      <xdr:row>2</xdr:row>
      <xdr:rowOff>38100</xdr:rowOff>
    </xdr:from>
    <xdr:to>
      <xdr:col>15</xdr:col>
      <xdr:colOff>914400</xdr:colOff>
      <xdr:row>5</xdr:row>
      <xdr:rowOff>44450</xdr:rowOff>
    </xdr:to>
    <xdr:pic>
      <xdr:nvPicPr>
        <xdr:cNvPr id="6" name="Gráfico 5" descr="Gráfico de barras con tendencia alcista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273A93-BCF3-4F33-843D-5ACE5A1EE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566400" y="4191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1111250</xdr:colOff>
      <xdr:row>2</xdr:row>
      <xdr:rowOff>57150</xdr:rowOff>
    </xdr:from>
    <xdr:to>
      <xdr:col>15</xdr:col>
      <xdr:colOff>234950</xdr:colOff>
      <xdr:row>4</xdr:row>
      <xdr:rowOff>165100</xdr:rowOff>
    </xdr:to>
    <xdr:pic>
      <xdr:nvPicPr>
        <xdr:cNvPr id="10" name="Gráfico 9" descr="Documento con rellen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79C5B36-88B1-4285-B16A-058A355B9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69500" y="438150"/>
          <a:ext cx="488950" cy="488950"/>
        </a:xfrm>
        <a:prstGeom prst="rect">
          <a:avLst/>
        </a:prstGeom>
      </xdr:spPr>
    </xdr:pic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151850</xdr:colOff>
      <xdr:row>0</xdr:row>
      <xdr:rowOff>75871</xdr:rowOff>
    </xdr:from>
    <xdr:to>
      <xdr:col>2</xdr:col>
      <xdr:colOff>17256</xdr:colOff>
      <xdr:row>2</xdr:row>
      <xdr:rowOff>38859</xdr:rowOff>
    </xdr:to>
    <xdr:pic>
      <xdr:nvPicPr>
        <xdr:cNvPr id="2" name="Gráfico 1" descr="Documento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E293DA-1ABF-4D14-A35A-64B53CB9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33459" y="75871"/>
          <a:ext cx="414129" cy="410249"/>
        </a:xfrm>
        <a:prstGeom prst="rect">
          <a:avLst/>
        </a:prstGeom>
      </xdr:spPr>
    </xdr:pic>
    <xdr:clientData/>
  </xdr:twoCellAnchor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63500</xdr:rowOff>
    </xdr:from>
    <xdr:to>
      <xdr:col>11</xdr:col>
      <xdr:colOff>18222</xdr:colOff>
      <xdr:row>4</xdr:row>
      <xdr:rowOff>99060</xdr:rowOff>
    </xdr:to>
    <xdr:pic>
      <xdr:nvPicPr>
        <xdr:cNvPr id="3" name="Gráfico 2" descr="Lista de comprobac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621EC-D15D-42D6-8D6C-D5FCA74DB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34300" y="254000"/>
          <a:ext cx="647700" cy="62992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4</xdr:row>
      <xdr:rowOff>123825</xdr:rowOff>
    </xdr:from>
    <xdr:to>
      <xdr:col>11</xdr:col>
      <xdr:colOff>57150</xdr:colOff>
      <xdr:row>7</xdr:row>
      <xdr:rowOff>161925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581900" y="952500"/>
          <a:ext cx="657225" cy="6572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5873.675278240742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2" level="32767"/>
    <cacheField name="[Measures].[Recuento de CODIGO CLIENTE]" caption="Recuento de CODIGO CLIENTE" numFmtId="0" hierarchy="44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PAGO DEL MONTO]" caption="Suma de PAGO DEL MONTO" measure="1" displayFolder="" measureGroup="PAGO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8"/>
  </dataFields>
  <formats count="21">
    <format dxfId="20">
      <pivotArea outline="0" fieldPosition="0">
        <references count="1">
          <reference field="4294967294" count="1" selected="0">
            <x v="1"/>
          </reference>
        </references>
      </pivotArea>
    </format>
    <format dxfId="19">
      <pivotArea outline="0" fieldPosition="0">
        <references count="2">
          <reference field="0" count="0" selected="0"/>
          <reference field="1" count="0" selected="0"/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486" totalsRowShown="0" headerRowDxfId="69" headerRowBorderDxfId="68" tableBorderDxfId="67" totalsRowBorderDxfId="66">
  <autoFilter ref="F4:K486" xr:uid="{F53503DF-644E-4A9A-8D0D-080AEC43F898}"/>
  <tableColumns count="6">
    <tableColumn id="1" xr3:uid="{6ED0DD16-597F-4657-B60B-E17AA9DAB89E}" name="SECUENCIA" dataDxfId="65">
      <calculatedColumnFormula>ROW()-ROW(APORTACIONESOCIOS[[#Headers],[SECUENCIA]])</calculatedColumnFormula>
    </tableColumn>
    <tableColumn id="2" xr3:uid="{47EBCF96-4711-43CB-9BE6-93ED477BB0A0}" name="FECHA" dataDxfId="64"/>
    <tableColumn id="3" xr3:uid="{16E6B2EE-7076-4DFF-A63F-B04A095B46B7}" name="APORTE" dataDxfId="63">
      <calculatedColumnFormula>#REF!</calculatedColumnFormula>
    </tableColumn>
    <tableColumn id="4" xr3:uid="{66708F39-5779-4AD8-BCCC-6C523358E0D4}" name="CODIGO CLIENTE" dataDxfId="62"/>
    <tableColumn id="5" xr3:uid="{6957FAA1-68C1-4BFD-92E8-A5A6769A497E}" name="SOCIO" dataDxfId="61"/>
    <tableColumn id="6" xr3:uid="{FC26D5C3-2C4B-49B7-9204-EF7C92747C36}" name="COMENTARIO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59">
  <autoFilter ref="B4:D22" xr:uid="{DD579213-6F14-4AB3-B889-091BC90F886F}"/>
  <tableColumns count="3">
    <tableColumn id="1" xr3:uid="{8F2A069B-46A7-4EE9-9779-1D92529BBBA6}" name="CODIGO CLIENTE"/>
    <tableColumn id="2" xr3:uid="{A73C0ADE-0C9C-46DA-9A46-AC967EA142A4}" name="NOMBRE"/>
    <tableColumn id="3" xr3:uid="{47029E3F-DC83-4BC4-93ED-3D3FE79ACF30}" name="APORTADO" dataDxfId="58">
      <calculatedColumnFormula>+SUMIF(APORTACIONESOCIOS[SOCIO],SOCIOS!$C5,APORTACIONESOCIOS[APORTE])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83" totalsRowShown="0" headerRowDxfId="57" dataDxfId="56" tableBorderDxfId="55">
  <autoFilter ref="A2:L83" xr:uid="{1EF07585-15E8-4C19-B5D8-0E7A84F4DBB0}"/>
  <tableColumns count="12">
    <tableColumn id="1" xr3:uid="{DF608173-1C1E-45BF-BDA6-4770479695D0}" name="REG" dataDxfId="54"/>
    <tableColumn id="10" xr3:uid="{A1710718-E81C-4FCA-8318-2D0241A13750}" name="CODIGO CLIENTE" dataDxfId="53"/>
    <tableColumn id="2" xr3:uid="{BF4B879C-1336-4BFF-A448-902F2E842778}" name="NOMBRE CLIENTE" dataDxfId="52"/>
    <tableColumn id="3" xr3:uid="{A4557FB7-A69D-41EA-ADDC-4CD851160E6F}" name="MONTO AMORTIZACION" dataDxfId="51"/>
    <tableColumn id="4" xr3:uid="{1059D7C6-771B-45CF-95FF-DE6753600468}" name="FECHA DEL PRESTAMO" dataDxfId="50"/>
    <tableColumn id="5" xr3:uid="{EC0679A2-BDC3-47B2-82B2-67CD1FDCEED2}" name="CUOTAS" dataDxfId="49"/>
    <tableColumn id="6" xr3:uid="{2AB3969A-7B77-4109-A6D4-36598A4DCC7B}" name="INTERES" dataDxfId="48"/>
    <tableColumn id="7" xr3:uid="{178CA326-5156-46D8-B147-36B8DAE7B0FB}" name="T. INT" dataDxfId="47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46">
      <calculatedColumnFormula>PRESTAMOS[[#This Row],[MONTO AMORTIZACION]]+PRESTAMOS[[#This Row],[T. INT]]</calculatedColumnFormula>
    </tableColumn>
    <tableColumn id="9" xr3:uid="{DAB7303D-AF54-4300-85B2-5A04DC344B2D}" name="OBSERVACION" dataDxfId="45"/>
    <tableColumn id="11" xr3:uid="{A7AC972D-5336-419F-9024-628A881B913D}" name="ESTATUS" dataDxfId="44">
      <calculatedColumnFormula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43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K325" totalsRowShown="0" headerRowDxfId="42" dataDxfId="41" tableBorderDxfId="40">
  <autoFilter ref="A2:K325" xr:uid="{0B276B08-FDED-4D4B-9E03-4C4141C75BCE}"/>
  <tableColumns count="11">
    <tableColumn id="1" xr3:uid="{291C7FF1-10B1-4601-BE6F-18338656E5ED}" name="REG" dataDxfId="39"/>
    <tableColumn id="10" xr3:uid="{7022746F-053D-483A-BA2A-73B3994A543A}" name="CODIGO CLIENTE" dataDxfId="38"/>
    <tableColumn id="2" xr3:uid="{FC13E43B-9874-4D30-9445-A72F47508A7C}" name="NOMBRE CLIENTE" dataDxfId="37"/>
    <tableColumn id="11" xr3:uid="{E88FA523-F814-4522-A262-68C8722599CB}" name="# PESTAMO" dataDxfId="36"/>
    <tableColumn id="3" xr3:uid="{002B3DB3-17B9-428D-A25A-72684C77E38B}" name="PAGO DEL MONTO" dataDxfId="35"/>
    <tableColumn id="4" xr3:uid="{1F8AE8A0-54D4-4B93-9CE3-86BC07F70024}" name="FECHA PAGO DEL MONTO" dataDxfId="34"/>
    <tableColumn id="5" xr3:uid="{F83E30F0-E156-48F7-9345-CAA3F5461D36}" name="# DE CUOTA DEL MONTO" dataDxfId="33"/>
    <tableColumn id="6" xr3:uid="{9DD87D8D-B930-4E29-9891-39897F2AED3F}" name="PAGO DEL INTERES" dataDxfId="32"/>
    <tableColumn id="7" xr3:uid="{D2503747-26C8-4B63-AB7A-B44C998F3273}" name="FECHA PAGO INTERES" dataDxfId="31"/>
    <tableColumn id="8" xr3:uid="{ACB52336-5F64-495D-A7C5-4F974CF9E959}" name="# DE CUOTA DE INTERES" dataDxfId="30"/>
    <tableColumn id="9" xr3:uid="{29B90C80-8506-4A3F-8557-A9FDCA0D07DB}" name="COMENTARIO" dataDxfId="2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37" totalsRowShown="0" headerRowDxfId="28" headerRowBorderDxfId="27" tableBorderDxfId="26" totalsRowBorderDxfId="25">
  <autoFilter ref="A1:D37" xr:uid="{04B7BB1B-ECEB-41CC-8D03-4A59D0FF3CBE}"/>
  <tableColumns count="4">
    <tableColumn id="1" xr3:uid="{C9871744-ADFB-4E6E-8064-EB19DBD32DD9}" name="#REGISTRO" dataDxfId="24">
      <calculatedColumnFormula array="1">IF(DENERO_CAJA[[#This Row],[MONTO]]&lt;&gt;"",ROW()-ROW(DENERO_CAJA[#Headers]),"")</calculatedColumnFormula>
    </tableColumn>
    <tableColumn id="2" xr3:uid="{8D9D85F4-7C58-411D-9F50-5DDD4F3C24B5}" name="FECHA" dataDxfId="23"/>
    <tableColumn id="3" xr3:uid="{F57D2212-4DEE-425B-919D-FA4FFA0A57FC}" name="MONTO" dataDxfId="22"/>
    <tableColumn id="4" xr3:uid="{2D0EDDF4-6390-4E2C-98CD-CE5E5523338F}" name="COMENTARIO" dataDxf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A4" sqref="A4:B4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8">
        <v>1</v>
      </c>
      <c r="B3" s="47" t="s">
        <v>70</v>
      </c>
    </row>
    <row r="4" spans="1:2" x14ac:dyDescent="0.3">
      <c r="A4" s="208">
        <v>2</v>
      </c>
      <c r="B4" s="47" t="s">
        <v>71</v>
      </c>
    </row>
    <row r="5" spans="1:2" x14ac:dyDescent="0.3">
      <c r="A5" s="208">
        <v>3</v>
      </c>
      <c r="B5" s="47" t="s">
        <v>13</v>
      </c>
    </row>
    <row r="6" spans="1:2" x14ac:dyDescent="0.3">
      <c r="A6" s="208">
        <v>4</v>
      </c>
      <c r="B6" s="47" t="s">
        <v>12</v>
      </c>
    </row>
    <row r="7" spans="1:2" x14ac:dyDescent="0.3">
      <c r="A7" s="208">
        <v>5</v>
      </c>
      <c r="B7" s="47" t="s">
        <v>14</v>
      </c>
    </row>
    <row r="8" spans="1:2" x14ac:dyDescent="0.3">
      <c r="A8" s="208">
        <v>6</v>
      </c>
      <c r="B8" s="47" t="s">
        <v>24</v>
      </c>
    </row>
    <row r="9" spans="1:2" x14ac:dyDescent="0.3">
      <c r="A9" s="208">
        <v>7</v>
      </c>
      <c r="B9" s="47" t="s">
        <v>442</v>
      </c>
    </row>
    <row r="10" spans="1:2" x14ac:dyDescent="0.3">
      <c r="A10" s="208">
        <v>8</v>
      </c>
      <c r="B10" s="47" t="s">
        <v>443</v>
      </c>
    </row>
    <row r="11" spans="1:2" x14ac:dyDescent="0.3">
      <c r="A11" s="208">
        <v>9</v>
      </c>
      <c r="B11" s="47" t="s">
        <v>17</v>
      </c>
    </row>
    <row r="12" spans="1:2" x14ac:dyDescent="0.3">
      <c r="A12" s="208">
        <v>10</v>
      </c>
      <c r="B12" s="47" t="s">
        <v>18</v>
      </c>
    </row>
    <row r="13" spans="1:2" x14ac:dyDescent="0.3">
      <c r="A13" s="208">
        <v>11</v>
      </c>
      <c r="B13" s="47" t="s">
        <v>19</v>
      </c>
    </row>
    <row r="14" spans="1:2" x14ac:dyDescent="0.3">
      <c r="A14" s="208">
        <v>12</v>
      </c>
      <c r="B14" s="47" t="s">
        <v>20</v>
      </c>
    </row>
    <row r="15" spans="1:2" x14ac:dyDescent="0.3">
      <c r="A15" s="208">
        <v>13</v>
      </c>
      <c r="B15" s="47" t="s">
        <v>352</v>
      </c>
    </row>
    <row r="16" spans="1:2" x14ac:dyDescent="0.3">
      <c r="A16" s="208">
        <v>14</v>
      </c>
      <c r="B16" s="47" t="s">
        <v>21</v>
      </c>
    </row>
    <row r="17" spans="1:2" x14ac:dyDescent="0.3">
      <c r="A17" s="208">
        <v>15</v>
      </c>
      <c r="B17" s="47" t="s">
        <v>22</v>
      </c>
    </row>
    <row r="18" spans="1:2" x14ac:dyDescent="0.3">
      <c r="A18" s="208">
        <v>16</v>
      </c>
      <c r="B18" s="47" t="s">
        <v>23</v>
      </c>
    </row>
    <row r="19" spans="1:2" x14ac:dyDescent="0.3">
      <c r="A19" s="208">
        <v>17</v>
      </c>
      <c r="B19" s="47" t="s">
        <v>350</v>
      </c>
    </row>
    <row r="20" spans="1:2" x14ac:dyDescent="0.3">
      <c r="A20" s="208">
        <v>18</v>
      </c>
      <c r="B20" s="47" t="s">
        <v>351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486"/>
  <sheetViews>
    <sheetView workbookViewId="0">
      <pane xSplit="4" ySplit="4" topLeftCell="E459" activePane="bottomRight" state="frozen"/>
      <selection pane="topRight" activeCell="E1" sqref="E1"/>
      <selection pane="bottomLeft" activeCell="A5" sqref="A5"/>
      <selection pane="bottomRight" activeCell="F487" sqref="F487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5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15.55468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76"/>
    </row>
    <row r="4" spans="2:11" x14ac:dyDescent="0.3">
      <c r="B4" s="280" t="s">
        <v>33</v>
      </c>
      <c r="C4" s="281" t="s">
        <v>11</v>
      </c>
      <c r="D4" s="282" t="s">
        <v>26</v>
      </c>
      <c r="F4" s="266" t="s">
        <v>438</v>
      </c>
      <c r="G4" s="267" t="s">
        <v>48</v>
      </c>
      <c r="H4" s="267" t="s">
        <v>437</v>
      </c>
      <c r="I4" s="267" t="s">
        <v>33</v>
      </c>
      <c r="J4" s="267" t="s">
        <v>53</v>
      </c>
      <c r="K4" s="268" t="s">
        <v>304</v>
      </c>
    </row>
    <row r="5" spans="2:11" ht="20.100000000000001" customHeight="1" x14ac:dyDescent="0.3">
      <c r="B5" s="291">
        <v>1</v>
      </c>
      <c r="C5" s="293" t="s">
        <v>70</v>
      </c>
      <c r="D5" s="275">
        <f>+SUMIF(APORTACIONESOCIOS[SOCIO],SOCIOS!$C5,APORTACIONESOCIOS[APORTE])</f>
        <v>0</v>
      </c>
      <c r="F5" s="266">
        <f>ROW()-ROW(APORTACIONESOCIOS[[#Headers],[SECUENCIA]])</f>
        <v>1</v>
      </c>
      <c r="G5" s="176">
        <v>44788</v>
      </c>
      <c r="H5" s="3">
        <v>0</v>
      </c>
      <c r="I5" s="284">
        <v>1</v>
      </c>
      <c r="J5" s="265" t="s">
        <v>70</v>
      </c>
      <c r="K5" s="268"/>
    </row>
    <row r="6" spans="2:11" ht="20.100000000000001" customHeight="1" x14ac:dyDescent="0.3">
      <c r="B6" s="208">
        <v>2</v>
      </c>
      <c r="C6" s="294" t="s">
        <v>71</v>
      </c>
      <c r="D6" s="275">
        <f>+SUMIF(APORTACIONESOCIOS[SOCIO],SOCIOS!$C6,APORTACIONESOCIOS[APORTE])</f>
        <v>0</v>
      </c>
      <c r="F6" s="266">
        <f>ROW()-ROW(APORTACIONESOCIOS[[#Headers],[SECUENCIA]])</f>
        <v>2</v>
      </c>
      <c r="G6" s="176">
        <v>44788</v>
      </c>
      <c r="H6" s="3">
        <v>0</v>
      </c>
      <c r="I6" s="284">
        <v>2</v>
      </c>
      <c r="J6" s="265" t="s">
        <v>71</v>
      </c>
      <c r="K6" s="268"/>
    </row>
    <row r="7" spans="2:11" ht="20.100000000000001" customHeight="1" x14ac:dyDescent="0.3">
      <c r="B7" s="291">
        <v>3</v>
      </c>
      <c r="C7" s="292" t="s">
        <v>13</v>
      </c>
      <c r="D7" s="275">
        <f>+SUMIF(APORTACIONESOCIOS[SOCIO],SOCIOS!$C7,APORTACIONESOCIOS[APORTE])</f>
        <v>360</v>
      </c>
      <c r="F7" s="269">
        <f>ROW()-ROW(APORTACIONESOCIOS[[#Headers],[SECUENCIA]])</f>
        <v>3</v>
      </c>
      <c r="G7" s="176">
        <v>44788</v>
      </c>
      <c r="H7" s="3">
        <v>10</v>
      </c>
      <c r="I7" s="284">
        <v>3</v>
      </c>
      <c r="J7" s="265" t="s">
        <v>13</v>
      </c>
      <c r="K7" s="270"/>
    </row>
    <row r="8" spans="2:11" ht="20.100000000000001" customHeight="1" x14ac:dyDescent="0.3">
      <c r="B8" s="208">
        <v>4</v>
      </c>
      <c r="C8" s="47" t="s">
        <v>12</v>
      </c>
      <c r="D8" s="275">
        <f>+SUMIF(APORTACIONESOCIOS[SOCIO],SOCIOS!$C8,APORTACIONESOCIOS[APORTE])</f>
        <v>360</v>
      </c>
      <c r="F8" s="269">
        <f>ROW()-ROW(APORTACIONESOCIOS[[#Headers],[SECUENCIA]])</f>
        <v>4</v>
      </c>
      <c r="G8" s="176">
        <v>44788</v>
      </c>
      <c r="H8" s="3">
        <v>10</v>
      </c>
      <c r="I8" s="284">
        <v>4</v>
      </c>
      <c r="J8" s="265" t="s">
        <v>12</v>
      </c>
      <c r="K8" s="270"/>
    </row>
    <row r="9" spans="2:11" ht="20.100000000000001" customHeight="1" x14ac:dyDescent="0.3">
      <c r="B9" s="291">
        <v>5</v>
      </c>
      <c r="C9" s="292" t="s">
        <v>14</v>
      </c>
      <c r="D9" s="275">
        <f>+SUMIF(APORTACIONESOCIOS[SOCIO],SOCIOS!$C9,APORTACIONESOCIOS[APORTE])</f>
        <v>360</v>
      </c>
      <c r="F9" s="269">
        <f>ROW()-ROW(APORTACIONESOCIOS[[#Headers],[SECUENCIA]])</f>
        <v>5</v>
      </c>
      <c r="G9" s="176">
        <v>44788</v>
      </c>
      <c r="H9" s="3">
        <v>10</v>
      </c>
      <c r="I9" s="284">
        <v>5</v>
      </c>
      <c r="J9" s="265" t="s">
        <v>14</v>
      </c>
      <c r="K9" s="270"/>
    </row>
    <row r="10" spans="2:11" ht="20.100000000000001" customHeight="1" x14ac:dyDescent="0.3">
      <c r="B10" s="208">
        <v>6</v>
      </c>
      <c r="C10" s="47" t="s">
        <v>24</v>
      </c>
      <c r="D10" s="275">
        <f>+SUMIF(APORTACIONESOCIOS[SOCIO],SOCIOS!$C10,APORTACIONESOCIOS[APORTE])</f>
        <v>360</v>
      </c>
      <c r="F10" s="269">
        <f>ROW()-ROW(APORTACIONESOCIOS[[#Headers],[SECUENCIA]])</f>
        <v>6</v>
      </c>
      <c r="G10" s="176">
        <v>44788</v>
      </c>
      <c r="H10" s="3">
        <v>10</v>
      </c>
      <c r="I10" s="284">
        <v>6</v>
      </c>
      <c r="J10" s="265" t="s">
        <v>24</v>
      </c>
      <c r="K10" s="270"/>
    </row>
    <row r="11" spans="2:11" ht="20.100000000000001" customHeight="1" x14ac:dyDescent="0.3">
      <c r="B11" s="278">
        <v>7</v>
      </c>
      <c r="C11" s="274" t="s">
        <v>15</v>
      </c>
      <c r="D11" s="275">
        <f>+SUMIF(APORTACIONESOCIOS[SOCIO],SOCIOS!$C11,APORTACIONESOCIOS[APORTE])</f>
        <v>360</v>
      </c>
      <c r="F11" s="269">
        <f>ROW()-ROW(APORTACIONESOCIOS[[#Headers],[SECUENCIA]])</f>
        <v>7</v>
      </c>
      <c r="G11" s="176">
        <v>44788</v>
      </c>
      <c r="H11" s="3">
        <v>10</v>
      </c>
      <c r="I11" s="284">
        <v>7</v>
      </c>
      <c r="J11" s="265" t="s">
        <v>15</v>
      </c>
      <c r="K11" s="270"/>
    </row>
    <row r="12" spans="2:11" ht="20.100000000000001" customHeight="1" x14ac:dyDescent="0.3">
      <c r="B12" s="279">
        <v>8</v>
      </c>
      <c r="C12" s="238" t="s">
        <v>16</v>
      </c>
      <c r="D12" s="275">
        <f>+SUMIF(APORTACIONESOCIOS[SOCIO],SOCIOS!$C12,APORTACIONESOCIOS[APORTE])</f>
        <v>360</v>
      </c>
      <c r="F12" s="269">
        <f>ROW()-ROW(APORTACIONESOCIOS[[#Headers],[SECUENCIA]])</f>
        <v>8</v>
      </c>
      <c r="G12" s="176">
        <v>44788</v>
      </c>
      <c r="H12" s="3">
        <v>10</v>
      </c>
      <c r="I12" s="284">
        <v>8</v>
      </c>
      <c r="J12" s="265" t="s">
        <v>16</v>
      </c>
      <c r="K12" s="270"/>
    </row>
    <row r="13" spans="2:11" ht="20.100000000000001" customHeight="1" x14ac:dyDescent="0.3">
      <c r="B13" s="278">
        <v>9</v>
      </c>
      <c r="C13" s="274" t="s">
        <v>17</v>
      </c>
      <c r="D13" s="275">
        <f>+SUMIF(APORTACIONESOCIOS[SOCIO],SOCIOS!$C13,APORTACIONESOCIOS[APORTE])</f>
        <v>360</v>
      </c>
      <c r="F13" s="269">
        <f>ROW()-ROW(APORTACIONESOCIOS[[#Headers],[SECUENCIA]])</f>
        <v>9</v>
      </c>
      <c r="G13" s="176">
        <v>44788</v>
      </c>
      <c r="H13" s="3">
        <v>10</v>
      </c>
      <c r="I13" s="284">
        <v>9</v>
      </c>
      <c r="J13" s="265" t="s">
        <v>17</v>
      </c>
      <c r="K13" s="270"/>
    </row>
    <row r="14" spans="2:11" ht="20.100000000000001" customHeight="1" x14ac:dyDescent="0.3">
      <c r="B14" s="279">
        <v>10</v>
      </c>
      <c r="C14" s="238" t="s">
        <v>18</v>
      </c>
      <c r="D14" s="275">
        <f>+SUMIF(APORTACIONESOCIOS[SOCIO],SOCIOS!$C14,APORTACIONESOCIOS[APORTE])</f>
        <v>360</v>
      </c>
      <c r="F14" s="269">
        <f>ROW()-ROW(APORTACIONESOCIOS[[#Headers],[SECUENCIA]])</f>
        <v>10</v>
      </c>
      <c r="G14" s="176">
        <v>44788</v>
      </c>
      <c r="H14" s="3">
        <v>10</v>
      </c>
      <c r="I14" s="284">
        <v>10</v>
      </c>
      <c r="J14" s="265" t="s">
        <v>18</v>
      </c>
      <c r="K14" s="270"/>
    </row>
    <row r="15" spans="2:11" ht="20.100000000000001" customHeight="1" x14ac:dyDescent="0.3">
      <c r="B15" s="278">
        <v>11</v>
      </c>
      <c r="C15" s="274" t="s">
        <v>19</v>
      </c>
      <c r="D15" s="275">
        <f>+SUMIF(APORTACIONESOCIOS[SOCIO],SOCIOS!$C15,APORTACIONESOCIOS[APORTE])</f>
        <v>360</v>
      </c>
      <c r="F15" s="269">
        <f>ROW()-ROW(APORTACIONESOCIOS[[#Headers],[SECUENCIA]])</f>
        <v>11</v>
      </c>
      <c r="G15" s="176">
        <v>44788</v>
      </c>
      <c r="H15" s="3">
        <v>10</v>
      </c>
      <c r="I15" s="284">
        <v>11</v>
      </c>
      <c r="J15" s="265" t="s">
        <v>19</v>
      </c>
      <c r="K15" s="270"/>
    </row>
    <row r="16" spans="2:11" ht="20.100000000000001" customHeight="1" x14ac:dyDescent="0.3">
      <c r="B16" s="279">
        <v>12</v>
      </c>
      <c r="C16" s="238" t="s">
        <v>20</v>
      </c>
      <c r="D16" s="275">
        <f>+SUMIF(APORTACIONESOCIOS[SOCIO],SOCIOS!$C16,APORTACIONESOCIOS[APORTE])</f>
        <v>360</v>
      </c>
      <c r="F16" s="269">
        <f>ROW()-ROW(APORTACIONESOCIOS[[#Headers],[SECUENCIA]])</f>
        <v>12</v>
      </c>
      <c r="G16" s="176">
        <v>44788</v>
      </c>
      <c r="H16" s="3">
        <v>10</v>
      </c>
      <c r="I16" s="284">
        <v>12</v>
      </c>
      <c r="J16" s="265" t="s">
        <v>20</v>
      </c>
      <c r="K16" s="270"/>
    </row>
    <row r="17" spans="1:11" ht="20.100000000000001" customHeight="1" x14ac:dyDescent="0.3">
      <c r="B17" s="278">
        <v>13</v>
      </c>
      <c r="C17" s="274" t="s">
        <v>352</v>
      </c>
      <c r="D17" s="275">
        <f>+SUMIF(APORTACIONESOCIOS[SOCIO],SOCIOS!$C17,APORTACIONESOCIOS[APORTE])</f>
        <v>360</v>
      </c>
      <c r="F17" s="269">
        <f>ROW()-ROW(APORTACIONESOCIOS[[#Headers],[SECUENCIA]])</f>
        <v>13</v>
      </c>
      <c r="G17" s="176">
        <v>44788</v>
      </c>
      <c r="H17" s="3">
        <v>10</v>
      </c>
      <c r="I17" s="284">
        <v>14</v>
      </c>
      <c r="J17" s="265" t="s">
        <v>21</v>
      </c>
      <c r="K17" s="270"/>
    </row>
    <row r="18" spans="1:11" ht="20.100000000000001" customHeight="1" x14ac:dyDescent="0.3">
      <c r="B18" s="279">
        <v>14</v>
      </c>
      <c r="C18" s="238" t="s">
        <v>21</v>
      </c>
      <c r="D18" s="275">
        <f>+SUMIF(APORTACIONESOCIOS[SOCIO],SOCIOS!$C18,APORTACIONESOCIOS[APORTE])</f>
        <v>360</v>
      </c>
      <c r="F18" s="269">
        <f>ROW()-ROW(APORTACIONESOCIOS[[#Headers],[SECUENCIA]])</f>
        <v>14</v>
      </c>
      <c r="G18" s="176">
        <v>44788</v>
      </c>
      <c r="H18" s="3">
        <v>10</v>
      </c>
      <c r="I18" s="284">
        <v>15</v>
      </c>
      <c r="J18" s="265" t="s">
        <v>22</v>
      </c>
      <c r="K18" s="270"/>
    </row>
    <row r="19" spans="1:11" ht="20.100000000000001" customHeight="1" x14ac:dyDescent="0.3">
      <c r="B19" s="278">
        <v>15</v>
      </c>
      <c r="C19" s="274" t="s">
        <v>22</v>
      </c>
      <c r="D19" s="275">
        <f>+SUMIF(APORTACIONESOCIOS[SOCIO],SOCIOS!$C19,APORTACIONESOCIOS[APORTE])</f>
        <v>360</v>
      </c>
      <c r="F19" s="269">
        <f>ROW()-ROW(APORTACIONESOCIOS[[#Headers],[SECUENCIA]])</f>
        <v>15</v>
      </c>
      <c r="G19" s="176">
        <v>44788</v>
      </c>
      <c r="H19" s="3">
        <v>10</v>
      </c>
      <c r="I19" s="284">
        <v>16</v>
      </c>
      <c r="J19" s="265" t="s">
        <v>23</v>
      </c>
      <c r="K19" s="270"/>
    </row>
    <row r="20" spans="1:11" ht="20.100000000000001" customHeight="1" x14ac:dyDescent="0.3">
      <c r="B20" s="279">
        <v>16</v>
      </c>
      <c r="C20" s="238" t="s">
        <v>23</v>
      </c>
      <c r="D20" s="275">
        <f>+SUMIF(APORTACIONESOCIOS[SOCIO],SOCIOS!$C20,APORTACIONESOCIOS[APORTE])</f>
        <v>360</v>
      </c>
      <c r="F20" s="269">
        <f>ROW()-ROW(APORTACIONESOCIOS[[#Headers],[SECUENCIA]])</f>
        <v>16</v>
      </c>
      <c r="G20" s="176">
        <v>44819</v>
      </c>
      <c r="H20" s="3">
        <v>10</v>
      </c>
      <c r="I20" s="284">
        <v>3</v>
      </c>
      <c r="J20" s="265" t="s">
        <v>13</v>
      </c>
      <c r="K20" s="270"/>
    </row>
    <row r="21" spans="1:11" ht="20.100000000000001" customHeight="1" x14ac:dyDescent="0.3">
      <c r="B21" s="278">
        <v>17</v>
      </c>
      <c r="C21" s="274" t="s">
        <v>350</v>
      </c>
      <c r="D21" s="275">
        <f>+SUMIF(APORTACIONESOCIOS[SOCIO],SOCIOS!$C21,APORTACIONESOCIOS[APORTE])</f>
        <v>360</v>
      </c>
      <c r="F21" s="269">
        <f>ROW()-ROW(APORTACIONESOCIOS[[#Headers],[SECUENCIA]])</f>
        <v>17</v>
      </c>
      <c r="G21" s="176">
        <v>44819</v>
      </c>
      <c r="H21" s="3">
        <v>10</v>
      </c>
      <c r="I21" s="284">
        <v>4</v>
      </c>
      <c r="J21" s="265" t="s">
        <v>12</v>
      </c>
      <c r="K21" s="270"/>
    </row>
    <row r="22" spans="1:11" ht="19.95" customHeight="1" x14ac:dyDescent="0.3">
      <c r="B22" s="279">
        <v>18</v>
      </c>
      <c r="C22" s="238" t="s">
        <v>351</v>
      </c>
      <c r="D22" s="275">
        <f>+SUMIF(APORTACIONESOCIOS[SOCIO],SOCIOS!$C22,APORTACIONESOCIOS[APORTE])</f>
        <v>360</v>
      </c>
      <c r="F22" s="269">
        <f>ROW()-ROW(APORTACIONESOCIOS[[#Headers],[SECUENCIA]])</f>
        <v>18</v>
      </c>
      <c r="G22" s="176">
        <v>44819</v>
      </c>
      <c r="H22" s="3">
        <v>10</v>
      </c>
      <c r="I22" s="284">
        <v>5</v>
      </c>
      <c r="J22" s="265" t="s">
        <v>14</v>
      </c>
      <c r="K22" s="270"/>
    </row>
    <row r="23" spans="1:11" x14ac:dyDescent="0.3">
      <c r="B23" s="1"/>
      <c r="C23" s="4" t="s">
        <v>25</v>
      </c>
      <c r="D23" s="3">
        <f>SUM(D5:D22)</f>
        <v>5760</v>
      </c>
      <c r="F23" s="269">
        <f>ROW()-ROW(APORTACIONESOCIOS[[#Headers],[SECUENCIA]])</f>
        <v>19</v>
      </c>
      <c r="G23" s="176">
        <v>44819</v>
      </c>
      <c r="H23" s="3">
        <v>10</v>
      </c>
      <c r="I23" s="284">
        <v>6</v>
      </c>
      <c r="J23" s="265" t="s">
        <v>24</v>
      </c>
      <c r="K23" s="270"/>
    </row>
    <row r="24" spans="1:11" x14ac:dyDescent="0.3">
      <c r="A24" s="174"/>
      <c r="B24" s="1"/>
      <c r="D24" s="13"/>
      <c r="F24" s="269">
        <f>ROW()-ROW(APORTACIONESOCIOS[[#Headers],[SECUENCIA]])</f>
        <v>20</v>
      </c>
      <c r="G24" s="176">
        <v>44819</v>
      </c>
      <c r="H24" s="3">
        <v>10</v>
      </c>
      <c r="I24" s="284">
        <v>7</v>
      </c>
      <c r="J24" s="265" t="s">
        <v>15</v>
      </c>
      <c r="K24" s="270"/>
    </row>
    <row r="25" spans="1:11" x14ac:dyDescent="0.3">
      <c r="F25" s="269">
        <f>ROW()-ROW(APORTACIONESOCIOS[[#Headers],[SECUENCIA]])</f>
        <v>21</v>
      </c>
      <c r="G25" s="176">
        <v>44819</v>
      </c>
      <c r="H25" s="3">
        <v>10</v>
      </c>
      <c r="I25" s="284">
        <v>8</v>
      </c>
      <c r="J25" s="265" t="s">
        <v>16</v>
      </c>
      <c r="K25" s="270"/>
    </row>
    <row r="26" spans="1:11" x14ac:dyDescent="0.3">
      <c r="F26" s="269">
        <f>ROW()-ROW(APORTACIONESOCIOS[[#Headers],[SECUENCIA]])</f>
        <v>22</v>
      </c>
      <c r="G26" s="176">
        <v>44819</v>
      </c>
      <c r="H26" s="3">
        <v>10</v>
      </c>
      <c r="I26" s="284">
        <v>9</v>
      </c>
      <c r="J26" s="265" t="s">
        <v>17</v>
      </c>
      <c r="K26" s="270"/>
    </row>
    <row r="27" spans="1:11" x14ac:dyDescent="0.3">
      <c r="F27" s="269">
        <f>ROW()-ROW(APORTACIONESOCIOS[[#Headers],[SECUENCIA]])</f>
        <v>23</v>
      </c>
      <c r="G27" s="176">
        <v>44819</v>
      </c>
      <c r="H27" s="3">
        <v>10</v>
      </c>
      <c r="I27" s="284">
        <v>10</v>
      </c>
      <c r="J27" s="265" t="s">
        <v>18</v>
      </c>
      <c r="K27" s="270"/>
    </row>
    <row r="28" spans="1:11" x14ac:dyDescent="0.3">
      <c r="F28" s="269">
        <f>ROW()-ROW(APORTACIONESOCIOS[[#Headers],[SECUENCIA]])</f>
        <v>24</v>
      </c>
      <c r="G28" s="176">
        <v>44819</v>
      </c>
      <c r="H28" s="3">
        <v>10</v>
      </c>
      <c r="I28" s="284">
        <v>11</v>
      </c>
      <c r="J28" s="265" t="s">
        <v>19</v>
      </c>
      <c r="K28" s="270"/>
    </row>
    <row r="29" spans="1:11" x14ac:dyDescent="0.3">
      <c r="F29" s="269">
        <f>ROW()-ROW(APORTACIONESOCIOS[[#Headers],[SECUENCIA]])</f>
        <v>25</v>
      </c>
      <c r="G29" s="176">
        <v>44819</v>
      </c>
      <c r="H29" s="3">
        <v>10</v>
      </c>
      <c r="I29" s="284">
        <v>12</v>
      </c>
      <c r="J29" s="265" t="s">
        <v>20</v>
      </c>
      <c r="K29" s="270"/>
    </row>
    <row r="30" spans="1:11" x14ac:dyDescent="0.3">
      <c r="F30" s="269">
        <f>ROW()-ROW(APORTACIONESOCIOS[[#Headers],[SECUENCIA]])</f>
        <v>26</v>
      </c>
      <c r="G30" s="176">
        <v>44819</v>
      </c>
      <c r="H30" s="3">
        <v>10</v>
      </c>
      <c r="I30" s="284">
        <v>14</v>
      </c>
      <c r="J30" s="265" t="s">
        <v>21</v>
      </c>
      <c r="K30" s="270"/>
    </row>
    <row r="31" spans="1:11" x14ac:dyDescent="0.3">
      <c r="F31" s="269">
        <f>ROW()-ROW(APORTACIONESOCIOS[[#Headers],[SECUENCIA]])</f>
        <v>27</v>
      </c>
      <c r="G31" s="176">
        <v>44819</v>
      </c>
      <c r="H31" s="3">
        <v>10</v>
      </c>
      <c r="I31" s="284">
        <v>15</v>
      </c>
      <c r="J31" s="265" t="s">
        <v>22</v>
      </c>
      <c r="K31" s="270"/>
    </row>
    <row r="32" spans="1:11" x14ac:dyDescent="0.3">
      <c r="F32" s="269">
        <f>ROW()-ROW(APORTACIONESOCIOS[[#Headers],[SECUENCIA]])</f>
        <v>28</v>
      </c>
      <c r="G32" s="176">
        <v>44819</v>
      </c>
      <c r="H32" s="3">
        <v>10</v>
      </c>
      <c r="I32" s="284">
        <v>16</v>
      </c>
      <c r="J32" s="265" t="s">
        <v>23</v>
      </c>
      <c r="K32" s="270"/>
    </row>
    <row r="33" spans="6:11" x14ac:dyDescent="0.3">
      <c r="F33" s="269">
        <f>ROW()-ROW(APORTACIONESOCIOS[[#Headers],[SECUENCIA]])</f>
        <v>29</v>
      </c>
      <c r="G33" s="176">
        <v>44849</v>
      </c>
      <c r="H33" s="3">
        <v>10</v>
      </c>
      <c r="I33" s="284">
        <v>3</v>
      </c>
      <c r="J33" s="265" t="s">
        <v>13</v>
      </c>
      <c r="K33" s="270"/>
    </row>
    <row r="34" spans="6:11" x14ac:dyDescent="0.3">
      <c r="F34" s="269">
        <f>ROW()-ROW(APORTACIONESOCIOS[[#Headers],[SECUENCIA]])</f>
        <v>30</v>
      </c>
      <c r="G34" s="176">
        <v>44849</v>
      </c>
      <c r="H34" s="3">
        <v>10</v>
      </c>
      <c r="I34" s="284">
        <v>4</v>
      </c>
      <c r="J34" s="265" t="s">
        <v>12</v>
      </c>
      <c r="K34" s="270"/>
    </row>
    <row r="35" spans="6:11" x14ac:dyDescent="0.3">
      <c r="F35" s="269">
        <v>29</v>
      </c>
      <c r="G35" s="176">
        <v>44849</v>
      </c>
      <c r="H35" s="3">
        <v>10</v>
      </c>
      <c r="I35" s="284">
        <v>5</v>
      </c>
      <c r="J35" s="265" t="s">
        <v>14</v>
      </c>
      <c r="K35" s="270"/>
    </row>
    <row r="36" spans="6:11" x14ac:dyDescent="0.3">
      <c r="F36" s="269">
        <v>30</v>
      </c>
      <c r="G36" s="176">
        <v>44849</v>
      </c>
      <c r="H36" s="3">
        <v>10</v>
      </c>
      <c r="I36" s="284">
        <v>6</v>
      </c>
      <c r="J36" s="265" t="s">
        <v>24</v>
      </c>
      <c r="K36" s="270"/>
    </row>
    <row r="37" spans="6:11" x14ac:dyDescent="0.3">
      <c r="F37" s="269">
        <f>ROW()-ROW(APORTACIONESOCIOS[[#Headers],[SECUENCIA]])</f>
        <v>33</v>
      </c>
      <c r="G37" s="176">
        <v>44849</v>
      </c>
      <c r="H37" s="3">
        <v>10</v>
      </c>
      <c r="I37" s="284">
        <v>7</v>
      </c>
      <c r="J37" s="265" t="s">
        <v>15</v>
      </c>
      <c r="K37" s="270"/>
    </row>
    <row r="38" spans="6:11" x14ac:dyDescent="0.3">
      <c r="F38" s="269">
        <f>ROW()-ROW(APORTACIONESOCIOS[[#Headers],[SECUENCIA]])</f>
        <v>34</v>
      </c>
      <c r="G38" s="176">
        <v>44849</v>
      </c>
      <c r="H38" s="3">
        <v>10</v>
      </c>
      <c r="I38" s="284">
        <v>8</v>
      </c>
      <c r="J38" s="265" t="s">
        <v>16</v>
      </c>
      <c r="K38" s="270"/>
    </row>
    <row r="39" spans="6:11" x14ac:dyDescent="0.3">
      <c r="F39" s="269">
        <f>ROW()-ROW(APORTACIONESOCIOS[[#Headers],[SECUENCIA]])</f>
        <v>35</v>
      </c>
      <c r="G39" s="176">
        <v>44849</v>
      </c>
      <c r="H39" s="3">
        <v>10</v>
      </c>
      <c r="I39" s="284">
        <v>9</v>
      </c>
      <c r="J39" s="265" t="s">
        <v>17</v>
      </c>
      <c r="K39" s="270"/>
    </row>
    <row r="40" spans="6:11" x14ac:dyDescent="0.3">
      <c r="F40" s="269">
        <f>ROW()-ROW(APORTACIONESOCIOS[[#Headers],[SECUENCIA]])</f>
        <v>36</v>
      </c>
      <c r="G40" s="176">
        <v>44849</v>
      </c>
      <c r="H40" s="3">
        <v>10</v>
      </c>
      <c r="I40" s="284">
        <v>10</v>
      </c>
      <c r="J40" s="265" t="s">
        <v>18</v>
      </c>
      <c r="K40" s="270"/>
    </row>
    <row r="41" spans="6:11" x14ac:dyDescent="0.3">
      <c r="F41" s="269">
        <f>ROW()-ROW(APORTACIONESOCIOS[[#Headers],[SECUENCIA]])</f>
        <v>37</v>
      </c>
      <c r="G41" s="176">
        <v>44849</v>
      </c>
      <c r="H41" s="3">
        <v>10</v>
      </c>
      <c r="I41" s="284">
        <v>11</v>
      </c>
      <c r="J41" s="265" t="s">
        <v>19</v>
      </c>
      <c r="K41" s="270"/>
    </row>
    <row r="42" spans="6:11" x14ac:dyDescent="0.3">
      <c r="F42" s="271">
        <f>ROW()-ROW(APORTACIONESOCIOS[[#Headers],[SECUENCIA]])</f>
        <v>38</v>
      </c>
      <c r="G42" s="176">
        <v>44849</v>
      </c>
      <c r="H42" s="3">
        <v>10</v>
      </c>
      <c r="I42" s="284">
        <v>12</v>
      </c>
      <c r="J42" s="265" t="s">
        <v>20</v>
      </c>
      <c r="K42" s="273"/>
    </row>
    <row r="43" spans="6:11" x14ac:dyDescent="0.3">
      <c r="F43" s="269">
        <f>ROW()-ROW(APORTACIONESOCIOS[[#Headers],[SECUENCIA]])</f>
        <v>39</v>
      </c>
      <c r="G43" s="176">
        <v>44849</v>
      </c>
      <c r="H43" s="3">
        <v>10</v>
      </c>
      <c r="I43" s="284">
        <v>14</v>
      </c>
      <c r="J43" s="265" t="s">
        <v>21</v>
      </c>
      <c r="K43" s="270"/>
    </row>
    <row r="44" spans="6:11" x14ac:dyDescent="0.3">
      <c r="F44" s="269">
        <f>ROW()-ROW(APORTACIONESOCIOS[[#Headers],[SECUENCIA]])</f>
        <v>40</v>
      </c>
      <c r="G44" s="176">
        <v>44849</v>
      </c>
      <c r="H44" s="3">
        <v>10</v>
      </c>
      <c r="I44" s="284">
        <v>15</v>
      </c>
      <c r="J44" s="265" t="s">
        <v>22</v>
      </c>
      <c r="K44" s="270"/>
    </row>
    <row r="45" spans="6:11" x14ac:dyDescent="0.3">
      <c r="F45" s="269">
        <f>ROW()-ROW(APORTACIONESOCIOS[[#Headers],[SECUENCIA]])</f>
        <v>41</v>
      </c>
      <c r="G45" s="176">
        <v>44849</v>
      </c>
      <c r="H45" s="3">
        <v>10</v>
      </c>
      <c r="I45" s="284">
        <v>16</v>
      </c>
      <c r="J45" s="265" t="s">
        <v>23</v>
      </c>
      <c r="K45" s="270"/>
    </row>
    <row r="46" spans="6:11" x14ac:dyDescent="0.3">
      <c r="F46" s="269">
        <f>ROW()-ROW(APORTACIONESOCIOS[[#Headers],[SECUENCIA]])</f>
        <v>42</v>
      </c>
      <c r="G46" s="176">
        <v>44880</v>
      </c>
      <c r="H46" s="3">
        <v>10</v>
      </c>
      <c r="I46" s="284">
        <v>3</v>
      </c>
      <c r="J46" s="265" t="s">
        <v>13</v>
      </c>
      <c r="K46" s="270"/>
    </row>
    <row r="47" spans="6:11" x14ac:dyDescent="0.3">
      <c r="F47" s="269">
        <f>ROW()-ROW(APORTACIONESOCIOS[[#Headers],[SECUENCIA]])</f>
        <v>43</v>
      </c>
      <c r="G47" s="176">
        <v>44880</v>
      </c>
      <c r="H47" s="3">
        <v>10</v>
      </c>
      <c r="I47" s="284">
        <v>4</v>
      </c>
      <c r="J47" s="265" t="s">
        <v>12</v>
      </c>
      <c r="K47" s="270"/>
    </row>
    <row r="48" spans="6:11" x14ac:dyDescent="0.3">
      <c r="F48" s="269">
        <f>ROW()-ROW(APORTACIONESOCIOS[[#Headers],[SECUENCIA]])</f>
        <v>44</v>
      </c>
      <c r="G48" s="176">
        <v>44880</v>
      </c>
      <c r="H48" s="3">
        <v>10</v>
      </c>
      <c r="I48" s="284">
        <v>5</v>
      </c>
      <c r="J48" s="265" t="s">
        <v>14</v>
      </c>
      <c r="K48" s="270"/>
    </row>
    <row r="49" spans="6:11" x14ac:dyDescent="0.3">
      <c r="F49" s="269">
        <f>ROW()-ROW(APORTACIONESOCIOS[[#Headers],[SECUENCIA]])</f>
        <v>45</v>
      </c>
      <c r="G49" s="176">
        <v>44880</v>
      </c>
      <c r="H49" s="3">
        <v>10</v>
      </c>
      <c r="I49" s="284">
        <v>6</v>
      </c>
      <c r="J49" s="265" t="s">
        <v>24</v>
      </c>
      <c r="K49" s="270"/>
    </row>
    <row r="50" spans="6:11" x14ac:dyDescent="0.3">
      <c r="F50" s="269">
        <f>ROW()-ROW(APORTACIONESOCIOS[[#Headers],[SECUENCIA]])</f>
        <v>46</v>
      </c>
      <c r="G50" s="176">
        <v>44880</v>
      </c>
      <c r="H50" s="3">
        <v>10</v>
      </c>
      <c r="I50" s="284">
        <v>7</v>
      </c>
      <c r="J50" s="265" t="s">
        <v>15</v>
      </c>
      <c r="K50" s="270"/>
    </row>
    <row r="51" spans="6:11" x14ac:dyDescent="0.3">
      <c r="F51" s="269">
        <f>ROW()-ROW(APORTACIONESOCIOS[[#Headers],[SECUENCIA]])</f>
        <v>47</v>
      </c>
      <c r="G51" s="176">
        <v>44880</v>
      </c>
      <c r="H51" s="3">
        <v>10</v>
      </c>
      <c r="I51" s="284">
        <v>8</v>
      </c>
      <c r="J51" s="265" t="s">
        <v>16</v>
      </c>
      <c r="K51" s="270"/>
    </row>
    <row r="52" spans="6:11" x14ac:dyDescent="0.3">
      <c r="F52" s="269">
        <f>ROW()-ROW(APORTACIONESOCIOS[[#Headers],[SECUENCIA]])</f>
        <v>48</v>
      </c>
      <c r="G52" s="176">
        <v>44880</v>
      </c>
      <c r="H52" s="3">
        <v>10</v>
      </c>
      <c r="I52" s="284">
        <v>9</v>
      </c>
      <c r="J52" s="265" t="s">
        <v>17</v>
      </c>
      <c r="K52" s="270"/>
    </row>
    <row r="53" spans="6:11" x14ac:dyDescent="0.3">
      <c r="F53" s="269">
        <f>ROW()-ROW(APORTACIONESOCIOS[[#Headers],[SECUENCIA]])</f>
        <v>49</v>
      </c>
      <c r="G53" s="176">
        <v>44880</v>
      </c>
      <c r="H53" s="3">
        <v>10</v>
      </c>
      <c r="I53" s="284">
        <v>10</v>
      </c>
      <c r="J53" s="265" t="s">
        <v>18</v>
      </c>
      <c r="K53" s="270"/>
    </row>
    <row r="54" spans="6:11" x14ac:dyDescent="0.3">
      <c r="F54" s="269">
        <f>ROW()-ROW(APORTACIONESOCIOS[[#Headers],[SECUENCIA]])</f>
        <v>50</v>
      </c>
      <c r="G54" s="176">
        <v>44880</v>
      </c>
      <c r="H54" s="3">
        <v>10</v>
      </c>
      <c r="I54" s="284">
        <v>11</v>
      </c>
      <c r="J54" s="265" t="s">
        <v>19</v>
      </c>
      <c r="K54" s="270"/>
    </row>
    <row r="55" spans="6:11" x14ac:dyDescent="0.3">
      <c r="F55" s="269">
        <f>ROW()-ROW(APORTACIONESOCIOS[[#Headers],[SECUENCIA]])</f>
        <v>51</v>
      </c>
      <c r="G55" s="176">
        <v>44880</v>
      </c>
      <c r="H55" s="3">
        <v>10</v>
      </c>
      <c r="I55" s="284">
        <v>12</v>
      </c>
      <c r="J55" s="265" t="s">
        <v>20</v>
      </c>
      <c r="K55" s="270"/>
    </row>
    <row r="56" spans="6:11" x14ac:dyDescent="0.3">
      <c r="F56" s="269">
        <f>ROW()-ROW(APORTACIONESOCIOS[[#Headers],[SECUENCIA]])</f>
        <v>52</v>
      </c>
      <c r="G56" s="176">
        <v>44880</v>
      </c>
      <c r="H56" s="3">
        <v>10</v>
      </c>
      <c r="I56" s="284">
        <v>14</v>
      </c>
      <c r="J56" s="265" t="s">
        <v>21</v>
      </c>
      <c r="K56" s="270"/>
    </row>
    <row r="57" spans="6:11" x14ac:dyDescent="0.3">
      <c r="F57" s="269">
        <f>ROW()-ROW(APORTACIONESOCIOS[[#Headers],[SECUENCIA]])</f>
        <v>53</v>
      </c>
      <c r="G57" s="176">
        <v>44880</v>
      </c>
      <c r="H57" s="3">
        <v>10</v>
      </c>
      <c r="I57" s="284">
        <v>15</v>
      </c>
      <c r="J57" s="265" t="s">
        <v>22</v>
      </c>
      <c r="K57" s="270"/>
    </row>
    <row r="58" spans="6:11" x14ac:dyDescent="0.3">
      <c r="F58" s="269">
        <f>ROW()-ROW(APORTACIONESOCIOS[[#Headers],[SECUENCIA]])</f>
        <v>54</v>
      </c>
      <c r="G58" s="176">
        <v>44880</v>
      </c>
      <c r="H58" s="3">
        <v>10</v>
      </c>
      <c r="I58" s="284">
        <v>16</v>
      </c>
      <c r="J58" s="265" t="s">
        <v>23</v>
      </c>
      <c r="K58" s="270"/>
    </row>
    <row r="59" spans="6:11" x14ac:dyDescent="0.3">
      <c r="F59" s="271">
        <f>ROW()-ROW(APORTACIONESOCIOS[[#Headers],[SECUENCIA]])</f>
        <v>55</v>
      </c>
      <c r="G59" s="189">
        <v>44910</v>
      </c>
      <c r="H59" s="3">
        <v>10</v>
      </c>
      <c r="I59" s="284">
        <v>3</v>
      </c>
      <c r="J59" s="265" t="s">
        <v>13</v>
      </c>
      <c r="K59" s="273"/>
    </row>
    <row r="60" spans="6:11" x14ac:dyDescent="0.3">
      <c r="F60" s="269">
        <f>ROW()-ROW(APORTACIONESOCIOS[[#Headers],[SECUENCIA]])</f>
        <v>56</v>
      </c>
      <c r="G60" s="176">
        <v>44910</v>
      </c>
      <c r="H60" s="3">
        <v>10</v>
      </c>
      <c r="I60" s="284">
        <v>4</v>
      </c>
      <c r="J60" s="265" t="s">
        <v>12</v>
      </c>
      <c r="K60" s="270"/>
    </row>
    <row r="61" spans="6:11" x14ac:dyDescent="0.3">
      <c r="F61" s="269">
        <f>ROW()-ROW(APORTACIONESOCIOS[[#Headers],[SECUENCIA]])</f>
        <v>57</v>
      </c>
      <c r="G61" s="176">
        <v>44910</v>
      </c>
      <c r="H61" s="3">
        <v>10</v>
      </c>
      <c r="I61" s="284">
        <v>5</v>
      </c>
      <c r="J61" s="265" t="s">
        <v>14</v>
      </c>
      <c r="K61" s="270"/>
    </row>
    <row r="62" spans="6:11" x14ac:dyDescent="0.3">
      <c r="F62" s="269">
        <f>ROW()-ROW(APORTACIONESOCIOS[[#Headers],[SECUENCIA]])</f>
        <v>58</v>
      </c>
      <c r="G62" s="176">
        <v>44910</v>
      </c>
      <c r="H62" s="3">
        <v>10</v>
      </c>
      <c r="I62" s="284">
        <v>6</v>
      </c>
      <c r="J62" s="265" t="s">
        <v>24</v>
      </c>
      <c r="K62" s="270"/>
    </row>
    <row r="63" spans="6:11" x14ac:dyDescent="0.3">
      <c r="F63" s="269">
        <f>ROW()-ROW(APORTACIONESOCIOS[[#Headers],[SECUENCIA]])</f>
        <v>59</v>
      </c>
      <c r="G63" s="176">
        <v>44910</v>
      </c>
      <c r="H63" s="3">
        <v>10</v>
      </c>
      <c r="I63" s="284">
        <v>7</v>
      </c>
      <c r="J63" s="265" t="s">
        <v>15</v>
      </c>
      <c r="K63" s="270"/>
    </row>
    <row r="64" spans="6:11" x14ac:dyDescent="0.3">
      <c r="F64" s="269">
        <f>ROW()-ROW(APORTACIONESOCIOS[[#Headers],[SECUENCIA]])</f>
        <v>60</v>
      </c>
      <c r="G64" s="176">
        <v>44910</v>
      </c>
      <c r="H64" s="3">
        <v>10</v>
      </c>
      <c r="I64" s="284">
        <v>8</v>
      </c>
      <c r="J64" s="265" t="s">
        <v>16</v>
      </c>
      <c r="K64" s="270"/>
    </row>
    <row r="65" spans="6:11" x14ac:dyDescent="0.3">
      <c r="F65" s="269">
        <f>ROW()-ROW(APORTACIONESOCIOS[[#Headers],[SECUENCIA]])</f>
        <v>61</v>
      </c>
      <c r="G65" s="176">
        <v>44910</v>
      </c>
      <c r="H65" s="3">
        <v>10</v>
      </c>
      <c r="I65" s="284">
        <v>9</v>
      </c>
      <c r="J65" s="265" t="s">
        <v>17</v>
      </c>
      <c r="K65" s="270"/>
    </row>
    <row r="66" spans="6:11" x14ac:dyDescent="0.3">
      <c r="F66" s="269">
        <f>ROW()-ROW(APORTACIONESOCIOS[[#Headers],[SECUENCIA]])</f>
        <v>62</v>
      </c>
      <c r="G66" s="176">
        <v>44910</v>
      </c>
      <c r="H66" s="3">
        <v>10</v>
      </c>
      <c r="I66" s="284">
        <v>10</v>
      </c>
      <c r="J66" s="265" t="s">
        <v>18</v>
      </c>
      <c r="K66" s="270"/>
    </row>
    <row r="67" spans="6:11" x14ac:dyDescent="0.3">
      <c r="F67" s="269">
        <f>ROW()-ROW(APORTACIONESOCIOS[[#Headers],[SECUENCIA]])</f>
        <v>63</v>
      </c>
      <c r="G67" s="176">
        <v>44910</v>
      </c>
      <c r="H67" s="3">
        <v>10</v>
      </c>
      <c r="I67" s="284">
        <v>11</v>
      </c>
      <c r="J67" s="265" t="s">
        <v>19</v>
      </c>
      <c r="K67" s="270"/>
    </row>
    <row r="68" spans="6:11" x14ac:dyDescent="0.3">
      <c r="F68" s="269">
        <f>ROW()-ROW(APORTACIONESOCIOS[[#Headers],[SECUENCIA]])</f>
        <v>64</v>
      </c>
      <c r="G68" s="176">
        <v>44910</v>
      </c>
      <c r="H68" s="3">
        <v>10</v>
      </c>
      <c r="I68" s="284">
        <v>12</v>
      </c>
      <c r="J68" s="265" t="s">
        <v>20</v>
      </c>
      <c r="K68" s="270"/>
    </row>
    <row r="69" spans="6:11" x14ac:dyDescent="0.3">
      <c r="F69" s="269">
        <f>ROW()-ROW(APORTACIONESOCIOS[[#Headers],[SECUENCIA]])</f>
        <v>65</v>
      </c>
      <c r="G69" s="176">
        <v>44910</v>
      </c>
      <c r="H69" s="3">
        <v>10</v>
      </c>
      <c r="I69" s="284">
        <v>14</v>
      </c>
      <c r="J69" s="265" t="s">
        <v>21</v>
      </c>
      <c r="K69" s="270"/>
    </row>
    <row r="70" spans="6:11" x14ac:dyDescent="0.3">
      <c r="F70" s="269">
        <f>ROW()-ROW(APORTACIONESOCIOS[[#Headers],[SECUENCIA]])</f>
        <v>66</v>
      </c>
      <c r="G70" s="176">
        <v>44910</v>
      </c>
      <c r="H70" s="3">
        <v>10</v>
      </c>
      <c r="I70" s="284">
        <v>15</v>
      </c>
      <c r="J70" s="265" t="s">
        <v>22</v>
      </c>
      <c r="K70" s="270"/>
    </row>
    <row r="71" spans="6:11" x14ac:dyDescent="0.3">
      <c r="F71" s="269">
        <f>ROW()-ROW(APORTACIONESOCIOS[[#Headers],[SECUENCIA]])</f>
        <v>67</v>
      </c>
      <c r="G71" s="176">
        <v>44910</v>
      </c>
      <c r="H71" s="3">
        <v>10</v>
      </c>
      <c r="I71" s="284">
        <v>16</v>
      </c>
      <c r="J71" s="265" t="s">
        <v>23</v>
      </c>
      <c r="K71" s="270"/>
    </row>
    <row r="72" spans="6:11" x14ac:dyDescent="0.3">
      <c r="F72" s="271">
        <f>ROW()-ROW(APORTACIONESOCIOS[[#Headers],[SECUENCIA]])</f>
        <v>68</v>
      </c>
      <c r="G72" s="189">
        <v>44941</v>
      </c>
      <c r="H72" s="3">
        <v>10</v>
      </c>
      <c r="I72" s="284">
        <v>3</v>
      </c>
      <c r="J72" s="265" t="s">
        <v>13</v>
      </c>
      <c r="K72" s="273"/>
    </row>
    <row r="73" spans="6:11" x14ac:dyDescent="0.3">
      <c r="F73" s="269">
        <f>ROW()-ROW(APORTACIONESOCIOS[[#Headers],[SECUENCIA]])</f>
        <v>69</v>
      </c>
      <c r="G73" s="176">
        <v>44941</v>
      </c>
      <c r="H73" s="3">
        <v>10</v>
      </c>
      <c r="I73" s="284">
        <v>4</v>
      </c>
      <c r="J73" s="265" t="s">
        <v>12</v>
      </c>
      <c r="K73" s="270"/>
    </row>
    <row r="74" spans="6:11" x14ac:dyDescent="0.3">
      <c r="F74" s="269">
        <f>ROW()-ROW(APORTACIONESOCIOS[[#Headers],[SECUENCIA]])</f>
        <v>70</v>
      </c>
      <c r="G74" s="176">
        <v>44941</v>
      </c>
      <c r="H74" s="3">
        <v>10</v>
      </c>
      <c r="I74" s="284">
        <v>5</v>
      </c>
      <c r="J74" s="265" t="s">
        <v>14</v>
      </c>
      <c r="K74" s="270"/>
    </row>
    <row r="75" spans="6:11" x14ac:dyDescent="0.3">
      <c r="F75" s="269">
        <f>ROW()-ROW(APORTACIONESOCIOS[[#Headers],[SECUENCIA]])</f>
        <v>71</v>
      </c>
      <c r="G75" s="176">
        <v>44941</v>
      </c>
      <c r="H75" s="3">
        <v>10</v>
      </c>
      <c r="I75" s="284">
        <v>6</v>
      </c>
      <c r="J75" s="265" t="s">
        <v>24</v>
      </c>
      <c r="K75" s="270"/>
    </row>
    <row r="76" spans="6:11" x14ac:dyDescent="0.3">
      <c r="F76" s="269">
        <f>ROW()-ROW(APORTACIONESOCIOS[[#Headers],[SECUENCIA]])</f>
        <v>72</v>
      </c>
      <c r="G76" s="176">
        <v>44941</v>
      </c>
      <c r="H76" s="3">
        <v>10</v>
      </c>
      <c r="I76" s="284">
        <v>7</v>
      </c>
      <c r="J76" s="265" t="s">
        <v>15</v>
      </c>
      <c r="K76" s="270"/>
    </row>
    <row r="77" spans="6:11" x14ac:dyDescent="0.3">
      <c r="F77" s="269">
        <f>ROW()-ROW(APORTACIONESOCIOS[[#Headers],[SECUENCIA]])</f>
        <v>73</v>
      </c>
      <c r="G77" s="176">
        <v>44941</v>
      </c>
      <c r="H77" s="3">
        <v>10</v>
      </c>
      <c r="I77" s="284">
        <v>8</v>
      </c>
      <c r="J77" s="265" t="s">
        <v>16</v>
      </c>
      <c r="K77" s="270"/>
    </row>
    <row r="78" spans="6:11" x14ac:dyDescent="0.3">
      <c r="F78" s="269">
        <f>ROW()-ROW(APORTACIONESOCIOS[[#Headers],[SECUENCIA]])</f>
        <v>74</v>
      </c>
      <c r="G78" s="176">
        <v>44941</v>
      </c>
      <c r="H78" s="3">
        <v>10</v>
      </c>
      <c r="I78" s="284">
        <v>9</v>
      </c>
      <c r="J78" s="265" t="s">
        <v>17</v>
      </c>
      <c r="K78" s="270"/>
    </row>
    <row r="79" spans="6:11" x14ac:dyDescent="0.3">
      <c r="F79" s="269">
        <f>ROW()-ROW(APORTACIONESOCIOS[[#Headers],[SECUENCIA]])</f>
        <v>75</v>
      </c>
      <c r="G79" s="176">
        <v>44941</v>
      </c>
      <c r="H79" s="3">
        <v>10</v>
      </c>
      <c r="I79" s="284">
        <v>10</v>
      </c>
      <c r="J79" s="265" t="s">
        <v>18</v>
      </c>
      <c r="K79" s="270"/>
    </row>
    <row r="80" spans="6:11" x14ac:dyDescent="0.3">
      <c r="F80" s="269">
        <f>ROW()-ROW(APORTACIONESOCIOS[[#Headers],[SECUENCIA]])</f>
        <v>76</v>
      </c>
      <c r="G80" s="176">
        <v>44941</v>
      </c>
      <c r="H80" s="3">
        <v>10</v>
      </c>
      <c r="I80" s="284">
        <v>11</v>
      </c>
      <c r="J80" s="265" t="s">
        <v>19</v>
      </c>
      <c r="K80" s="270"/>
    </row>
    <row r="81" spans="6:11" x14ac:dyDescent="0.3">
      <c r="F81" s="269">
        <f>ROW()-ROW(APORTACIONESOCIOS[[#Headers],[SECUENCIA]])</f>
        <v>77</v>
      </c>
      <c r="G81" s="176">
        <v>44941</v>
      </c>
      <c r="H81" s="3">
        <v>10</v>
      </c>
      <c r="I81" s="284">
        <v>12</v>
      </c>
      <c r="J81" s="265" t="s">
        <v>20</v>
      </c>
      <c r="K81" s="270"/>
    </row>
    <row r="82" spans="6:11" x14ac:dyDescent="0.3">
      <c r="F82" s="269">
        <f>ROW()-ROW(APORTACIONESOCIOS[[#Headers],[SECUENCIA]])</f>
        <v>78</v>
      </c>
      <c r="G82" s="176">
        <v>44941</v>
      </c>
      <c r="H82" s="3">
        <v>10</v>
      </c>
      <c r="I82" s="284">
        <v>14</v>
      </c>
      <c r="J82" s="265" t="s">
        <v>21</v>
      </c>
      <c r="K82" s="270"/>
    </row>
    <row r="83" spans="6:11" x14ac:dyDescent="0.3">
      <c r="F83" s="269">
        <f>ROW()-ROW(APORTACIONESOCIOS[[#Headers],[SECUENCIA]])</f>
        <v>79</v>
      </c>
      <c r="G83" s="176">
        <v>44941</v>
      </c>
      <c r="H83" s="3">
        <v>10</v>
      </c>
      <c r="I83" s="284">
        <v>15</v>
      </c>
      <c r="J83" s="265" t="s">
        <v>22</v>
      </c>
      <c r="K83" s="270"/>
    </row>
    <row r="84" spans="6:11" x14ac:dyDescent="0.3">
      <c r="F84" s="269">
        <f>ROW()-ROW(APORTACIONESOCIOS[[#Headers],[SECUENCIA]])</f>
        <v>80</v>
      </c>
      <c r="G84" s="176">
        <v>44941</v>
      </c>
      <c r="H84" s="3">
        <v>10</v>
      </c>
      <c r="I84" s="284">
        <v>16</v>
      </c>
      <c r="J84" s="265" t="s">
        <v>23</v>
      </c>
      <c r="K84" s="270"/>
    </row>
    <row r="85" spans="6:11" x14ac:dyDescent="0.3">
      <c r="F85" s="271">
        <f>ROW()-ROW(APORTACIONESOCIOS[[#Headers],[SECUENCIA]])</f>
        <v>81</v>
      </c>
      <c r="G85" s="189">
        <v>44972</v>
      </c>
      <c r="H85" s="3">
        <v>10</v>
      </c>
      <c r="I85" s="284">
        <v>3</v>
      </c>
      <c r="J85" s="265" t="s">
        <v>13</v>
      </c>
      <c r="K85" s="273"/>
    </row>
    <row r="86" spans="6:11" x14ac:dyDescent="0.3">
      <c r="F86" s="269">
        <f>ROW()-ROW(APORTACIONESOCIOS[[#Headers],[SECUENCIA]])</f>
        <v>82</v>
      </c>
      <c r="G86" s="176">
        <v>44972</v>
      </c>
      <c r="H86" s="3">
        <v>10</v>
      </c>
      <c r="I86" s="284">
        <v>4</v>
      </c>
      <c r="J86" s="265" t="s">
        <v>12</v>
      </c>
      <c r="K86" s="270"/>
    </row>
    <row r="87" spans="6:11" x14ac:dyDescent="0.3">
      <c r="F87" s="269">
        <f>ROW()-ROW(APORTACIONESOCIOS[[#Headers],[SECUENCIA]])</f>
        <v>83</v>
      </c>
      <c r="G87" s="176">
        <v>44972</v>
      </c>
      <c r="H87" s="3">
        <v>10</v>
      </c>
      <c r="I87" s="284">
        <v>5</v>
      </c>
      <c r="J87" s="265" t="s">
        <v>14</v>
      </c>
      <c r="K87" s="270"/>
    </row>
    <row r="88" spans="6:11" x14ac:dyDescent="0.3">
      <c r="F88" s="269">
        <f>ROW()-ROW(APORTACIONESOCIOS[[#Headers],[SECUENCIA]])</f>
        <v>84</v>
      </c>
      <c r="G88" s="176">
        <v>44972</v>
      </c>
      <c r="H88" s="3">
        <v>10</v>
      </c>
      <c r="I88" s="284">
        <v>6</v>
      </c>
      <c r="J88" s="265" t="s">
        <v>24</v>
      </c>
      <c r="K88" s="270"/>
    </row>
    <row r="89" spans="6:11" x14ac:dyDescent="0.3">
      <c r="F89" s="269">
        <f>ROW()-ROW(APORTACIONESOCIOS[[#Headers],[SECUENCIA]])</f>
        <v>85</v>
      </c>
      <c r="G89" s="176">
        <v>44972</v>
      </c>
      <c r="H89" s="3">
        <v>10</v>
      </c>
      <c r="I89" s="284">
        <v>7</v>
      </c>
      <c r="J89" s="265" t="s">
        <v>15</v>
      </c>
      <c r="K89" s="270"/>
    </row>
    <row r="90" spans="6:11" x14ac:dyDescent="0.3">
      <c r="F90" s="269">
        <f>ROW()-ROW(APORTACIONESOCIOS[[#Headers],[SECUENCIA]])</f>
        <v>86</v>
      </c>
      <c r="G90" s="176">
        <v>44972</v>
      </c>
      <c r="H90" s="3">
        <v>10</v>
      </c>
      <c r="I90" s="284">
        <v>8</v>
      </c>
      <c r="J90" s="265" t="s">
        <v>16</v>
      </c>
      <c r="K90" s="270"/>
    </row>
    <row r="91" spans="6:11" x14ac:dyDescent="0.3">
      <c r="F91" s="269">
        <f>ROW()-ROW(APORTACIONESOCIOS[[#Headers],[SECUENCIA]])</f>
        <v>87</v>
      </c>
      <c r="G91" s="176">
        <v>44972</v>
      </c>
      <c r="H91" s="3">
        <v>10</v>
      </c>
      <c r="I91" s="284">
        <v>9</v>
      </c>
      <c r="J91" s="265" t="s">
        <v>17</v>
      </c>
      <c r="K91" s="270"/>
    </row>
    <row r="92" spans="6:11" x14ac:dyDescent="0.3">
      <c r="F92" s="269">
        <f>ROW()-ROW(APORTACIONESOCIOS[[#Headers],[SECUENCIA]])</f>
        <v>88</v>
      </c>
      <c r="G92" s="176">
        <v>44972</v>
      </c>
      <c r="H92" s="3">
        <v>10</v>
      </c>
      <c r="I92" s="284">
        <v>10</v>
      </c>
      <c r="J92" s="265" t="s">
        <v>18</v>
      </c>
      <c r="K92" s="270"/>
    </row>
    <row r="93" spans="6:11" x14ac:dyDescent="0.3">
      <c r="F93" s="269">
        <f>ROW()-ROW(APORTACIONESOCIOS[[#Headers],[SECUENCIA]])</f>
        <v>89</v>
      </c>
      <c r="G93" s="176">
        <v>44972</v>
      </c>
      <c r="H93" s="3">
        <v>10</v>
      </c>
      <c r="I93" s="284">
        <v>11</v>
      </c>
      <c r="J93" s="265" t="s">
        <v>19</v>
      </c>
      <c r="K93" s="270"/>
    </row>
    <row r="94" spans="6:11" x14ac:dyDescent="0.3">
      <c r="F94" s="269">
        <f>ROW()-ROW(APORTACIONESOCIOS[[#Headers],[SECUENCIA]])</f>
        <v>90</v>
      </c>
      <c r="G94" s="176">
        <v>44972</v>
      </c>
      <c r="H94" s="3">
        <v>10</v>
      </c>
      <c r="I94" s="284">
        <v>12</v>
      </c>
      <c r="J94" s="265" t="s">
        <v>20</v>
      </c>
      <c r="K94" s="270"/>
    </row>
    <row r="95" spans="6:11" x14ac:dyDescent="0.3">
      <c r="F95" s="269">
        <f>ROW()-ROW(APORTACIONESOCIOS[[#Headers],[SECUENCIA]])</f>
        <v>91</v>
      </c>
      <c r="G95" s="176">
        <v>44972</v>
      </c>
      <c r="H95" s="3">
        <v>10</v>
      </c>
      <c r="I95" s="284">
        <v>14</v>
      </c>
      <c r="J95" s="265" t="s">
        <v>21</v>
      </c>
      <c r="K95" s="270"/>
    </row>
    <row r="96" spans="6:11" x14ac:dyDescent="0.3">
      <c r="F96" s="269">
        <f>ROW()-ROW(APORTACIONESOCIOS[[#Headers],[SECUENCIA]])</f>
        <v>92</v>
      </c>
      <c r="G96" s="176">
        <v>44972</v>
      </c>
      <c r="H96" s="3">
        <v>10</v>
      </c>
      <c r="I96" s="284">
        <v>15</v>
      </c>
      <c r="J96" s="265" t="s">
        <v>22</v>
      </c>
      <c r="K96" s="270"/>
    </row>
    <row r="97" spans="6:11" x14ac:dyDescent="0.3">
      <c r="F97" s="269">
        <f>ROW()-ROW(APORTACIONESOCIOS[[#Headers],[SECUENCIA]])</f>
        <v>93</v>
      </c>
      <c r="G97" s="176">
        <v>44972</v>
      </c>
      <c r="H97" s="3">
        <v>10</v>
      </c>
      <c r="I97" s="284">
        <v>16</v>
      </c>
      <c r="J97" s="265" t="s">
        <v>23</v>
      </c>
      <c r="K97" s="270"/>
    </row>
    <row r="98" spans="6:11" x14ac:dyDescent="0.3">
      <c r="F98" s="271">
        <f>ROW()-ROW(APORTACIONESOCIOS[[#Headers],[SECUENCIA]])</f>
        <v>94</v>
      </c>
      <c r="G98" s="189">
        <v>45000</v>
      </c>
      <c r="H98" s="3">
        <v>10</v>
      </c>
      <c r="I98" s="284">
        <v>3</v>
      </c>
      <c r="J98" s="265" t="s">
        <v>13</v>
      </c>
      <c r="K98" s="273"/>
    </row>
    <row r="99" spans="6:11" x14ac:dyDescent="0.3">
      <c r="F99" s="269">
        <f>ROW()-ROW(APORTACIONESOCIOS[[#Headers],[SECUENCIA]])</f>
        <v>95</v>
      </c>
      <c r="G99" s="176">
        <v>45000</v>
      </c>
      <c r="H99" s="3">
        <v>10</v>
      </c>
      <c r="I99" s="284">
        <v>4</v>
      </c>
      <c r="J99" s="265" t="s">
        <v>12</v>
      </c>
      <c r="K99" s="270"/>
    </row>
    <row r="100" spans="6:11" x14ac:dyDescent="0.3">
      <c r="F100" s="269">
        <f>ROW()-ROW(APORTACIONESOCIOS[[#Headers],[SECUENCIA]])</f>
        <v>96</v>
      </c>
      <c r="G100" s="176">
        <v>45000</v>
      </c>
      <c r="H100" s="3">
        <v>10</v>
      </c>
      <c r="I100" s="284">
        <v>5</v>
      </c>
      <c r="J100" s="265" t="s">
        <v>14</v>
      </c>
      <c r="K100" s="270"/>
    </row>
    <row r="101" spans="6:11" x14ac:dyDescent="0.3">
      <c r="F101" s="269">
        <f>ROW()-ROW(APORTACIONESOCIOS[[#Headers],[SECUENCIA]])</f>
        <v>97</v>
      </c>
      <c r="G101" s="176">
        <v>45000</v>
      </c>
      <c r="H101" s="3">
        <v>10</v>
      </c>
      <c r="I101" s="284">
        <v>6</v>
      </c>
      <c r="J101" s="265" t="s">
        <v>24</v>
      </c>
      <c r="K101" s="270"/>
    </row>
    <row r="102" spans="6:11" x14ac:dyDescent="0.3">
      <c r="F102" s="269">
        <f>ROW()-ROW(APORTACIONESOCIOS[[#Headers],[SECUENCIA]])</f>
        <v>98</v>
      </c>
      <c r="G102" s="176">
        <v>45000</v>
      </c>
      <c r="H102" s="3">
        <v>10</v>
      </c>
      <c r="I102" s="284">
        <v>7</v>
      </c>
      <c r="J102" s="265" t="s">
        <v>15</v>
      </c>
      <c r="K102" s="270"/>
    </row>
    <row r="103" spans="6:11" x14ac:dyDescent="0.3">
      <c r="F103" s="269">
        <f>ROW()-ROW(APORTACIONESOCIOS[[#Headers],[SECUENCIA]])</f>
        <v>99</v>
      </c>
      <c r="G103" s="176">
        <v>45000</v>
      </c>
      <c r="H103" s="3">
        <v>10</v>
      </c>
      <c r="I103" s="284">
        <v>8</v>
      </c>
      <c r="J103" s="265" t="s">
        <v>16</v>
      </c>
      <c r="K103" s="270"/>
    </row>
    <row r="104" spans="6:11" x14ac:dyDescent="0.3">
      <c r="F104" s="269">
        <f>ROW()-ROW(APORTACIONESOCIOS[[#Headers],[SECUENCIA]])</f>
        <v>100</v>
      </c>
      <c r="G104" s="176">
        <v>45000</v>
      </c>
      <c r="H104" s="3">
        <v>10</v>
      </c>
      <c r="I104" s="284">
        <v>9</v>
      </c>
      <c r="J104" s="265" t="s">
        <v>17</v>
      </c>
      <c r="K104" s="270"/>
    </row>
    <row r="105" spans="6:11" x14ac:dyDescent="0.3">
      <c r="F105" s="269">
        <f>ROW()-ROW(APORTACIONESOCIOS[[#Headers],[SECUENCIA]])</f>
        <v>101</v>
      </c>
      <c r="G105" s="176">
        <v>45000</v>
      </c>
      <c r="H105" s="3">
        <v>10</v>
      </c>
      <c r="I105" s="284">
        <v>10</v>
      </c>
      <c r="J105" s="265" t="s">
        <v>18</v>
      </c>
      <c r="K105" s="270"/>
    </row>
    <row r="106" spans="6:11" x14ac:dyDescent="0.3">
      <c r="F106" s="269">
        <f>ROW()-ROW(APORTACIONESOCIOS[[#Headers],[SECUENCIA]])</f>
        <v>102</v>
      </c>
      <c r="G106" s="176">
        <v>45000</v>
      </c>
      <c r="H106" s="3">
        <v>10</v>
      </c>
      <c r="I106" s="284">
        <v>11</v>
      </c>
      <c r="J106" s="265" t="s">
        <v>19</v>
      </c>
      <c r="K106" s="270"/>
    </row>
    <row r="107" spans="6:11" x14ac:dyDescent="0.3">
      <c r="F107" s="269">
        <f>ROW()-ROW(APORTACIONESOCIOS[[#Headers],[SECUENCIA]])</f>
        <v>103</v>
      </c>
      <c r="G107" s="176">
        <v>45000</v>
      </c>
      <c r="H107" s="3">
        <v>10</v>
      </c>
      <c r="I107" s="284">
        <v>12</v>
      </c>
      <c r="J107" s="265" t="s">
        <v>20</v>
      </c>
      <c r="K107" s="270"/>
    </row>
    <row r="108" spans="6:11" x14ac:dyDescent="0.3">
      <c r="F108" s="269">
        <f>ROW()-ROW(APORTACIONESOCIOS[[#Headers],[SECUENCIA]])</f>
        <v>104</v>
      </c>
      <c r="G108" s="176">
        <v>45000</v>
      </c>
      <c r="H108" s="3">
        <v>10</v>
      </c>
      <c r="I108" s="284">
        <v>14</v>
      </c>
      <c r="J108" s="265" t="s">
        <v>21</v>
      </c>
      <c r="K108" s="270"/>
    </row>
    <row r="109" spans="6:11" x14ac:dyDescent="0.3">
      <c r="F109" s="269">
        <f>ROW()-ROW(APORTACIONESOCIOS[[#Headers],[SECUENCIA]])</f>
        <v>105</v>
      </c>
      <c r="G109" s="176">
        <v>45000</v>
      </c>
      <c r="H109" s="3">
        <v>10</v>
      </c>
      <c r="I109" s="284">
        <v>15</v>
      </c>
      <c r="J109" s="265" t="s">
        <v>22</v>
      </c>
      <c r="K109" s="270"/>
    </row>
    <row r="110" spans="6:11" x14ac:dyDescent="0.3">
      <c r="F110" s="269">
        <f>ROW()-ROW(APORTACIONESOCIOS[[#Headers],[SECUENCIA]])</f>
        <v>106</v>
      </c>
      <c r="G110" s="176">
        <v>45000</v>
      </c>
      <c r="H110" s="3">
        <v>10</v>
      </c>
      <c r="I110" s="284">
        <v>16</v>
      </c>
      <c r="J110" s="265" t="s">
        <v>23</v>
      </c>
      <c r="K110" s="270"/>
    </row>
    <row r="111" spans="6:11" x14ac:dyDescent="0.3">
      <c r="F111" s="271">
        <f>ROW()-ROW(APORTACIONESOCIOS[[#Headers],[SECUENCIA]])</f>
        <v>107</v>
      </c>
      <c r="G111" s="189">
        <v>45031</v>
      </c>
      <c r="H111" s="3">
        <v>10</v>
      </c>
      <c r="I111" s="284">
        <v>3</v>
      </c>
      <c r="J111" s="265" t="s">
        <v>13</v>
      </c>
      <c r="K111" s="273"/>
    </row>
    <row r="112" spans="6:11" x14ac:dyDescent="0.3">
      <c r="F112" s="271">
        <f>ROW()-ROW(APORTACIONESOCIOS[[#Headers],[SECUENCIA]])</f>
        <v>108</v>
      </c>
      <c r="G112" s="176">
        <v>45031</v>
      </c>
      <c r="H112" s="3">
        <v>10</v>
      </c>
      <c r="I112" s="284">
        <v>4</v>
      </c>
      <c r="J112" s="265" t="s">
        <v>12</v>
      </c>
      <c r="K112" s="273"/>
    </row>
    <row r="113" spans="6:11" x14ac:dyDescent="0.3">
      <c r="F113" s="269">
        <f>ROW()-ROW(APORTACIONESOCIOS[[#Headers],[SECUENCIA]])</f>
        <v>109</v>
      </c>
      <c r="G113" s="176">
        <v>45031</v>
      </c>
      <c r="H113" s="3">
        <v>10</v>
      </c>
      <c r="I113" s="284">
        <v>5</v>
      </c>
      <c r="J113" s="265" t="s">
        <v>14</v>
      </c>
      <c r="K113" s="270"/>
    </row>
    <row r="114" spans="6:11" x14ac:dyDescent="0.3">
      <c r="F114" s="269">
        <f>ROW()-ROW(APORTACIONESOCIOS[[#Headers],[SECUENCIA]])</f>
        <v>110</v>
      </c>
      <c r="G114" s="176">
        <v>45031</v>
      </c>
      <c r="H114" s="3">
        <v>10</v>
      </c>
      <c r="I114" s="284">
        <v>6</v>
      </c>
      <c r="J114" s="265" t="s">
        <v>24</v>
      </c>
      <c r="K114" s="270"/>
    </row>
    <row r="115" spans="6:11" x14ac:dyDescent="0.3">
      <c r="F115" s="269">
        <f>ROW()-ROW(APORTACIONESOCIOS[[#Headers],[SECUENCIA]])</f>
        <v>111</v>
      </c>
      <c r="G115" s="176">
        <v>45031</v>
      </c>
      <c r="H115" s="3">
        <v>10</v>
      </c>
      <c r="I115" s="284">
        <v>7</v>
      </c>
      <c r="J115" s="265" t="s">
        <v>15</v>
      </c>
      <c r="K115" s="270"/>
    </row>
    <row r="116" spans="6:11" x14ac:dyDescent="0.3">
      <c r="F116" s="269">
        <f>ROW()-ROW(APORTACIONESOCIOS[[#Headers],[SECUENCIA]])</f>
        <v>112</v>
      </c>
      <c r="G116" s="176">
        <v>45031</v>
      </c>
      <c r="H116" s="3">
        <v>10</v>
      </c>
      <c r="I116" s="284">
        <v>8</v>
      </c>
      <c r="J116" s="265" t="s">
        <v>16</v>
      </c>
      <c r="K116" s="270"/>
    </row>
    <row r="117" spans="6:11" x14ac:dyDescent="0.3">
      <c r="F117" s="269">
        <f>ROW()-ROW(APORTACIONESOCIOS[[#Headers],[SECUENCIA]])</f>
        <v>113</v>
      </c>
      <c r="G117" s="176">
        <v>45031</v>
      </c>
      <c r="H117" s="3">
        <v>10</v>
      </c>
      <c r="I117" s="284">
        <v>9</v>
      </c>
      <c r="J117" s="265" t="s">
        <v>17</v>
      </c>
      <c r="K117" s="270"/>
    </row>
    <row r="118" spans="6:11" x14ac:dyDescent="0.3">
      <c r="F118" s="269">
        <f>ROW()-ROW(APORTACIONESOCIOS[[#Headers],[SECUENCIA]])</f>
        <v>114</v>
      </c>
      <c r="G118" s="176">
        <v>45031</v>
      </c>
      <c r="H118" s="3">
        <v>10</v>
      </c>
      <c r="I118" s="284">
        <v>10</v>
      </c>
      <c r="J118" s="265" t="s">
        <v>18</v>
      </c>
      <c r="K118" s="270"/>
    </row>
    <row r="119" spans="6:11" x14ac:dyDescent="0.3">
      <c r="F119" s="269">
        <f>ROW()-ROW(APORTACIONESOCIOS[[#Headers],[SECUENCIA]])</f>
        <v>115</v>
      </c>
      <c r="G119" s="176">
        <v>45031</v>
      </c>
      <c r="H119" s="3">
        <v>10</v>
      </c>
      <c r="I119" s="284">
        <v>11</v>
      </c>
      <c r="J119" s="265" t="s">
        <v>19</v>
      </c>
      <c r="K119" s="270"/>
    </row>
    <row r="120" spans="6:11" x14ac:dyDescent="0.3">
      <c r="F120" s="269">
        <f>ROW()-ROW(APORTACIONESOCIOS[[#Headers],[SECUENCIA]])</f>
        <v>116</v>
      </c>
      <c r="G120" s="176">
        <v>45031</v>
      </c>
      <c r="H120" s="3">
        <v>10</v>
      </c>
      <c r="I120" s="284">
        <v>12</v>
      </c>
      <c r="J120" s="265" t="s">
        <v>20</v>
      </c>
      <c r="K120" s="270"/>
    </row>
    <row r="121" spans="6:11" x14ac:dyDescent="0.3">
      <c r="F121" s="269">
        <f>ROW()-ROW(APORTACIONESOCIOS[[#Headers],[SECUENCIA]])</f>
        <v>117</v>
      </c>
      <c r="G121" s="176">
        <v>45031</v>
      </c>
      <c r="H121" s="3">
        <v>10</v>
      </c>
      <c r="I121" s="284">
        <v>14</v>
      </c>
      <c r="J121" s="265" t="s">
        <v>21</v>
      </c>
      <c r="K121" s="270"/>
    </row>
    <row r="122" spans="6:11" x14ac:dyDescent="0.3">
      <c r="F122" s="269">
        <f>ROW()-ROW(APORTACIONESOCIOS[[#Headers],[SECUENCIA]])</f>
        <v>118</v>
      </c>
      <c r="G122" s="176">
        <v>45031</v>
      </c>
      <c r="H122" s="3">
        <v>10</v>
      </c>
      <c r="I122" s="284">
        <v>15</v>
      </c>
      <c r="J122" s="265" t="s">
        <v>22</v>
      </c>
      <c r="K122" s="270"/>
    </row>
    <row r="123" spans="6:11" x14ac:dyDescent="0.3">
      <c r="F123" s="269">
        <f>ROW()-ROW(APORTACIONESOCIOS[[#Headers],[SECUENCIA]])</f>
        <v>119</v>
      </c>
      <c r="G123" s="176">
        <v>45031</v>
      </c>
      <c r="H123" s="3">
        <v>10</v>
      </c>
      <c r="I123" s="284">
        <v>16</v>
      </c>
      <c r="J123" s="265" t="s">
        <v>23</v>
      </c>
      <c r="K123" s="270"/>
    </row>
    <row r="124" spans="6:11" x14ac:dyDescent="0.3">
      <c r="F124" s="269">
        <f>ROW()-ROW(APORTACIONESOCIOS[[#Headers],[SECUENCIA]])</f>
        <v>120</v>
      </c>
      <c r="G124" s="189">
        <v>45061</v>
      </c>
      <c r="H124" s="3">
        <v>10</v>
      </c>
      <c r="I124" s="284">
        <v>3</v>
      </c>
      <c r="J124" s="265" t="s">
        <v>13</v>
      </c>
      <c r="K124" s="270"/>
    </row>
    <row r="125" spans="6:11" x14ac:dyDescent="0.3">
      <c r="F125" s="271">
        <f>ROW()-ROW(APORTACIONESOCIOS[[#Headers],[SECUENCIA]])</f>
        <v>121</v>
      </c>
      <c r="G125" s="176">
        <v>45061</v>
      </c>
      <c r="H125" s="3">
        <v>10</v>
      </c>
      <c r="I125" s="284">
        <v>4</v>
      </c>
      <c r="J125" s="265" t="s">
        <v>12</v>
      </c>
      <c r="K125" s="273"/>
    </row>
    <row r="126" spans="6:11" x14ac:dyDescent="0.3">
      <c r="F126" s="269">
        <f>ROW()-ROW(APORTACIONESOCIOS[[#Headers],[SECUENCIA]])</f>
        <v>122</v>
      </c>
      <c r="G126" s="176">
        <v>45061</v>
      </c>
      <c r="H126" s="3">
        <v>10</v>
      </c>
      <c r="I126" s="284">
        <v>5</v>
      </c>
      <c r="J126" s="265" t="s">
        <v>14</v>
      </c>
      <c r="K126" s="270"/>
    </row>
    <row r="127" spans="6:11" x14ac:dyDescent="0.3">
      <c r="F127" s="269">
        <f>ROW()-ROW(APORTACIONESOCIOS[[#Headers],[SECUENCIA]])</f>
        <v>123</v>
      </c>
      <c r="G127" s="176">
        <v>45061</v>
      </c>
      <c r="H127" s="3">
        <v>10</v>
      </c>
      <c r="I127" s="284">
        <v>6</v>
      </c>
      <c r="J127" s="265" t="s">
        <v>24</v>
      </c>
      <c r="K127" s="270"/>
    </row>
    <row r="128" spans="6:11" x14ac:dyDescent="0.3">
      <c r="F128" s="269">
        <f>ROW()-ROW(APORTACIONESOCIOS[[#Headers],[SECUENCIA]])</f>
        <v>124</v>
      </c>
      <c r="G128" s="176">
        <v>45061</v>
      </c>
      <c r="H128" s="3">
        <v>10</v>
      </c>
      <c r="I128" s="284">
        <v>7</v>
      </c>
      <c r="J128" s="265" t="s">
        <v>15</v>
      </c>
      <c r="K128" s="270"/>
    </row>
    <row r="129" spans="6:11" x14ac:dyDescent="0.3">
      <c r="F129" s="269">
        <f>ROW()-ROW(APORTACIONESOCIOS[[#Headers],[SECUENCIA]])</f>
        <v>125</v>
      </c>
      <c r="G129" s="176">
        <v>45061</v>
      </c>
      <c r="H129" s="3">
        <v>10</v>
      </c>
      <c r="I129" s="284">
        <v>8</v>
      </c>
      <c r="J129" s="265" t="s">
        <v>16</v>
      </c>
      <c r="K129" s="270"/>
    </row>
    <row r="130" spans="6:11" x14ac:dyDescent="0.3">
      <c r="F130" s="269">
        <f>ROW()-ROW(APORTACIONESOCIOS[[#Headers],[SECUENCIA]])</f>
        <v>126</v>
      </c>
      <c r="G130" s="176">
        <v>45061</v>
      </c>
      <c r="H130" s="3">
        <v>10</v>
      </c>
      <c r="I130" s="284">
        <v>9</v>
      </c>
      <c r="J130" s="265" t="s">
        <v>17</v>
      </c>
      <c r="K130" s="270"/>
    </row>
    <row r="131" spans="6:11" x14ac:dyDescent="0.3">
      <c r="F131" s="269">
        <f>ROW()-ROW(APORTACIONESOCIOS[[#Headers],[SECUENCIA]])</f>
        <v>127</v>
      </c>
      <c r="G131" s="176">
        <v>45061</v>
      </c>
      <c r="H131" s="3">
        <v>10</v>
      </c>
      <c r="I131" s="284">
        <v>10</v>
      </c>
      <c r="J131" s="265" t="s">
        <v>18</v>
      </c>
      <c r="K131" s="270"/>
    </row>
    <row r="132" spans="6:11" x14ac:dyDescent="0.3">
      <c r="F132" s="269">
        <f>ROW()-ROW(APORTACIONESOCIOS[[#Headers],[SECUENCIA]])</f>
        <v>128</v>
      </c>
      <c r="G132" s="176">
        <v>45061</v>
      </c>
      <c r="H132" s="3">
        <v>10</v>
      </c>
      <c r="I132" s="284">
        <v>11</v>
      </c>
      <c r="J132" s="265" t="s">
        <v>19</v>
      </c>
      <c r="K132" s="270"/>
    </row>
    <row r="133" spans="6:11" x14ac:dyDescent="0.3">
      <c r="F133" s="269">
        <f>ROW()-ROW(APORTACIONESOCIOS[[#Headers],[SECUENCIA]])</f>
        <v>129</v>
      </c>
      <c r="G133" s="176">
        <v>45061</v>
      </c>
      <c r="H133" s="3">
        <v>10</v>
      </c>
      <c r="I133" s="284">
        <v>12</v>
      </c>
      <c r="J133" s="265" t="s">
        <v>20</v>
      </c>
      <c r="K133" s="270"/>
    </row>
    <row r="134" spans="6:11" x14ac:dyDescent="0.3">
      <c r="F134" s="269">
        <f>ROW()-ROW(APORTACIONESOCIOS[[#Headers],[SECUENCIA]])</f>
        <v>130</v>
      </c>
      <c r="G134" s="176">
        <v>45061</v>
      </c>
      <c r="H134" s="3">
        <v>10</v>
      </c>
      <c r="I134" s="284">
        <v>14</v>
      </c>
      <c r="J134" s="265" t="s">
        <v>21</v>
      </c>
      <c r="K134" s="270"/>
    </row>
    <row r="135" spans="6:11" x14ac:dyDescent="0.3">
      <c r="F135" s="269">
        <f>ROW()-ROW(APORTACIONESOCIOS[[#Headers],[SECUENCIA]])</f>
        <v>131</v>
      </c>
      <c r="G135" s="176">
        <v>45061</v>
      </c>
      <c r="H135" s="3">
        <v>10</v>
      </c>
      <c r="I135" s="284">
        <v>15</v>
      </c>
      <c r="J135" s="265" t="s">
        <v>22</v>
      </c>
      <c r="K135" s="270"/>
    </row>
    <row r="136" spans="6:11" x14ac:dyDescent="0.3">
      <c r="F136" s="269">
        <f>ROW()-ROW(APORTACIONESOCIOS[[#Headers],[SECUENCIA]])</f>
        <v>132</v>
      </c>
      <c r="G136" s="176">
        <v>45061</v>
      </c>
      <c r="H136" s="3">
        <v>10</v>
      </c>
      <c r="I136" s="284">
        <v>16</v>
      </c>
      <c r="J136" s="265" t="s">
        <v>23</v>
      </c>
      <c r="K136" s="270"/>
    </row>
    <row r="137" spans="6:11" x14ac:dyDescent="0.3">
      <c r="F137" s="269">
        <f>ROW()-ROW(APORTACIONESOCIOS[[#Headers],[SECUENCIA]])</f>
        <v>133</v>
      </c>
      <c r="G137" s="189">
        <v>45092</v>
      </c>
      <c r="H137" s="3">
        <v>10</v>
      </c>
      <c r="I137" s="284">
        <v>3</v>
      </c>
      <c r="J137" s="265" t="s">
        <v>13</v>
      </c>
      <c r="K137" s="270"/>
    </row>
    <row r="138" spans="6:11" x14ac:dyDescent="0.3">
      <c r="F138" s="271">
        <f>ROW()-ROW(APORTACIONESOCIOS[[#Headers],[SECUENCIA]])</f>
        <v>134</v>
      </c>
      <c r="G138" s="176">
        <v>45092</v>
      </c>
      <c r="H138" s="3">
        <v>10</v>
      </c>
      <c r="I138" s="284">
        <v>4</v>
      </c>
      <c r="J138" s="265" t="s">
        <v>12</v>
      </c>
      <c r="K138" s="273"/>
    </row>
    <row r="139" spans="6:11" x14ac:dyDescent="0.3">
      <c r="F139" s="269">
        <f>ROW()-ROW(APORTACIONESOCIOS[[#Headers],[SECUENCIA]])</f>
        <v>135</v>
      </c>
      <c r="G139" s="176">
        <v>45092</v>
      </c>
      <c r="H139" s="3">
        <v>10</v>
      </c>
      <c r="I139" s="284">
        <v>5</v>
      </c>
      <c r="J139" s="265" t="s">
        <v>14</v>
      </c>
      <c r="K139" s="270"/>
    </row>
    <row r="140" spans="6:11" x14ac:dyDescent="0.3">
      <c r="F140" s="269">
        <f>ROW()-ROW(APORTACIONESOCIOS[[#Headers],[SECUENCIA]])</f>
        <v>136</v>
      </c>
      <c r="G140" s="176">
        <v>45092</v>
      </c>
      <c r="H140" s="3">
        <v>10</v>
      </c>
      <c r="I140" s="284">
        <v>6</v>
      </c>
      <c r="J140" s="265" t="s">
        <v>24</v>
      </c>
      <c r="K140" s="270"/>
    </row>
    <row r="141" spans="6:11" x14ac:dyDescent="0.3">
      <c r="F141" s="269">
        <f>ROW()-ROW(APORTACIONESOCIOS[[#Headers],[SECUENCIA]])</f>
        <v>137</v>
      </c>
      <c r="G141" s="176">
        <v>45092</v>
      </c>
      <c r="H141" s="3">
        <v>10</v>
      </c>
      <c r="I141" s="284">
        <v>7</v>
      </c>
      <c r="J141" s="265" t="s">
        <v>15</v>
      </c>
      <c r="K141" s="270"/>
    </row>
    <row r="142" spans="6:11" x14ac:dyDescent="0.3">
      <c r="F142" s="269">
        <f>ROW()-ROW(APORTACIONESOCIOS[[#Headers],[SECUENCIA]])</f>
        <v>138</v>
      </c>
      <c r="G142" s="176">
        <v>45092</v>
      </c>
      <c r="H142" s="3">
        <v>10</v>
      </c>
      <c r="I142" s="284">
        <v>8</v>
      </c>
      <c r="J142" s="265" t="s">
        <v>16</v>
      </c>
      <c r="K142" s="270"/>
    </row>
    <row r="143" spans="6:11" x14ac:dyDescent="0.3">
      <c r="F143" s="269">
        <f>ROW()-ROW(APORTACIONESOCIOS[[#Headers],[SECUENCIA]])</f>
        <v>139</v>
      </c>
      <c r="G143" s="176">
        <v>45092</v>
      </c>
      <c r="H143" s="3">
        <v>10</v>
      </c>
      <c r="I143" s="284">
        <v>9</v>
      </c>
      <c r="J143" s="265" t="s">
        <v>17</v>
      </c>
      <c r="K143" s="270"/>
    </row>
    <row r="144" spans="6:11" x14ac:dyDescent="0.3">
      <c r="F144" s="269">
        <f>ROW()-ROW(APORTACIONESOCIOS[[#Headers],[SECUENCIA]])</f>
        <v>140</v>
      </c>
      <c r="G144" s="176">
        <v>45092</v>
      </c>
      <c r="H144" s="3">
        <v>10</v>
      </c>
      <c r="I144" s="284">
        <v>10</v>
      </c>
      <c r="J144" s="265" t="s">
        <v>18</v>
      </c>
      <c r="K144" s="270"/>
    </row>
    <row r="145" spans="6:11" x14ac:dyDescent="0.3">
      <c r="F145" s="269">
        <f>ROW()-ROW(APORTACIONESOCIOS[[#Headers],[SECUENCIA]])</f>
        <v>141</v>
      </c>
      <c r="G145" s="176">
        <v>45092</v>
      </c>
      <c r="H145" s="3">
        <v>10</v>
      </c>
      <c r="I145" s="284">
        <v>11</v>
      </c>
      <c r="J145" s="265" t="s">
        <v>19</v>
      </c>
      <c r="K145" s="270"/>
    </row>
    <row r="146" spans="6:11" x14ac:dyDescent="0.3">
      <c r="F146" s="269">
        <f>ROW()-ROW(APORTACIONESOCIOS[[#Headers],[SECUENCIA]])</f>
        <v>142</v>
      </c>
      <c r="G146" s="176">
        <v>45092</v>
      </c>
      <c r="H146" s="3">
        <v>10</v>
      </c>
      <c r="I146" s="284">
        <v>12</v>
      </c>
      <c r="J146" s="265" t="s">
        <v>20</v>
      </c>
      <c r="K146" s="270"/>
    </row>
    <row r="147" spans="6:11" x14ac:dyDescent="0.3">
      <c r="F147" s="269">
        <f>ROW()-ROW(APORTACIONESOCIOS[[#Headers],[SECUENCIA]])</f>
        <v>143</v>
      </c>
      <c r="G147" s="176">
        <v>45092</v>
      </c>
      <c r="H147" s="3">
        <v>10</v>
      </c>
      <c r="I147" s="284">
        <v>14</v>
      </c>
      <c r="J147" s="265" t="s">
        <v>21</v>
      </c>
      <c r="K147" s="270"/>
    </row>
    <row r="148" spans="6:11" x14ac:dyDescent="0.3">
      <c r="F148" s="269">
        <f>ROW()-ROW(APORTACIONESOCIOS[[#Headers],[SECUENCIA]])</f>
        <v>144</v>
      </c>
      <c r="G148" s="176">
        <v>45092</v>
      </c>
      <c r="H148" s="3">
        <v>10</v>
      </c>
      <c r="I148" s="284">
        <v>15</v>
      </c>
      <c r="J148" s="265" t="s">
        <v>22</v>
      </c>
      <c r="K148" s="270"/>
    </row>
    <row r="149" spans="6:11" x14ac:dyDescent="0.3">
      <c r="F149" s="269">
        <f>ROW()-ROW(APORTACIONESOCIOS[[#Headers],[SECUENCIA]])</f>
        <v>145</v>
      </c>
      <c r="G149" s="176">
        <v>45092</v>
      </c>
      <c r="H149" s="3">
        <v>10</v>
      </c>
      <c r="I149" s="284">
        <v>16</v>
      </c>
      <c r="J149" s="265" t="s">
        <v>23</v>
      </c>
      <c r="K149" s="270"/>
    </row>
    <row r="150" spans="6:11" x14ac:dyDescent="0.3">
      <c r="F150" s="269">
        <f>ROW()-ROW(APORTACIONESOCIOS[[#Headers],[SECUENCIA]])</f>
        <v>146</v>
      </c>
      <c r="G150" s="189">
        <v>45122</v>
      </c>
      <c r="H150" s="3">
        <v>10</v>
      </c>
      <c r="I150" s="284">
        <v>3</v>
      </c>
      <c r="J150" s="265" t="s">
        <v>13</v>
      </c>
      <c r="K150" s="270"/>
    </row>
    <row r="151" spans="6:11" x14ac:dyDescent="0.3">
      <c r="F151" s="271">
        <f>ROW()-ROW(APORTACIONESOCIOS[[#Headers],[SECUENCIA]])</f>
        <v>147</v>
      </c>
      <c r="G151" s="176">
        <v>45122</v>
      </c>
      <c r="H151" s="3">
        <v>10</v>
      </c>
      <c r="I151" s="284">
        <v>4</v>
      </c>
      <c r="J151" s="265" t="s">
        <v>12</v>
      </c>
      <c r="K151" s="273"/>
    </row>
    <row r="152" spans="6:11" x14ac:dyDescent="0.3">
      <c r="F152" s="269">
        <f>ROW()-ROW(APORTACIONESOCIOS[[#Headers],[SECUENCIA]])</f>
        <v>148</v>
      </c>
      <c r="G152" s="176">
        <v>45122</v>
      </c>
      <c r="H152" s="3">
        <v>10</v>
      </c>
      <c r="I152" s="284">
        <v>5</v>
      </c>
      <c r="J152" s="265" t="s">
        <v>14</v>
      </c>
      <c r="K152" s="270"/>
    </row>
    <row r="153" spans="6:11" x14ac:dyDescent="0.3">
      <c r="F153" s="269">
        <f>ROW()-ROW(APORTACIONESOCIOS[[#Headers],[SECUENCIA]])</f>
        <v>149</v>
      </c>
      <c r="G153" s="176">
        <v>45122</v>
      </c>
      <c r="H153" s="3">
        <v>10</v>
      </c>
      <c r="I153" s="284">
        <v>6</v>
      </c>
      <c r="J153" s="265" t="s">
        <v>24</v>
      </c>
      <c r="K153" s="270"/>
    </row>
    <row r="154" spans="6:11" x14ac:dyDescent="0.3">
      <c r="F154" s="269">
        <f>ROW()-ROW(APORTACIONESOCIOS[[#Headers],[SECUENCIA]])</f>
        <v>150</v>
      </c>
      <c r="G154" s="176">
        <v>45122</v>
      </c>
      <c r="H154" s="3">
        <v>10</v>
      </c>
      <c r="I154" s="284">
        <v>7</v>
      </c>
      <c r="J154" s="265" t="s">
        <v>15</v>
      </c>
      <c r="K154" s="270"/>
    </row>
    <row r="155" spans="6:11" x14ac:dyDescent="0.3">
      <c r="F155" s="269">
        <f>ROW()-ROW(APORTACIONESOCIOS[[#Headers],[SECUENCIA]])</f>
        <v>151</v>
      </c>
      <c r="G155" s="176">
        <v>45122</v>
      </c>
      <c r="H155" s="3">
        <v>10</v>
      </c>
      <c r="I155" s="284">
        <v>8</v>
      </c>
      <c r="J155" s="265" t="s">
        <v>16</v>
      </c>
      <c r="K155" s="270"/>
    </row>
    <row r="156" spans="6:11" x14ac:dyDescent="0.3">
      <c r="F156" s="269">
        <f>ROW()-ROW(APORTACIONESOCIOS[[#Headers],[SECUENCIA]])</f>
        <v>152</v>
      </c>
      <c r="G156" s="176">
        <v>45122</v>
      </c>
      <c r="H156" s="3">
        <v>10</v>
      </c>
      <c r="I156" s="284">
        <v>9</v>
      </c>
      <c r="J156" s="265" t="s">
        <v>17</v>
      </c>
      <c r="K156" s="270"/>
    </row>
    <row r="157" spans="6:11" x14ac:dyDescent="0.3">
      <c r="F157" s="269">
        <f>ROW()-ROW(APORTACIONESOCIOS[[#Headers],[SECUENCIA]])</f>
        <v>153</v>
      </c>
      <c r="G157" s="176">
        <v>45122</v>
      </c>
      <c r="H157" s="3">
        <v>10</v>
      </c>
      <c r="I157" s="284">
        <v>10</v>
      </c>
      <c r="J157" s="265" t="s">
        <v>18</v>
      </c>
      <c r="K157" s="270"/>
    </row>
    <row r="158" spans="6:11" x14ac:dyDescent="0.3">
      <c r="F158" s="269">
        <f>ROW()-ROW(APORTACIONESOCIOS[[#Headers],[SECUENCIA]])</f>
        <v>154</v>
      </c>
      <c r="G158" s="176">
        <v>45122</v>
      </c>
      <c r="H158" s="3">
        <v>10</v>
      </c>
      <c r="I158" s="284">
        <v>11</v>
      </c>
      <c r="J158" s="265" t="s">
        <v>19</v>
      </c>
      <c r="K158" s="270"/>
    </row>
    <row r="159" spans="6:11" x14ac:dyDescent="0.3">
      <c r="F159" s="269">
        <f>ROW()-ROW(APORTACIONESOCIOS[[#Headers],[SECUENCIA]])</f>
        <v>155</v>
      </c>
      <c r="G159" s="176">
        <v>45122</v>
      </c>
      <c r="H159" s="3">
        <v>10</v>
      </c>
      <c r="I159" s="284">
        <v>12</v>
      </c>
      <c r="J159" s="265" t="s">
        <v>20</v>
      </c>
      <c r="K159" s="270"/>
    </row>
    <row r="160" spans="6:11" x14ac:dyDescent="0.3">
      <c r="F160" s="269">
        <f>ROW()-ROW(APORTACIONESOCIOS[[#Headers],[SECUENCIA]])</f>
        <v>156</v>
      </c>
      <c r="G160" s="176">
        <v>45122</v>
      </c>
      <c r="H160" s="3">
        <v>10</v>
      </c>
      <c r="I160" s="284">
        <v>14</v>
      </c>
      <c r="J160" s="265" t="s">
        <v>21</v>
      </c>
      <c r="K160" s="270"/>
    </row>
    <row r="161" spans="6:11" x14ac:dyDescent="0.3">
      <c r="F161" s="269">
        <f>ROW()-ROW(APORTACIONESOCIOS[[#Headers],[SECUENCIA]])</f>
        <v>157</v>
      </c>
      <c r="G161" s="176">
        <v>45122</v>
      </c>
      <c r="H161" s="3">
        <v>10</v>
      </c>
      <c r="I161" s="284">
        <v>15</v>
      </c>
      <c r="J161" s="265" t="s">
        <v>22</v>
      </c>
      <c r="K161" s="270"/>
    </row>
    <row r="162" spans="6:11" x14ac:dyDescent="0.3">
      <c r="F162" s="269">
        <f>ROW()-ROW(APORTACIONESOCIOS[[#Headers],[SECUENCIA]])</f>
        <v>158</v>
      </c>
      <c r="G162" s="176">
        <v>45122</v>
      </c>
      <c r="H162" s="3">
        <v>10</v>
      </c>
      <c r="I162" s="284">
        <v>16</v>
      </c>
      <c r="J162" s="265" t="s">
        <v>23</v>
      </c>
      <c r="K162" s="270"/>
    </row>
    <row r="163" spans="6:11" x14ac:dyDescent="0.3">
      <c r="F163" s="269">
        <f>ROW()-ROW(APORTACIONESOCIOS[[#Headers],[SECUENCIA]])</f>
        <v>159</v>
      </c>
      <c r="G163" s="189">
        <v>45153</v>
      </c>
      <c r="H163" s="3">
        <v>10</v>
      </c>
      <c r="I163" s="284">
        <v>3</v>
      </c>
      <c r="J163" s="265" t="s">
        <v>13</v>
      </c>
      <c r="K163" s="270"/>
    </row>
    <row r="164" spans="6:11" x14ac:dyDescent="0.3">
      <c r="F164" s="271">
        <f>ROW()-ROW(APORTACIONESOCIOS[[#Headers],[SECUENCIA]])</f>
        <v>160</v>
      </c>
      <c r="G164" s="176">
        <v>45153</v>
      </c>
      <c r="H164" s="3">
        <v>10</v>
      </c>
      <c r="I164" s="284">
        <v>4</v>
      </c>
      <c r="J164" s="265" t="s">
        <v>12</v>
      </c>
      <c r="K164" s="273"/>
    </row>
    <row r="165" spans="6:11" x14ac:dyDescent="0.3">
      <c r="F165" s="269">
        <f>ROW()-ROW(APORTACIONESOCIOS[[#Headers],[SECUENCIA]])</f>
        <v>161</v>
      </c>
      <c r="G165" s="176">
        <v>45153</v>
      </c>
      <c r="H165" s="3">
        <v>10</v>
      </c>
      <c r="I165" s="284">
        <v>5</v>
      </c>
      <c r="J165" s="265" t="s">
        <v>14</v>
      </c>
      <c r="K165" s="270"/>
    </row>
    <row r="166" spans="6:11" x14ac:dyDescent="0.3">
      <c r="F166" s="269">
        <f>ROW()-ROW(APORTACIONESOCIOS[[#Headers],[SECUENCIA]])</f>
        <v>162</v>
      </c>
      <c r="G166" s="176">
        <v>45153</v>
      </c>
      <c r="H166" s="3">
        <v>10</v>
      </c>
      <c r="I166" s="284">
        <v>6</v>
      </c>
      <c r="J166" s="265" t="s">
        <v>24</v>
      </c>
      <c r="K166" s="270"/>
    </row>
    <row r="167" spans="6:11" x14ac:dyDescent="0.3">
      <c r="F167" s="269">
        <f>ROW()-ROW(APORTACIONESOCIOS[[#Headers],[SECUENCIA]])</f>
        <v>163</v>
      </c>
      <c r="G167" s="176">
        <v>45153</v>
      </c>
      <c r="H167" s="3">
        <v>10</v>
      </c>
      <c r="I167" s="284">
        <v>7</v>
      </c>
      <c r="J167" s="265" t="s">
        <v>15</v>
      </c>
      <c r="K167" s="270"/>
    </row>
    <row r="168" spans="6:11" x14ac:dyDescent="0.3">
      <c r="F168" s="269">
        <f>ROW()-ROW(APORTACIONESOCIOS[[#Headers],[SECUENCIA]])</f>
        <v>164</v>
      </c>
      <c r="G168" s="176">
        <v>45153</v>
      </c>
      <c r="H168" s="3">
        <v>10</v>
      </c>
      <c r="I168" s="284">
        <v>8</v>
      </c>
      <c r="J168" s="265" t="s">
        <v>16</v>
      </c>
      <c r="K168" s="270"/>
    </row>
    <row r="169" spans="6:11" x14ac:dyDescent="0.3">
      <c r="F169" s="269">
        <f>ROW()-ROW(APORTACIONESOCIOS[[#Headers],[SECUENCIA]])</f>
        <v>165</v>
      </c>
      <c r="G169" s="176">
        <v>45153</v>
      </c>
      <c r="H169" s="3">
        <v>10</v>
      </c>
      <c r="I169" s="284">
        <v>9</v>
      </c>
      <c r="J169" s="265" t="s">
        <v>17</v>
      </c>
      <c r="K169" s="270"/>
    </row>
    <row r="170" spans="6:11" x14ac:dyDescent="0.3">
      <c r="F170" s="269">
        <f>ROW()-ROW(APORTACIONESOCIOS[[#Headers],[SECUENCIA]])</f>
        <v>166</v>
      </c>
      <c r="G170" s="176">
        <v>45153</v>
      </c>
      <c r="H170" s="3">
        <v>10</v>
      </c>
      <c r="I170" s="284">
        <v>10</v>
      </c>
      <c r="J170" s="265" t="s">
        <v>18</v>
      </c>
      <c r="K170" s="270"/>
    </row>
    <row r="171" spans="6:11" x14ac:dyDescent="0.3">
      <c r="F171" s="269">
        <f>ROW()-ROW(APORTACIONESOCIOS[[#Headers],[SECUENCIA]])</f>
        <v>167</v>
      </c>
      <c r="G171" s="176">
        <v>45153</v>
      </c>
      <c r="H171" s="3">
        <v>10</v>
      </c>
      <c r="I171" s="284">
        <v>11</v>
      </c>
      <c r="J171" s="265" t="s">
        <v>19</v>
      </c>
      <c r="K171" s="270"/>
    </row>
    <row r="172" spans="6:11" x14ac:dyDescent="0.3">
      <c r="F172" s="269">
        <f>ROW()-ROW(APORTACIONESOCIOS[[#Headers],[SECUENCIA]])</f>
        <v>168</v>
      </c>
      <c r="G172" s="176">
        <v>45153</v>
      </c>
      <c r="H172" s="3">
        <v>10</v>
      </c>
      <c r="I172" s="284">
        <v>12</v>
      </c>
      <c r="J172" s="265" t="s">
        <v>20</v>
      </c>
      <c r="K172" s="270"/>
    </row>
    <row r="173" spans="6:11" x14ac:dyDescent="0.3">
      <c r="F173" s="269">
        <f>ROW()-ROW(APORTACIONESOCIOS[[#Headers],[SECUENCIA]])</f>
        <v>169</v>
      </c>
      <c r="G173" s="176">
        <v>45153</v>
      </c>
      <c r="H173" s="3">
        <v>10</v>
      </c>
      <c r="I173" s="284">
        <v>14</v>
      </c>
      <c r="J173" s="265" t="s">
        <v>21</v>
      </c>
      <c r="K173" s="270"/>
    </row>
    <row r="174" spans="6:11" x14ac:dyDescent="0.3">
      <c r="F174" s="269">
        <f>ROW()-ROW(APORTACIONESOCIOS[[#Headers],[SECUENCIA]])</f>
        <v>170</v>
      </c>
      <c r="G174" s="176">
        <v>45153</v>
      </c>
      <c r="H174" s="3">
        <v>10</v>
      </c>
      <c r="I174" s="284">
        <v>15</v>
      </c>
      <c r="J174" s="265" t="s">
        <v>22</v>
      </c>
      <c r="K174" s="270"/>
    </row>
    <row r="175" spans="6:11" x14ac:dyDescent="0.3">
      <c r="F175" s="269">
        <f>ROW()-ROW(APORTACIONESOCIOS[[#Headers],[SECUENCIA]])</f>
        <v>171</v>
      </c>
      <c r="G175" s="176">
        <v>45153</v>
      </c>
      <c r="H175" s="3">
        <v>10</v>
      </c>
      <c r="I175" s="284">
        <v>16</v>
      </c>
      <c r="J175" s="265" t="s">
        <v>23</v>
      </c>
      <c r="K175" s="270"/>
    </row>
    <row r="176" spans="6:11" x14ac:dyDescent="0.3">
      <c r="F176" s="269">
        <f>ROW()-ROW(APORTACIONESOCIOS[[#Headers],[SECUENCIA]])</f>
        <v>172</v>
      </c>
      <c r="G176" s="189">
        <v>45184</v>
      </c>
      <c r="H176" s="3">
        <v>10</v>
      </c>
      <c r="I176" s="284">
        <v>3</v>
      </c>
      <c r="J176" s="265" t="s">
        <v>13</v>
      </c>
      <c r="K176" s="270"/>
    </row>
    <row r="177" spans="6:11" x14ac:dyDescent="0.3">
      <c r="F177" s="271">
        <f>ROW()-ROW(APORTACIONESOCIOS[[#Headers],[SECUENCIA]])</f>
        <v>173</v>
      </c>
      <c r="G177" s="176">
        <v>45184</v>
      </c>
      <c r="H177" s="3">
        <v>10</v>
      </c>
      <c r="I177" s="284">
        <v>4</v>
      </c>
      <c r="J177" s="265" t="s">
        <v>12</v>
      </c>
      <c r="K177" s="273"/>
    </row>
    <row r="178" spans="6:11" x14ac:dyDescent="0.3">
      <c r="F178" s="269">
        <f>ROW()-ROW(APORTACIONESOCIOS[[#Headers],[SECUENCIA]])</f>
        <v>174</v>
      </c>
      <c r="G178" s="176">
        <v>45184</v>
      </c>
      <c r="H178" s="3">
        <v>10</v>
      </c>
      <c r="I178" s="284">
        <v>5</v>
      </c>
      <c r="J178" s="265" t="s">
        <v>14</v>
      </c>
      <c r="K178" s="270"/>
    </row>
    <row r="179" spans="6:11" x14ac:dyDescent="0.3">
      <c r="F179" s="269">
        <f>ROW()-ROW(APORTACIONESOCIOS[[#Headers],[SECUENCIA]])</f>
        <v>175</v>
      </c>
      <c r="G179" s="176">
        <v>45184</v>
      </c>
      <c r="H179" s="3">
        <v>10</v>
      </c>
      <c r="I179" s="284">
        <v>6</v>
      </c>
      <c r="J179" s="265" t="s">
        <v>24</v>
      </c>
      <c r="K179" s="270"/>
    </row>
    <row r="180" spans="6:11" x14ac:dyDescent="0.3">
      <c r="F180" s="269">
        <f>ROW()-ROW(APORTACIONESOCIOS[[#Headers],[SECUENCIA]])</f>
        <v>176</v>
      </c>
      <c r="G180" s="176">
        <v>45184</v>
      </c>
      <c r="H180" s="3">
        <v>10</v>
      </c>
      <c r="I180" s="284">
        <v>7</v>
      </c>
      <c r="J180" s="265" t="s">
        <v>15</v>
      </c>
      <c r="K180" s="270"/>
    </row>
    <row r="181" spans="6:11" x14ac:dyDescent="0.3">
      <c r="F181" s="269">
        <f>ROW()-ROW(APORTACIONESOCIOS[[#Headers],[SECUENCIA]])</f>
        <v>177</v>
      </c>
      <c r="G181" s="176">
        <v>45184</v>
      </c>
      <c r="H181" s="3">
        <v>10</v>
      </c>
      <c r="I181" s="284">
        <v>8</v>
      </c>
      <c r="J181" s="265" t="s">
        <v>16</v>
      </c>
      <c r="K181" s="270"/>
    </row>
    <row r="182" spans="6:11" x14ac:dyDescent="0.3">
      <c r="F182" s="269">
        <f>ROW()-ROW(APORTACIONESOCIOS[[#Headers],[SECUENCIA]])</f>
        <v>178</v>
      </c>
      <c r="G182" s="176">
        <v>45184</v>
      </c>
      <c r="H182" s="3">
        <v>10</v>
      </c>
      <c r="I182" s="284">
        <v>9</v>
      </c>
      <c r="J182" s="265" t="s">
        <v>17</v>
      </c>
      <c r="K182" s="270"/>
    </row>
    <row r="183" spans="6:11" x14ac:dyDescent="0.3">
      <c r="F183" s="269">
        <f>ROW()-ROW(APORTACIONESOCIOS[[#Headers],[SECUENCIA]])</f>
        <v>179</v>
      </c>
      <c r="G183" s="176">
        <v>45184</v>
      </c>
      <c r="H183" s="3">
        <v>10</v>
      </c>
      <c r="I183" s="284">
        <v>10</v>
      </c>
      <c r="J183" s="265" t="s">
        <v>18</v>
      </c>
      <c r="K183" s="270"/>
    </row>
    <row r="184" spans="6:11" x14ac:dyDescent="0.3">
      <c r="F184" s="269">
        <f>ROW()-ROW(APORTACIONESOCIOS[[#Headers],[SECUENCIA]])</f>
        <v>180</v>
      </c>
      <c r="G184" s="176">
        <v>45184</v>
      </c>
      <c r="H184" s="3">
        <v>10</v>
      </c>
      <c r="I184" s="284">
        <v>11</v>
      </c>
      <c r="J184" s="265" t="s">
        <v>19</v>
      </c>
      <c r="K184" s="270"/>
    </row>
    <row r="185" spans="6:11" x14ac:dyDescent="0.3">
      <c r="F185" s="269">
        <f>ROW()-ROW(APORTACIONESOCIOS[[#Headers],[SECUENCIA]])</f>
        <v>181</v>
      </c>
      <c r="G185" s="176">
        <v>45184</v>
      </c>
      <c r="H185" s="3">
        <v>10</v>
      </c>
      <c r="I185" s="284">
        <v>12</v>
      </c>
      <c r="J185" s="265" t="s">
        <v>20</v>
      </c>
      <c r="K185" s="270"/>
    </row>
    <row r="186" spans="6:11" x14ac:dyDescent="0.3">
      <c r="F186" s="269">
        <f>ROW()-ROW(APORTACIONESOCIOS[[#Headers],[SECUENCIA]])</f>
        <v>182</v>
      </c>
      <c r="G186" s="176">
        <v>45184</v>
      </c>
      <c r="H186" s="3">
        <v>10</v>
      </c>
      <c r="I186" s="284">
        <v>14</v>
      </c>
      <c r="J186" s="265" t="s">
        <v>21</v>
      </c>
      <c r="K186" s="270"/>
    </row>
    <row r="187" spans="6:11" x14ac:dyDescent="0.3">
      <c r="F187" s="269">
        <f>ROW()-ROW(APORTACIONESOCIOS[[#Headers],[SECUENCIA]])</f>
        <v>183</v>
      </c>
      <c r="G187" s="176">
        <v>45184</v>
      </c>
      <c r="H187" s="3">
        <v>10</v>
      </c>
      <c r="I187" s="284">
        <v>15</v>
      </c>
      <c r="J187" s="265" t="s">
        <v>22</v>
      </c>
      <c r="K187" s="270"/>
    </row>
    <row r="188" spans="6:11" x14ac:dyDescent="0.3">
      <c r="F188" s="269">
        <f>ROW()-ROW(APORTACIONESOCIOS[[#Headers],[SECUENCIA]])</f>
        <v>184</v>
      </c>
      <c r="G188" s="176">
        <v>45184</v>
      </c>
      <c r="H188" s="3">
        <v>10</v>
      </c>
      <c r="I188" s="284">
        <v>16</v>
      </c>
      <c r="J188" s="265" t="s">
        <v>23</v>
      </c>
      <c r="K188" s="270"/>
    </row>
    <row r="189" spans="6:11" x14ac:dyDescent="0.3">
      <c r="F189" s="269">
        <f>ROW()-ROW(APORTACIONESOCIOS[[#Headers],[SECUENCIA]])</f>
        <v>185</v>
      </c>
      <c r="G189" s="189">
        <v>45214</v>
      </c>
      <c r="H189" s="3">
        <v>10</v>
      </c>
      <c r="I189" s="284">
        <v>3</v>
      </c>
      <c r="J189" s="265" t="s">
        <v>13</v>
      </c>
      <c r="K189" s="270"/>
    </row>
    <row r="190" spans="6:11" x14ac:dyDescent="0.3">
      <c r="F190" s="271">
        <f>ROW()-ROW(APORTACIONESOCIOS[[#Headers],[SECUENCIA]])</f>
        <v>186</v>
      </c>
      <c r="G190" s="176">
        <v>45214</v>
      </c>
      <c r="H190" s="3">
        <v>10</v>
      </c>
      <c r="I190" s="284">
        <v>4</v>
      </c>
      <c r="J190" s="265" t="s">
        <v>12</v>
      </c>
      <c r="K190" s="273"/>
    </row>
    <row r="191" spans="6:11" x14ac:dyDescent="0.3">
      <c r="F191" s="269">
        <f>ROW()-ROW(APORTACIONESOCIOS[[#Headers],[SECUENCIA]])</f>
        <v>187</v>
      </c>
      <c r="G191" s="176">
        <v>45214</v>
      </c>
      <c r="H191" s="3">
        <v>10</v>
      </c>
      <c r="I191" s="284">
        <v>5</v>
      </c>
      <c r="J191" s="265" t="s">
        <v>14</v>
      </c>
      <c r="K191" s="270"/>
    </row>
    <row r="192" spans="6:11" x14ac:dyDescent="0.3">
      <c r="F192" s="269">
        <f>ROW()-ROW(APORTACIONESOCIOS[[#Headers],[SECUENCIA]])</f>
        <v>188</v>
      </c>
      <c r="G192" s="176">
        <v>45214</v>
      </c>
      <c r="H192" s="3">
        <v>10</v>
      </c>
      <c r="I192" s="284">
        <v>6</v>
      </c>
      <c r="J192" s="265" t="s">
        <v>24</v>
      </c>
      <c r="K192" s="270"/>
    </row>
    <row r="193" spans="6:11" x14ac:dyDescent="0.3">
      <c r="F193" s="269">
        <f>ROW()-ROW(APORTACIONESOCIOS[[#Headers],[SECUENCIA]])</f>
        <v>189</v>
      </c>
      <c r="G193" s="176">
        <v>45214</v>
      </c>
      <c r="H193" s="3">
        <v>10</v>
      </c>
      <c r="I193" s="284">
        <v>7</v>
      </c>
      <c r="J193" s="265" t="s">
        <v>15</v>
      </c>
      <c r="K193" s="270"/>
    </row>
    <row r="194" spans="6:11" x14ac:dyDescent="0.3">
      <c r="F194" s="269">
        <f>ROW()-ROW(APORTACIONESOCIOS[[#Headers],[SECUENCIA]])</f>
        <v>190</v>
      </c>
      <c r="G194" s="176">
        <v>45214</v>
      </c>
      <c r="H194" s="3">
        <v>10</v>
      </c>
      <c r="I194" s="284">
        <v>8</v>
      </c>
      <c r="J194" s="265" t="s">
        <v>16</v>
      </c>
      <c r="K194" s="270"/>
    </row>
    <row r="195" spans="6:11" x14ac:dyDescent="0.3">
      <c r="F195" s="269">
        <f>ROW()-ROW(APORTACIONESOCIOS[[#Headers],[SECUENCIA]])</f>
        <v>191</v>
      </c>
      <c r="G195" s="176">
        <v>45214</v>
      </c>
      <c r="H195" s="3">
        <v>10</v>
      </c>
      <c r="I195" s="284">
        <v>9</v>
      </c>
      <c r="J195" s="265" t="s">
        <v>17</v>
      </c>
      <c r="K195" s="270"/>
    </row>
    <row r="196" spans="6:11" x14ac:dyDescent="0.3">
      <c r="F196" s="269">
        <f>ROW()-ROW(APORTACIONESOCIOS[[#Headers],[SECUENCIA]])</f>
        <v>192</v>
      </c>
      <c r="G196" s="176">
        <v>45214</v>
      </c>
      <c r="H196" s="3">
        <v>10</v>
      </c>
      <c r="I196" s="284">
        <v>10</v>
      </c>
      <c r="J196" s="265" t="s">
        <v>18</v>
      </c>
      <c r="K196" s="270"/>
    </row>
    <row r="197" spans="6:11" x14ac:dyDescent="0.3">
      <c r="F197" s="269">
        <f>ROW()-ROW(APORTACIONESOCIOS[[#Headers],[SECUENCIA]])</f>
        <v>193</v>
      </c>
      <c r="G197" s="176">
        <v>45214</v>
      </c>
      <c r="H197" s="3">
        <v>10</v>
      </c>
      <c r="I197" s="284">
        <v>11</v>
      </c>
      <c r="J197" s="265" t="s">
        <v>19</v>
      </c>
      <c r="K197" s="270"/>
    </row>
    <row r="198" spans="6:11" x14ac:dyDescent="0.3">
      <c r="F198" s="269">
        <f>ROW()-ROW(APORTACIONESOCIOS[[#Headers],[SECUENCIA]])</f>
        <v>194</v>
      </c>
      <c r="G198" s="176">
        <v>45214</v>
      </c>
      <c r="H198" s="3">
        <v>10</v>
      </c>
      <c r="I198" s="284">
        <v>12</v>
      </c>
      <c r="J198" s="265" t="s">
        <v>20</v>
      </c>
      <c r="K198" s="270"/>
    </row>
    <row r="199" spans="6:11" x14ac:dyDescent="0.3">
      <c r="F199" s="269">
        <f>ROW()-ROW(APORTACIONESOCIOS[[#Headers],[SECUENCIA]])</f>
        <v>195</v>
      </c>
      <c r="G199" s="176">
        <v>45214</v>
      </c>
      <c r="H199" s="3">
        <v>10</v>
      </c>
      <c r="I199" s="284">
        <v>14</v>
      </c>
      <c r="J199" s="265" t="s">
        <v>21</v>
      </c>
      <c r="K199" s="270"/>
    </row>
    <row r="200" spans="6:11" x14ac:dyDescent="0.3">
      <c r="F200" s="269">
        <f>ROW()-ROW(APORTACIONESOCIOS[[#Headers],[SECUENCIA]])</f>
        <v>196</v>
      </c>
      <c r="G200" s="176">
        <v>45214</v>
      </c>
      <c r="H200" s="3">
        <v>10</v>
      </c>
      <c r="I200" s="284">
        <v>15</v>
      </c>
      <c r="J200" s="265" t="s">
        <v>22</v>
      </c>
      <c r="K200" s="270"/>
    </row>
    <row r="201" spans="6:11" x14ac:dyDescent="0.3">
      <c r="F201" s="269">
        <f>ROW()-ROW(APORTACIONESOCIOS[[#Headers],[SECUENCIA]])</f>
        <v>197</v>
      </c>
      <c r="G201" s="176">
        <v>45214</v>
      </c>
      <c r="H201" s="3">
        <v>10</v>
      </c>
      <c r="I201" s="284">
        <v>16</v>
      </c>
      <c r="J201" s="265" t="s">
        <v>23</v>
      </c>
      <c r="K201" s="270"/>
    </row>
    <row r="202" spans="6:11" x14ac:dyDescent="0.3">
      <c r="F202" s="269">
        <f>ROW()-ROW(APORTACIONESOCIOS[[#Headers],[SECUENCIA]])</f>
        <v>198</v>
      </c>
      <c r="G202" s="189">
        <v>45245</v>
      </c>
      <c r="H202" s="3">
        <v>10</v>
      </c>
      <c r="I202" s="284">
        <v>3</v>
      </c>
      <c r="J202" s="265" t="s">
        <v>13</v>
      </c>
      <c r="K202" s="270"/>
    </row>
    <row r="203" spans="6:11" x14ac:dyDescent="0.3">
      <c r="F203" s="271">
        <f>ROW()-ROW(APORTACIONESOCIOS[[#Headers],[SECUENCIA]])</f>
        <v>199</v>
      </c>
      <c r="G203" s="176">
        <v>45245</v>
      </c>
      <c r="H203" s="3">
        <v>10</v>
      </c>
      <c r="I203" s="284">
        <v>4</v>
      </c>
      <c r="J203" s="265" t="s">
        <v>12</v>
      </c>
      <c r="K203" s="273"/>
    </row>
    <row r="204" spans="6:11" x14ac:dyDescent="0.3">
      <c r="F204" s="269">
        <f>ROW()-ROW(APORTACIONESOCIOS[[#Headers],[SECUENCIA]])</f>
        <v>200</v>
      </c>
      <c r="G204" s="176">
        <v>45245</v>
      </c>
      <c r="H204" s="3">
        <v>10</v>
      </c>
      <c r="I204" s="284">
        <v>5</v>
      </c>
      <c r="J204" s="265" t="s">
        <v>14</v>
      </c>
      <c r="K204" s="270"/>
    </row>
    <row r="205" spans="6:11" x14ac:dyDescent="0.3">
      <c r="F205" s="269">
        <f>ROW()-ROW(APORTACIONESOCIOS[[#Headers],[SECUENCIA]])</f>
        <v>201</v>
      </c>
      <c r="G205" s="176">
        <v>45245</v>
      </c>
      <c r="H205" s="3">
        <v>10</v>
      </c>
      <c r="I205" s="284">
        <v>6</v>
      </c>
      <c r="J205" s="265" t="s">
        <v>24</v>
      </c>
      <c r="K205" s="270"/>
    </row>
    <row r="206" spans="6:11" x14ac:dyDescent="0.3">
      <c r="F206" s="269">
        <f>ROW()-ROW(APORTACIONESOCIOS[[#Headers],[SECUENCIA]])</f>
        <v>202</v>
      </c>
      <c r="G206" s="176">
        <v>45245</v>
      </c>
      <c r="H206" s="3">
        <v>10</v>
      </c>
      <c r="I206" s="284">
        <v>7</v>
      </c>
      <c r="J206" s="265" t="s">
        <v>15</v>
      </c>
      <c r="K206" s="270"/>
    </row>
    <row r="207" spans="6:11" x14ac:dyDescent="0.3">
      <c r="F207" s="269">
        <f>ROW()-ROW(APORTACIONESOCIOS[[#Headers],[SECUENCIA]])</f>
        <v>203</v>
      </c>
      <c r="G207" s="176">
        <v>45245</v>
      </c>
      <c r="H207" s="3">
        <v>10</v>
      </c>
      <c r="I207" s="284">
        <v>8</v>
      </c>
      <c r="J207" s="265" t="s">
        <v>16</v>
      </c>
      <c r="K207" s="270"/>
    </row>
    <row r="208" spans="6:11" x14ac:dyDescent="0.3">
      <c r="F208" s="269">
        <f>ROW()-ROW(APORTACIONESOCIOS[[#Headers],[SECUENCIA]])</f>
        <v>204</v>
      </c>
      <c r="G208" s="176">
        <v>45245</v>
      </c>
      <c r="H208" s="3">
        <v>10</v>
      </c>
      <c r="I208" s="284">
        <v>9</v>
      </c>
      <c r="J208" s="265" t="s">
        <v>17</v>
      </c>
      <c r="K208" s="270"/>
    </row>
    <row r="209" spans="6:11" x14ac:dyDescent="0.3">
      <c r="F209" s="269">
        <f>ROW()-ROW(APORTACIONESOCIOS[[#Headers],[SECUENCIA]])</f>
        <v>205</v>
      </c>
      <c r="G209" s="176">
        <v>45245</v>
      </c>
      <c r="H209" s="3">
        <v>10</v>
      </c>
      <c r="I209" s="284">
        <v>10</v>
      </c>
      <c r="J209" s="265" t="s">
        <v>18</v>
      </c>
      <c r="K209" s="270"/>
    </row>
    <row r="210" spans="6:11" x14ac:dyDescent="0.3">
      <c r="F210" s="269">
        <f>ROW()-ROW(APORTACIONESOCIOS[[#Headers],[SECUENCIA]])</f>
        <v>206</v>
      </c>
      <c r="G210" s="176">
        <v>45245</v>
      </c>
      <c r="H210" s="3">
        <v>10</v>
      </c>
      <c r="I210" s="284">
        <v>11</v>
      </c>
      <c r="J210" s="265" t="s">
        <v>19</v>
      </c>
      <c r="K210" s="270"/>
    </row>
    <row r="211" spans="6:11" x14ac:dyDescent="0.3">
      <c r="F211" s="269">
        <f>ROW()-ROW(APORTACIONESOCIOS[[#Headers],[SECUENCIA]])</f>
        <v>207</v>
      </c>
      <c r="G211" s="176">
        <v>45245</v>
      </c>
      <c r="H211" s="3">
        <v>10</v>
      </c>
      <c r="I211" s="284">
        <v>12</v>
      </c>
      <c r="J211" s="265" t="s">
        <v>20</v>
      </c>
      <c r="K211" s="270"/>
    </row>
    <row r="212" spans="6:11" x14ac:dyDescent="0.3">
      <c r="F212" s="269">
        <f>ROW()-ROW(APORTACIONESOCIOS[[#Headers],[SECUENCIA]])</f>
        <v>208</v>
      </c>
      <c r="G212" s="176">
        <v>45245</v>
      </c>
      <c r="H212" s="3">
        <v>10</v>
      </c>
      <c r="I212" s="284">
        <v>14</v>
      </c>
      <c r="J212" s="265" t="s">
        <v>21</v>
      </c>
      <c r="K212" s="270"/>
    </row>
    <row r="213" spans="6:11" x14ac:dyDescent="0.3">
      <c r="F213" s="269">
        <f>ROW()-ROW(APORTACIONESOCIOS[[#Headers],[SECUENCIA]])</f>
        <v>209</v>
      </c>
      <c r="G213" s="176">
        <v>45245</v>
      </c>
      <c r="H213" s="3">
        <v>10</v>
      </c>
      <c r="I213" s="284">
        <v>15</v>
      </c>
      <c r="J213" s="265" t="s">
        <v>22</v>
      </c>
      <c r="K213" s="270"/>
    </row>
    <row r="214" spans="6:11" x14ac:dyDescent="0.3">
      <c r="F214" s="269">
        <f>ROW()-ROW(APORTACIONESOCIOS[[#Headers],[SECUENCIA]])</f>
        <v>210</v>
      </c>
      <c r="G214" s="176">
        <v>45245</v>
      </c>
      <c r="H214" s="3">
        <v>10</v>
      </c>
      <c r="I214" s="284">
        <v>16</v>
      </c>
      <c r="J214" s="265" t="s">
        <v>23</v>
      </c>
      <c r="K214" s="270"/>
    </row>
    <row r="215" spans="6:11" x14ac:dyDescent="0.3">
      <c r="F215" s="269">
        <f>ROW()-ROW(APORTACIONESOCIOS[[#Headers],[SECUENCIA]])</f>
        <v>211</v>
      </c>
      <c r="G215" s="189">
        <v>45275</v>
      </c>
      <c r="H215" s="3">
        <v>10</v>
      </c>
      <c r="I215" s="284">
        <v>3</v>
      </c>
      <c r="J215" s="265" t="s">
        <v>13</v>
      </c>
      <c r="K215" s="270"/>
    </row>
    <row r="216" spans="6:11" x14ac:dyDescent="0.3">
      <c r="F216" s="271">
        <f>ROW()-ROW(APORTACIONESOCIOS[[#Headers],[SECUENCIA]])</f>
        <v>212</v>
      </c>
      <c r="G216" s="176">
        <v>45275</v>
      </c>
      <c r="H216" s="3">
        <v>10</v>
      </c>
      <c r="I216" s="284">
        <v>4</v>
      </c>
      <c r="J216" s="265" t="s">
        <v>12</v>
      </c>
      <c r="K216" s="273"/>
    </row>
    <row r="217" spans="6:11" x14ac:dyDescent="0.3">
      <c r="F217" s="269">
        <f>ROW()-ROW(APORTACIONESOCIOS[[#Headers],[SECUENCIA]])</f>
        <v>213</v>
      </c>
      <c r="G217" s="176">
        <v>45275</v>
      </c>
      <c r="H217" s="3">
        <v>10</v>
      </c>
      <c r="I217" s="284">
        <v>5</v>
      </c>
      <c r="J217" s="265" t="s">
        <v>14</v>
      </c>
      <c r="K217" s="270"/>
    </row>
    <row r="218" spans="6:11" x14ac:dyDescent="0.3">
      <c r="F218" s="269">
        <f>ROW()-ROW(APORTACIONESOCIOS[[#Headers],[SECUENCIA]])</f>
        <v>214</v>
      </c>
      <c r="G218" s="176">
        <v>45275</v>
      </c>
      <c r="H218" s="3">
        <v>10</v>
      </c>
      <c r="I218" s="284">
        <v>6</v>
      </c>
      <c r="J218" s="265" t="s">
        <v>24</v>
      </c>
      <c r="K218" s="270"/>
    </row>
    <row r="219" spans="6:11" x14ac:dyDescent="0.3">
      <c r="F219" s="269">
        <f>ROW()-ROW(APORTACIONESOCIOS[[#Headers],[SECUENCIA]])</f>
        <v>215</v>
      </c>
      <c r="G219" s="176">
        <v>45275</v>
      </c>
      <c r="H219" s="3">
        <v>10</v>
      </c>
      <c r="I219" s="284">
        <v>7</v>
      </c>
      <c r="J219" s="265" t="s">
        <v>15</v>
      </c>
      <c r="K219" s="270"/>
    </row>
    <row r="220" spans="6:11" x14ac:dyDescent="0.3">
      <c r="F220" s="269">
        <f>ROW()-ROW(APORTACIONESOCIOS[[#Headers],[SECUENCIA]])</f>
        <v>216</v>
      </c>
      <c r="G220" s="176">
        <v>45275</v>
      </c>
      <c r="H220" s="3">
        <v>10</v>
      </c>
      <c r="I220" s="284">
        <v>8</v>
      </c>
      <c r="J220" s="265" t="s">
        <v>16</v>
      </c>
      <c r="K220" s="270"/>
    </row>
    <row r="221" spans="6:11" x14ac:dyDescent="0.3">
      <c r="F221" s="269">
        <f>ROW()-ROW(APORTACIONESOCIOS[[#Headers],[SECUENCIA]])</f>
        <v>217</v>
      </c>
      <c r="G221" s="176">
        <v>45275</v>
      </c>
      <c r="H221" s="3">
        <v>10</v>
      </c>
      <c r="I221" s="284">
        <v>9</v>
      </c>
      <c r="J221" s="265" t="s">
        <v>17</v>
      </c>
      <c r="K221" s="270"/>
    </row>
    <row r="222" spans="6:11" x14ac:dyDescent="0.3">
      <c r="F222" s="269">
        <f>ROW()-ROW(APORTACIONESOCIOS[[#Headers],[SECUENCIA]])</f>
        <v>218</v>
      </c>
      <c r="G222" s="176">
        <v>45275</v>
      </c>
      <c r="H222" s="3">
        <v>10</v>
      </c>
      <c r="I222" s="284">
        <v>10</v>
      </c>
      <c r="J222" s="265" t="s">
        <v>18</v>
      </c>
      <c r="K222" s="270"/>
    </row>
    <row r="223" spans="6:11" x14ac:dyDescent="0.3">
      <c r="F223" s="269">
        <f>ROW()-ROW(APORTACIONESOCIOS[[#Headers],[SECUENCIA]])</f>
        <v>219</v>
      </c>
      <c r="G223" s="176">
        <v>45275</v>
      </c>
      <c r="H223" s="3">
        <v>10</v>
      </c>
      <c r="I223" s="284">
        <v>11</v>
      </c>
      <c r="J223" s="265" t="s">
        <v>19</v>
      </c>
      <c r="K223" s="270"/>
    </row>
    <row r="224" spans="6:11" x14ac:dyDescent="0.3">
      <c r="F224" s="269">
        <f>ROW()-ROW(APORTACIONESOCIOS[[#Headers],[SECUENCIA]])</f>
        <v>220</v>
      </c>
      <c r="G224" s="176">
        <v>45275</v>
      </c>
      <c r="H224" s="3">
        <v>10</v>
      </c>
      <c r="I224" s="284">
        <v>12</v>
      </c>
      <c r="J224" s="265" t="s">
        <v>20</v>
      </c>
      <c r="K224" s="270"/>
    </row>
    <row r="225" spans="6:11" x14ac:dyDescent="0.3">
      <c r="F225" s="269">
        <f>ROW()-ROW(APORTACIONESOCIOS[[#Headers],[SECUENCIA]])</f>
        <v>221</v>
      </c>
      <c r="G225" s="176">
        <v>45275</v>
      </c>
      <c r="H225" s="3">
        <v>10</v>
      </c>
      <c r="I225" s="284">
        <v>14</v>
      </c>
      <c r="J225" s="265" t="s">
        <v>21</v>
      </c>
      <c r="K225" s="270"/>
    </row>
    <row r="226" spans="6:11" x14ac:dyDescent="0.3">
      <c r="F226" s="269">
        <f>ROW()-ROW(APORTACIONESOCIOS[[#Headers],[SECUENCIA]])</f>
        <v>222</v>
      </c>
      <c r="G226" s="176">
        <v>45275</v>
      </c>
      <c r="H226" s="3">
        <v>10</v>
      </c>
      <c r="I226" s="284">
        <v>15</v>
      </c>
      <c r="J226" s="265" t="s">
        <v>22</v>
      </c>
      <c r="K226" s="270"/>
    </row>
    <row r="227" spans="6:11" x14ac:dyDescent="0.3">
      <c r="F227" s="269">
        <f>ROW()-ROW(APORTACIONESOCIOS[[#Headers],[SECUENCIA]])</f>
        <v>223</v>
      </c>
      <c r="G227" s="176">
        <v>45275</v>
      </c>
      <c r="H227" s="3">
        <v>10</v>
      </c>
      <c r="I227" s="284">
        <v>16</v>
      </c>
      <c r="J227" s="265" t="s">
        <v>23</v>
      </c>
      <c r="K227" s="270"/>
    </row>
    <row r="228" spans="6:11" x14ac:dyDescent="0.3">
      <c r="F228" s="269">
        <f>ROW()-ROW(APORTACIONESOCIOS[[#Headers],[SECUENCIA]])</f>
        <v>224</v>
      </c>
      <c r="G228" s="176">
        <v>45306</v>
      </c>
      <c r="H228" s="3">
        <v>10</v>
      </c>
      <c r="I228" s="284">
        <v>3</v>
      </c>
      <c r="J228" s="265" t="s">
        <v>13</v>
      </c>
      <c r="K228" s="270"/>
    </row>
    <row r="229" spans="6:11" x14ac:dyDescent="0.3">
      <c r="F229" s="269">
        <f>ROW()-ROW(APORTACIONESOCIOS[[#Headers],[SECUENCIA]])</f>
        <v>225</v>
      </c>
      <c r="G229" s="176">
        <v>45306</v>
      </c>
      <c r="H229" s="3">
        <v>10</v>
      </c>
      <c r="I229" s="284">
        <v>4</v>
      </c>
      <c r="J229" s="265" t="s">
        <v>12</v>
      </c>
      <c r="K229" s="270"/>
    </row>
    <row r="230" spans="6:11" x14ac:dyDescent="0.3">
      <c r="F230" s="269">
        <f>ROW()-ROW(APORTACIONESOCIOS[[#Headers],[SECUENCIA]])</f>
        <v>226</v>
      </c>
      <c r="G230" s="176">
        <v>45306</v>
      </c>
      <c r="H230" s="3">
        <v>10</v>
      </c>
      <c r="I230" s="284">
        <v>5</v>
      </c>
      <c r="J230" s="265" t="s">
        <v>14</v>
      </c>
      <c r="K230" s="270"/>
    </row>
    <row r="231" spans="6:11" x14ac:dyDescent="0.3">
      <c r="F231" s="269">
        <f>ROW()-ROW(APORTACIONESOCIOS[[#Headers],[SECUENCIA]])</f>
        <v>227</v>
      </c>
      <c r="G231" s="176">
        <v>45306</v>
      </c>
      <c r="H231" s="3">
        <v>10</v>
      </c>
      <c r="I231" s="284">
        <v>6</v>
      </c>
      <c r="J231" s="265" t="s">
        <v>24</v>
      </c>
      <c r="K231" s="270"/>
    </row>
    <row r="232" spans="6:11" x14ac:dyDescent="0.3">
      <c r="F232" s="269">
        <f>ROW()-ROW(APORTACIONESOCIOS[[#Headers],[SECUENCIA]])</f>
        <v>228</v>
      </c>
      <c r="G232" s="176">
        <v>45306</v>
      </c>
      <c r="H232" s="3">
        <v>10</v>
      </c>
      <c r="I232" s="284">
        <v>7</v>
      </c>
      <c r="J232" s="265" t="s">
        <v>15</v>
      </c>
      <c r="K232" s="270"/>
    </row>
    <row r="233" spans="6:11" x14ac:dyDescent="0.3">
      <c r="F233" s="269">
        <f>ROW()-ROW(APORTACIONESOCIOS[[#Headers],[SECUENCIA]])</f>
        <v>229</v>
      </c>
      <c r="G233" s="176">
        <v>45306</v>
      </c>
      <c r="H233" s="3">
        <v>10</v>
      </c>
      <c r="I233" s="284">
        <v>8</v>
      </c>
      <c r="J233" s="265" t="s">
        <v>16</v>
      </c>
      <c r="K233" s="270"/>
    </row>
    <row r="234" spans="6:11" x14ac:dyDescent="0.3">
      <c r="F234" s="269">
        <f>ROW()-ROW(APORTACIONESOCIOS[[#Headers],[SECUENCIA]])</f>
        <v>230</v>
      </c>
      <c r="G234" s="176">
        <v>45306</v>
      </c>
      <c r="H234" s="3">
        <v>10</v>
      </c>
      <c r="I234" s="284">
        <v>9</v>
      </c>
      <c r="J234" s="265" t="s">
        <v>17</v>
      </c>
      <c r="K234" s="270"/>
    </row>
    <row r="235" spans="6:11" x14ac:dyDescent="0.3">
      <c r="F235" s="269">
        <f>ROW()-ROW(APORTACIONESOCIOS[[#Headers],[SECUENCIA]])</f>
        <v>231</v>
      </c>
      <c r="G235" s="176">
        <v>45306</v>
      </c>
      <c r="H235" s="3">
        <v>10</v>
      </c>
      <c r="I235" s="284">
        <v>10</v>
      </c>
      <c r="J235" s="265" t="s">
        <v>18</v>
      </c>
      <c r="K235" s="270"/>
    </row>
    <row r="236" spans="6:11" x14ac:dyDescent="0.3">
      <c r="F236" s="269">
        <f>ROW()-ROW(APORTACIONESOCIOS[[#Headers],[SECUENCIA]])</f>
        <v>232</v>
      </c>
      <c r="G236" s="176">
        <v>45306</v>
      </c>
      <c r="H236" s="3">
        <v>10</v>
      </c>
      <c r="I236" s="284">
        <v>11</v>
      </c>
      <c r="J236" s="265" t="s">
        <v>19</v>
      </c>
      <c r="K236" s="270"/>
    </row>
    <row r="237" spans="6:11" x14ac:dyDescent="0.3">
      <c r="F237" s="269">
        <f>ROW()-ROW(APORTACIONESOCIOS[[#Headers],[SECUENCIA]])</f>
        <v>233</v>
      </c>
      <c r="G237" s="176">
        <v>45306</v>
      </c>
      <c r="H237" s="3">
        <v>10</v>
      </c>
      <c r="I237" s="284">
        <v>12</v>
      </c>
      <c r="J237" s="265" t="s">
        <v>20</v>
      </c>
      <c r="K237" s="270"/>
    </row>
    <row r="238" spans="6:11" x14ac:dyDescent="0.3">
      <c r="F238" s="269">
        <f>ROW()-ROW(APORTACIONESOCIOS[[#Headers],[SECUENCIA]])</f>
        <v>234</v>
      </c>
      <c r="G238" s="176">
        <v>45306</v>
      </c>
      <c r="H238" s="3">
        <v>10</v>
      </c>
      <c r="I238" s="284">
        <v>14</v>
      </c>
      <c r="J238" s="265" t="s">
        <v>21</v>
      </c>
      <c r="K238" s="270"/>
    </row>
    <row r="239" spans="6:11" x14ac:dyDescent="0.3">
      <c r="F239" s="269">
        <f>ROW()-ROW(APORTACIONESOCIOS[[#Headers],[SECUENCIA]])</f>
        <v>235</v>
      </c>
      <c r="G239" s="176">
        <v>45306</v>
      </c>
      <c r="H239" s="3">
        <v>10</v>
      </c>
      <c r="I239" s="284">
        <v>15</v>
      </c>
      <c r="J239" s="265" t="s">
        <v>22</v>
      </c>
      <c r="K239" s="270"/>
    </row>
    <row r="240" spans="6:11" x14ac:dyDescent="0.3">
      <c r="F240" s="269">
        <f>ROW()-ROW(APORTACIONESOCIOS[[#Headers],[SECUENCIA]])</f>
        <v>236</v>
      </c>
      <c r="G240" s="176">
        <v>45306</v>
      </c>
      <c r="H240" s="3">
        <v>10</v>
      </c>
      <c r="I240" s="284">
        <v>16</v>
      </c>
      <c r="J240" s="265" t="s">
        <v>23</v>
      </c>
      <c r="K240" s="270"/>
    </row>
    <row r="241" spans="6:11" x14ac:dyDescent="0.3">
      <c r="F241" s="269">
        <f>ROW()-ROW(APORTACIONESOCIOS[[#Headers],[SECUENCIA]])</f>
        <v>237</v>
      </c>
      <c r="G241" s="176">
        <v>45337</v>
      </c>
      <c r="H241" s="3">
        <v>10</v>
      </c>
      <c r="I241" s="284">
        <v>3</v>
      </c>
      <c r="J241" s="265" t="s">
        <v>13</v>
      </c>
      <c r="K241" s="270"/>
    </row>
    <row r="242" spans="6:11" x14ac:dyDescent="0.3">
      <c r="F242" s="269">
        <f>ROW()-ROW(APORTACIONESOCIOS[[#Headers],[SECUENCIA]])</f>
        <v>238</v>
      </c>
      <c r="G242" s="176">
        <v>45337</v>
      </c>
      <c r="H242" s="3">
        <v>10</v>
      </c>
      <c r="I242" s="284">
        <v>4</v>
      </c>
      <c r="J242" s="265" t="s">
        <v>12</v>
      </c>
      <c r="K242" s="270"/>
    </row>
    <row r="243" spans="6:11" x14ac:dyDescent="0.3">
      <c r="F243" s="269">
        <f>ROW()-ROW(APORTACIONESOCIOS[[#Headers],[SECUENCIA]])</f>
        <v>239</v>
      </c>
      <c r="G243" s="176">
        <v>45337</v>
      </c>
      <c r="H243" s="3">
        <v>10</v>
      </c>
      <c r="I243" s="284">
        <v>5</v>
      </c>
      <c r="J243" s="265" t="s">
        <v>14</v>
      </c>
      <c r="K243" s="270"/>
    </row>
    <row r="244" spans="6:11" x14ac:dyDescent="0.3">
      <c r="F244" s="269">
        <f>ROW()-ROW(APORTACIONESOCIOS[[#Headers],[SECUENCIA]])</f>
        <v>240</v>
      </c>
      <c r="G244" s="176">
        <v>45337</v>
      </c>
      <c r="H244" s="3">
        <v>10</v>
      </c>
      <c r="I244" s="284">
        <v>6</v>
      </c>
      <c r="J244" s="265" t="s">
        <v>24</v>
      </c>
      <c r="K244" s="270"/>
    </row>
    <row r="245" spans="6:11" x14ac:dyDescent="0.3">
      <c r="F245" s="269">
        <f>ROW()-ROW(APORTACIONESOCIOS[[#Headers],[SECUENCIA]])</f>
        <v>241</v>
      </c>
      <c r="G245" s="176">
        <v>45337</v>
      </c>
      <c r="H245" s="3">
        <v>10</v>
      </c>
      <c r="I245" s="284">
        <v>7</v>
      </c>
      <c r="J245" s="265" t="s">
        <v>15</v>
      </c>
      <c r="K245" s="270"/>
    </row>
    <row r="246" spans="6:11" x14ac:dyDescent="0.3">
      <c r="F246" s="269">
        <f>ROW()-ROW(APORTACIONESOCIOS[[#Headers],[SECUENCIA]])</f>
        <v>242</v>
      </c>
      <c r="G246" s="176">
        <v>45337</v>
      </c>
      <c r="H246" s="3">
        <v>10</v>
      </c>
      <c r="I246" s="284">
        <v>8</v>
      </c>
      <c r="J246" s="265" t="s">
        <v>16</v>
      </c>
      <c r="K246" s="270"/>
    </row>
    <row r="247" spans="6:11" x14ac:dyDescent="0.3">
      <c r="F247" s="269">
        <f>ROW()-ROW(APORTACIONESOCIOS[[#Headers],[SECUENCIA]])</f>
        <v>243</v>
      </c>
      <c r="G247" s="176">
        <v>45337</v>
      </c>
      <c r="H247" s="3">
        <v>10</v>
      </c>
      <c r="I247" s="284">
        <v>9</v>
      </c>
      <c r="J247" s="265" t="s">
        <v>17</v>
      </c>
      <c r="K247" s="270"/>
    </row>
    <row r="248" spans="6:11" x14ac:dyDescent="0.3">
      <c r="F248" s="269">
        <f>ROW()-ROW(APORTACIONESOCIOS[[#Headers],[SECUENCIA]])</f>
        <v>244</v>
      </c>
      <c r="G248" s="176">
        <v>45337</v>
      </c>
      <c r="H248" s="3">
        <v>10</v>
      </c>
      <c r="I248" s="284">
        <v>10</v>
      </c>
      <c r="J248" s="265" t="s">
        <v>18</v>
      </c>
      <c r="K248" s="270"/>
    </row>
    <row r="249" spans="6:11" x14ac:dyDescent="0.3">
      <c r="F249" s="269">
        <f>ROW()-ROW(APORTACIONESOCIOS[[#Headers],[SECUENCIA]])</f>
        <v>245</v>
      </c>
      <c r="G249" s="176">
        <v>45337</v>
      </c>
      <c r="H249" s="3">
        <v>10</v>
      </c>
      <c r="I249" s="284">
        <v>11</v>
      </c>
      <c r="J249" s="265" t="s">
        <v>19</v>
      </c>
      <c r="K249" s="270"/>
    </row>
    <row r="250" spans="6:11" x14ac:dyDescent="0.3">
      <c r="F250" s="269">
        <f>ROW()-ROW(APORTACIONESOCIOS[[#Headers],[SECUENCIA]])</f>
        <v>246</v>
      </c>
      <c r="G250" s="176">
        <v>45337</v>
      </c>
      <c r="H250" s="3">
        <v>10</v>
      </c>
      <c r="I250" s="284">
        <v>12</v>
      </c>
      <c r="J250" s="265" t="s">
        <v>20</v>
      </c>
      <c r="K250" s="270"/>
    </row>
    <row r="251" spans="6:11" x14ac:dyDescent="0.3">
      <c r="F251" s="269">
        <f>ROW()-ROW(APORTACIONESOCIOS[[#Headers],[SECUENCIA]])</f>
        <v>247</v>
      </c>
      <c r="G251" s="176">
        <v>45337</v>
      </c>
      <c r="H251" s="3">
        <v>10</v>
      </c>
      <c r="I251" s="284">
        <v>14</v>
      </c>
      <c r="J251" s="265" t="s">
        <v>21</v>
      </c>
      <c r="K251" s="270"/>
    </row>
    <row r="252" spans="6:11" x14ac:dyDescent="0.3">
      <c r="F252" s="269">
        <f>ROW()-ROW(APORTACIONESOCIOS[[#Headers],[SECUENCIA]])</f>
        <v>248</v>
      </c>
      <c r="G252" s="176">
        <v>45337</v>
      </c>
      <c r="H252" s="3">
        <v>10</v>
      </c>
      <c r="I252" s="284">
        <v>15</v>
      </c>
      <c r="J252" s="265" t="s">
        <v>22</v>
      </c>
      <c r="K252" s="270"/>
    </row>
    <row r="253" spans="6:11" x14ac:dyDescent="0.3">
      <c r="F253" s="269">
        <f>ROW()-ROW(APORTACIONESOCIOS[[#Headers],[SECUENCIA]])</f>
        <v>249</v>
      </c>
      <c r="G253" s="176">
        <v>45337</v>
      </c>
      <c r="H253" s="3">
        <v>10</v>
      </c>
      <c r="I253" s="284">
        <v>16</v>
      </c>
      <c r="J253" s="265" t="s">
        <v>23</v>
      </c>
      <c r="K253" s="270"/>
    </row>
    <row r="254" spans="6:11" x14ac:dyDescent="0.3">
      <c r="F254" s="269">
        <f>ROW()-ROW(APORTACIONESOCIOS[[#Headers],[SECUENCIA]])</f>
        <v>250</v>
      </c>
      <c r="G254" s="189">
        <v>45366</v>
      </c>
      <c r="H254" s="3">
        <v>10</v>
      </c>
      <c r="I254" s="284">
        <v>3</v>
      </c>
      <c r="J254" s="265" t="s">
        <v>13</v>
      </c>
      <c r="K254" s="270"/>
    </row>
    <row r="255" spans="6:11" x14ac:dyDescent="0.3">
      <c r="F255" s="269">
        <f>ROW()-ROW(APORTACIONESOCIOS[[#Headers],[SECUENCIA]])</f>
        <v>251</v>
      </c>
      <c r="G255" s="176">
        <v>45366</v>
      </c>
      <c r="H255" s="3">
        <v>10</v>
      </c>
      <c r="I255" s="284">
        <v>4</v>
      </c>
      <c r="J255" s="265" t="s">
        <v>12</v>
      </c>
      <c r="K255" s="270"/>
    </row>
    <row r="256" spans="6:11" x14ac:dyDescent="0.3">
      <c r="F256" s="269">
        <f>ROW()-ROW(APORTACIONESOCIOS[[#Headers],[SECUENCIA]])</f>
        <v>252</v>
      </c>
      <c r="G256" s="176">
        <v>45366</v>
      </c>
      <c r="H256" s="3">
        <v>10</v>
      </c>
      <c r="I256" s="284">
        <v>5</v>
      </c>
      <c r="J256" s="265" t="s">
        <v>14</v>
      </c>
      <c r="K256" s="270"/>
    </row>
    <row r="257" spans="6:11" x14ac:dyDescent="0.3">
      <c r="F257" s="269">
        <f>ROW()-ROW(APORTACIONESOCIOS[[#Headers],[SECUENCIA]])</f>
        <v>253</v>
      </c>
      <c r="G257" s="176">
        <v>45366</v>
      </c>
      <c r="H257" s="3">
        <v>10</v>
      </c>
      <c r="I257" s="284">
        <v>6</v>
      </c>
      <c r="J257" s="265" t="s">
        <v>24</v>
      </c>
      <c r="K257" s="270"/>
    </row>
    <row r="258" spans="6:11" x14ac:dyDescent="0.3">
      <c r="F258" s="269">
        <f>ROW()-ROW(APORTACIONESOCIOS[[#Headers],[SECUENCIA]])</f>
        <v>254</v>
      </c>
      <c r="G258" s="176">
        <v>45366</v>
      </c>
      <c r="H258" s="3">
        <v>10</v>
      </c>
      <c r="I258" s="284">
        <v>7</v>
      </c>
      <c r="J258" s="265" t="s">
        <v>15</v>
      </c>
      <c r="K258" s="270"/>
    </row>
    <row r="259" spans="6:11" x14ac:dyDescent="0.3">
      <c r="F259" s="269">
        <f>ROW()-ROW(APORTACIONESOCIOS[[#Headers],[SECUENCIA]])</f>
        <v>255</v>
      </c>
      <c r="G259" s="176">
        <v>45366</v>
      </c>
      <c r="H259" s="3">
        <v>10</v>
      </c>
      <c r="I259" s="284">
        <v>8</v>
      </c>
      <c r="J259" s="265" t="s">
        <v>16</v>
      </c>
      <c r="K259" s="270"/>
    </row>
    <row r="260" spans="6:11" x14ac:dyDescent="0.3">
      <c r="F260" s="269">
        <f>ROW()-ROW(APORTACIONESOCIOS[[#Headers],[SECUENCIA]])</f>
        <v>256</v>
      </c>
      <c r="G260" s="176">
        <v>45366</v>
      </c>
      <c r="H260" s="3">
        <v>10</v>
      </c>
      <c r="I260" s="284">
        <v>9</v>
      </c>
      <c r="J260" s="265" t="s">
        <v>17</v>
      </c>
      <c r="K260" s="270"/>
    </row>
    <row r="261" spans="6:11" x14ac:dyDescent="0.3">
      <c r="F261" s="269">
        <f>ROW()-ROW(APORTACIONESOCIOS[[#Headers],[SECUENCIA]])</f>
        <v>257</v>
      </c>
      <c r="G261" s="176">
        <v>45366</v>
      </c>
      <c r="H261" s="3">
        <v>10</v>
      </c>
      <c r="I261" s="284">
        <v>10</v>
      </c>
      <c r="J261" s="265" t="s">
        <v>18</v>
      </c>
      <c r="K261" s="270"/>
    </row>
    <row r="262" spans="6:11" x14ac:dyDescent="0.3">
      <c r="F262" s="269">
        <f>ROW()-ROW(APORTACIONESOCIOS[[#Headers],[SECUENCIA]])</f>
        <v>258</v>
      </c>
      <c r="G262" s="176">
        <v>45366</v>
      </c>
      <c r="H262" s="3">
        <v>10</v>
      </c>
      <c r="I262" s="284">
        <v>11</v>
      </c>
      <c r="J262" s="265" t="s">
        <v>19</v>
      </c>
      <c r="K262" s="270"/>
    </row>
    <row r="263" spans="6:11" x14ac:dyDescent="0.3">
      <c r="F263" s="269">
        <f>ROW()-ROW(APORTACIONESOCIOS[[#Headers],[SECUENCIA]])</f>
        <v>259</v>
      </c>
      <c r="G263" s="176">
        <v>45366</v>
      </c>
      <c r="H263" s="3">
        <v>10</v>
      </c>
      <c r="I263" s="284">
        <v>12</v>
      </c>
      <c r="J263" s="265" t="s">
        <v>20</v>
      </c>
      <c r="K263" s="270"/>
    </row>
    <row r="264" spans="6:11" x14ac:dyDescent="0.3">
      <c r="F264" s="269">
        <f>ROW()-ROW(APORTACIONESOCIOS[[#Headers],[SECUENCIA]])</f>
        <v>260</v>
      </c>
      <c r="G264" s="176">
        <v>45366</v>
      </c>
      <c r="H264" s="3">
        <v>10</v>
      </c>
      <c r="I264" s="284">
        <v>14</v>
      </c>
      <c r="J264" s="265" t="s">
        <v>21</v>
      </c>
      <c r="K264" s="270"/>
    </row>
    <row r="265" spans="6:11" x14ac:dyDescent="0.3">
      <c r="F265" s="269">
        <f>ROW()-ROW(APORTACIONESOCIOS[[#Headers],[SECUENCIA]])</f>
        <v>261</v>
      </c>
      <c r="G265" s="176">
        <v>45366</v>
      </c>
      <c r="H265" s="3">
        <v>10</v>
      </c>
      <c r="I265" s="284">
        <v>15</v>
      </c>
      <c r="J265" s="265" t="s">
        <v>22</v>
      </c>
      <c r="K265" s="270"/>
    </row>
    <row r="266" spans="6:11" x14ac:dyDescent="0.3">
      <c r="F266" s="269">
        <f>ROW()-ROW(APORTACIONESOCIOS[[#Headers],[SECUENCIA]])</f>
        <v>262</v>
      </c>
      <c r="G266" s="176">
        <v>45366</v>
      </c>
      <c r="H266" s="3">
        <v>10</v>
      </c>
      <c r="I266" s="284">
        <v>16</v>
      </c>
      <c r="J266" s="265" t="s">
        <v>23</v>
      </c>
      <c r="K266" s="270"/>
    </row>
    <row r="267" spans="6:11" x14ac:dyDescent="0.3">
      <c r="F267" s="269">
        <f>ROW()-ROW(APORTACIONESOCIOS[[#Headers],[SECUENCIA]])</f>
        <v>263</v>
      </c>
      <c r="G267" s="189">
        <v>45397</v>
      </c>
      <c r="H267" s="3">
        <v>10</v>
      </c>
      <c r="I267" s="284">
        <v>3</v>
      </c>
      <c r="J267" s="265" t="s">
        <v>13</v>
      </c>
      <c r="K267" s="270"/>
    </row>
    <row r="268" spans="6:11" x14ac:dyDescent="0.3">
      <c r="F268" s="269">
        <f>ROW()-ROW(APORTACIONESOCIOS[[#Headers],[SECUENCIA]])</f>
        <v>264</v>
      </c>
      <c r="G268" s="176">
        <v>45397</v>
      </c>
      <c r="H268" s="3">
        <v>10</v>
      </c>
      <c r="I268" s="284">
        <v>4</v>
      </c>
      <c r="J268" s="265" t="s">
        <v>12</v>
      </c>
      <c r="K268" s="270"/>
    </row>
    <row r="269" spans="6:11" x14ac:dyDescent="0.3">
      <c r="F269" s="269">
        <f>ROW()-ROW(APORTACIONESOCIOS[[#Headers],[SECUENCIA]])</f>
        <v>265</v>
      </c>
      <c r="G269" s="176">
        <v>45397</v>
      </c>
      <c r="H269" s="3">
        <v>10</v>
      </c>
      <c r="I269" s="284">
        <v>5</v>
      </c>
      <c r="J269" s="265" t="s">
        <v>14</v>
      </c>
      <c r="K269" s="270"/>
    </row>
    <row r="270" spans="6:11" x14ac:dyDescent="0.3">
      <c r="F270" s="269">
        <f>ROW()-ROW(APORTACIONESOCIOS[[#Headers],[SECUENCIA]])</f>
        <v>266</v>
      </c>
      <c r="G270" s="176">
        <v>45397</v>
      </c>
      <c r="H270" s="3">
        <v>10</v>
      </c>
      <c r="I270" s="284">
        <v>6</v>
      </c>
      <c r="J270" s="265" t="s">
        <v>24</v>
      </c>
      <c r="K270" s="270"/>
    </row>
    <row r="271" spans="6:11" x14ac:dyDescent="0.3">
      <c r="F271" s="269">
        <f>ROW()-ROW(APORTACIONESOCIOS[[#Headers],[SECUENCIA]])</f>
        <v>267</v>
      </c>
      <c r="G271" s="176">
        <v>45397</v>
      </c>
      <c r="H271" s="3">
        <v>10</v>
      </c>
      <c r="I271" s="284">
        <v>7</v>
      </c>
      <c r="J271" s="265" t="s">
        <v>15</v>
      </c>
      <c r="K271" s="270"/>
    </row>
    <row r="272" spans="6:11" x14ac:dyDescent="0.3">
      <c r="F272" s="269">
        <f>ROW()-ROW(APORTACIONESOCIOS[[#Headers],[SECUENCIA]])</f>
        <v>268</v>
      </c>
      <c r="G272" s="176">
        <v>45397</v>
      </c>
      <c r="H272" s="3">
        <v>10</v>
      </c>
      <c r="I272" s="284">
        <v>8</v>
      </c>
      <c r="J272" s="265" t="s">
        <v>16</v>
      </c>
      <c r="K272" s="270"/>
    </row>
    <row r="273" spans="6:11" x14ac:dyDescent="0.3">
      <c r="F273" s="269">
        <f>ROW()-ROW(APORTACIONESOCIOS[[#Headers],[SECUENCIA]])</f>
        <v>269</v>
      </c>
      <c r="G273" s="176">
        <v>45397</v>
      </c>
      <c r="H273" s="3">
        <v>10</v>
      </c>
      <c r="I273" s="284">
        <v>9</v>
      </c>
      <c r="J273" s="265" t="s">
        <v>17</v>
      </c>
      <c r="K273" s="270"/>
    </row>
    <row r="274" spans="6:11" x14ac:dyDescent="0.3">
      <c r="F274" s="269">
        <f>ROW()-ROW(APORTACIONESOCIOS[[#Headers],[SECUENCIA]])</f>
        <v>270</v>
      </c>
      <c r="G274" s="176">
        <v>45397</v>
      </c>
      <c r="H274" s="3">
        <v>10</v>
      </c>
      <c r="I274" s="284">
        <v>10</v>
      </c>
      <c r="J274" s="265" t="s">
        <v>18</v>
      </c>
      <c r="K274" s="270"/>
    </row>
    <row r="275" spans="6:11" x14ac:dyDescent="0.3">
      <c r="F275" s="269">
        <f>ROW()-ROW(APORTACIONESOCIOS[[#Headers],[SECUENCIA]])</f>
        <v>271</v>
      </c>
      <c r="G275" s="176">
        <v>45397</v>
      </c>
      <c r="H275" s="3">
        <v>10</v>
      </c>
      <c r="I275" s="284">
        <v>11</v>
      </c>
      <c r="J275" s="265" t="s">
        <v>19</v>
      </c>
      <c r="K275" s="270"/>
    </row>
    <row r="276" spans="6:11" x14ac:dyDescent="0.3">
      <c r="F276" s="269">
        <f>ROW()-ROW(APORTACIONESOCIOS[[#Headers],[SECUENCIA]])</f>
        <v>272</v>
      </c>
      <c r="G276" s="176">
        <v>45397</v>
      </c>
      <c r="H276" s="3">
        <v>10</v>
      </c>
      <c r="I276" s="284">
        <v>12</v>
      </c>
      <c r="J276" s="265" t="s">
        <v>20</v>
      </c>
      <c r="K276" s="270"/>
    </row>
    <row r="277" spans="6:11" x14ac:dyDescent="0.3">
      <c r="F277" s="269">
        <f>ROW()-ROW(APORTACIONESOCIOS[[#Headers],[SECUENCIA]])</f>
        <v>273</v>
      </c>
      <c r="G277" s="176">
        <v>45397</v>
      </c>
      <c r="H277" s="3">
        <v>10</v>
      </c>
      <c r="I277" s="284">
        <v>14</v>
      </c>
      <c r="J277" s="265" t="s">
        <v>21</v>
      </c>
      <c r="K277" s="270"/>
    </row>
    <row r="278" spans="6:11" x14ac:dyDescent="0.3">
      <c r="F278" s="269">
        <f>ROW()-ROW(APORTACIONESOCIOS[[#Headers],[SECUENCIA]])</f>
        <v>274</v>
      </c>
      <c r="G278" s="176">
        <v>45397</v>
      </c>
      <c r="H278" s="3">
        <v>10</v>
      </c>
      <c r="I278" s="284">
        <v>15</v>
      </c>
      <c r="J278" s="265" t="s">
        <v>22</v>
      </c>
      <c r="K278" s="270"/>
    </row>
    <row r="279" spans="6:11" x14ac:dyDescent="0.3">
      <c r="F279" s="269">
        <f>ROW()-ROW(APORTACIONESOCIOS[[#Headers],[SECUENCIA]])</f>
        <v>275</v>
      </c>
      <c r="G279" s="176">
        <v>45397</v>
      </c>
      <c r="H279" s="3">
        <v>10</v>
      </c>
      <c r="I279" s="284">
        <v>16</v>
      </c>
      <c r="J279" s="265" t="s">
        <v>23</v>
      </c>
      <c r="K279" s="270"/>
    </row>
    <row r="280" spans="6:11" x14ac:dyDescent="0.3">
      <c r="F280" s="269">
        <f>ROW()-ROW(APORTACIONESOCIOS[[#Headers],[SECUENCIA]])</f>
        <v>276</v>
      </c>
      <c r="G280" s="189">
        <v>45427</v>
      </c>
      <c r="H280" s="3">
        <v>10</v>
      </c>
      <c r="I280" s="284">
        <v>3</v>
      </c>
      <c r="J280" s="265" t="s">
        <v>13</v>
      </c>
      <c r="K280" s="270"/>
    </row>
    <row r="281" spans="6:11" x14ac:dyDescent="0.3">
      <c r="F281" s="269">
        <f>ROW()-ROW(APORTACIONESOCIOS[[#Headers],[SECUENCIA]])</f>
        <v>277</v>
      </c>
      <c r="G281" s="176">
        <v>45427</v>
      </c>
      <c r="H281" s="3">
        <v>10</v>
      </c>
      <c r="I281" s="284">
        <v>4</v>
      </c>
      <c r="J281" s="265" t="s">
        <v>12</v>
      </c>
      <c r="K281" s="270"/>
    </row>
    <row r="282" spans="6:11" x14ac:dyDescent="0.3">
      <c r="F282" s="269">
        <f>ROW()-ROW(APORTACIONESOCIOS[[#Headers],[SECUENCIA]])</f>
        <v>278</v>
      </c>
      <c r="G282" s="176">
        <v>45427</v>
      </c>
      <c r="H282" s="3">
        <v>10</v>
      </c>
      <c r="I282" s="284">
        <v>5</v>
      </c>
      <c r="J282" s="265" t="s">
        <v>14</v>
      </c>
      <c r="K282" s="270"/>
    </row>
    <row r="283" spans="6:11" x14ac:dyDescent="0.3">
      <c r="F283" s="269">
        <f>ROW()-ROW(APORTACIONESOCIOS[[#Headers],[SECUENCIA]])</f>
        <v>279</v>
      </c>
      <c r="G283" s="176">
        <v>45427</v>
      </c>
      <c r="H283" s="3">
        <v>10</v>
      </c>
      <c r="I283" s="284">
        <v>6</v>
      </c>
      <c r="J283" s="265" t="s">
        <v>24</v>
      </c>
      <c r="K283" s="270"/>
    </row>
    <row r="284" spans="6:11" x14ac:dyDescent="0.3">
      <c r="F284" s="269">
        <f>ROW()-ROW(APORTACIONESOCIOS[[#Headers],[SECUENCIA]])</f>
        <v>280</v>
      </c>
      <c r="G284" s="176">
        <v>45427</v>
      </c>
      <c r="H284" s="3">
        <v>10</v>
      </c>
      <c r="I284" s="284">
        <v>7</v>
      </c>
      <c r="J284" s="265" t="s">
        <v>15</v>
      </c>
      <c r="K284" s="270"/>
    </row>
    <row r="285" spans="6:11" x14ac:dyDescent="0.3">
      <c r="F285" s="269">
        <f>ROW()-ROW(APORTACIONESOCIOS[[#Headers],[SECUENCIA]])</f>
        <v>281</v>
      </c>
      <c r="G285" s="176">
        <v>45427</v>
      </c>
      <c r="H285" s="3">
        <v>10</v>
      </c>
      <c r="I285" s="284">
        <v>8</v>
      </c>
      <c r="J285" s="265" t="s">
        <v>16</v>
      </c>
      <c r="K285" s="270"/>
    </row>
    <row r="286" spans="6:11" x14ac:dyDescent="0.3">
      <c r="F286" s="269">
        <f>ROW()-ROW(APORTACIONESOCIOS[[#Headers],[SECUENCIA]])</f>
        <v>282</v>
      </c>
      <c r="G286" s="176">
        <v>45427</v>
      </c>
      <c r="H286" s="3">
        <v>10</v>
      </c>
      <c r="I286" s="284">
        <v>9</v>
      </c>
      <c r="J286" s="265" t="s">
        <v>17</v>
      </c>
      <c r="K286" s="270"/>
    </row>
    <row r="287" spans="6:11" x14ac:dyDescent="0.3">
      <c r="F287" s="269">
        <f>ROW()-ROW(APORTACIONESOCIOS[[#Headers],[SECUENCIA]])</f>
        <v>283</v>
      </c>
      <c r="G287" s="176">
        <v>45427</v>
      </c>
      <c r="H287" s="3">
        <v>10</v>
      </c>
      <c r="I287" s="284">
        <v>10</v>
      </c>
      <c r="J287" s="265" t="s">
        <v>18</v>
      </c>
      <c r="K287" s="270"/>
    </row>
    <row r="288" spans="6:11" x14ac:dyDescent="0.3">
      <c r="F288" s="269">
        <f>ROW()-ROW(APORTACIONESOCIOS[[#Headers],[SECUENCIA]])</f>
        <v>284</v>
      </c>
      <c r="G288" s="176">
        <v>45427</v>
      </c>
      <c r="H288" s="3">
        <v>10</v>
      </c>
      <c r="I288" s="284">
        <v>11</v>
      </c>
      <c r="J288" s="265" t="s">
        <v>19</v>
      </c>
      <c r="K288" s="270"/>
    </row>
    <row r="289" spans="6:11" x14ac:dyDescent="0.3">
      <c r="F289" s="269">
        <f>ROW()-ROW(APORTACIONESOCIOS[[#Headers],[SECUENCIA]])</f>
        <v>285</v>
      </c>
      <c r="G289" s="176">
        <v>45427</v>
      </c>
      <c r="H289" s="3">
        <v>10</v>
      </c>
      <c r="I289" s="284">
        <v>12</v>
      </c>
      <c r="J289" s="265" t="s">
        <v>20</v>
      </c>
      <c r="K289" s="270"/>
    </row>
    <row r="290" spans="6:11" x14ac:dyDescent="0.3">
      <c r="F290" s="269">
        <f>ROW()-ROW(APORTACIONESOCIOS[[#Headers],[SECUENCIA]])</f>
        <v>286</v>
      </c>
      <c r="G290" s="176">
        <v>45427</v>
      </c>
      <c r="H290" s="3">
        <v>10</v>
      </c>
      <c r="I290" s="284">
        <v>14</v>
      </c>
      <c r="J290" s="265" t="s">
        <v>21</v>
      </c>
      <c r="K290" s="270"/>
    </row>
    <row r="291" spans="6:11" x14ac:dyDescent="0.3">
      <c r="F291" s="269">
        <f>ROW()-ROW(APORTACIONESOCIOS[[#Headers],[SECUENCIA]])</f>
        <v>287</v>
      </c>
      <c r="G291" s="176">
        <v>45427</v>
      </c>
      <c r="H291" s="3">
        <v>10</v>
      </c>
      <c r="I291" s="284">
        <v>15</v>
      </c>
      <c r="J291" s="265" t="s">
        <v>22</v>
      </c>
      <c r="K291" s="270"/>
    </row>
    <row r="292" spans="6:11" x14ac:dyDescent="0.3">
      <c r="F292" s="269">
        <f>ROW()-ROW(APORTACIONESOCIOS[[#Headers],[SECUENCIA]])</f>
        <v>288</v>
      </c>
      <c r="G292" s="176">
        <v>45427</v>
      </c>
      <c r="H292" s="3">
        <v>10</v>
      </c>
      <c r="I292" s="284">
        <v>16</v>
      </c>
      <c r="J292" s="265" t="s">
        <v>23</v>
      </c>
      <c r="K292" s="270"/>
    </row>
    <row r="293" spans="6:11" x14ac:dyDescent="0.3">
      <c r="F293" s="269">
        <f>ROW()-ROW(APORTACIONESOCIOS[[#Headers],[SECUENCIA]])</f>
        <v>289</v>
      </c>
      <c r="G293" s="189">
        <v>45458</v>
      </c>
      <c r="H293" s="3">
        <v>10</v>
      </c>
      <c r="I293" s="284">
        <v>3</v>
      </c>
      <c r="J293" s="265" t="s">
        <v>13</v>
      </c>
      <c r="K293" s="270"/>
    </row>
    <row r="294" spans="6:11" x14ac:dyDescent="0.3">
      <c r="F294" s="269">
        <f>ROW()-ROW(APORTACIONESOCIOS[[#Headers],[SECUENCIA]])</f>
        <v>290</v>
      </c>
      <c r="G294" s="176">
        <v>45458</v>
      </c>
      <c r="H294" s="3">
        <v>10</v>
      </c>
      <c r="I294" s="284">
        <v>4</v>
      </c>
      <c r="J294" s="265" t="s">
        <v>12</v>
      </c>
      <c r="K294" s="270"/>
    </row>
    <row r="295" spans="6:11" x14ac:dyDescent="0.3">
      <c r="F295" s="269">
        <f>ROW()-ROW(APORTACIONESOCIOS[[#Headers],[SECUENCIA]])</f>
        <v>291</v>
      </c>
      <c r="G295" s="176">
        <v>45458</v>
      </c>
      <c r="H295" s="3">
        <v>10</v>
      </c>
      <c r="I295" s="284">
        <v>5</v>
      </c>
      <c r="J295" s="265" t="s">
        <v>14</v>
      </c>
      <c r="K295" s="270"/>
    </row>
    <row r="296" spans="6:11" x14ac:dyDescent="0.3">
      <c r="F296" s="269">
        <f>ROW()-ROW(APORTACIONESOCIOS[[#Headers],[SECUENCIA]])</f>
        <v>292</v>
      </c>
      <c r="G296" s="176">
        <v>45458</v>
      </c>
      <c r="H296" s="3">
        <v>10</v>
      </c>
      <c r="I296" s="284">
        <v>6</v>
      </c>
      <c r="J296" s="265" t="s">
        <v>24</v>
      </c>
      <c r="K296" s="270"/>
    </row>
    <row r="297" spans="6:11" x14ac:dyDescent="0.3">
      <c r="F297" s="269">
        <f>ROW()-ROW(APORTACIONESOCIOS[[#Headers],[SECUENCIA]])</f>
        <v>293</v>
      </c>
      <c r="G297" s="176">
        <v>45458</v>
      </c>
      <c r="H297" s="3">
        <v>10</v>
      </c>
      <c r="I297" s="284">
        <v>7</v>
      </c>
      <c r="J297" s="265" t="s">
        <v>15</v>
      </c>
      <c r="K297" s="270"/>
    </row>
    <row r="298" spans="6:11" x14ac:dyDescent="0.3">
      <c r="F298" s="269">
        <f>ROW()-ROW(APORTACIONESOCIOS[[#Headers],[SECUENCIA]])</f>
        <v>294</v>
      </c>
      <c r="G298" s="176">
        <v>45458</v>
      </c>
      <c r="H298" s="3">
        <v>10</v>
      </c>
      <c r="I298" s="284">
        <v>8</v>
      </c>
      <c r="J298" s="265" t="s">
        <v>16</v>
      </c>
      <c r="K298" s="270"/>
    </row>
    <row r="299" spans="6:11" x14ac:dyDescent="0.3">
      <c r="F299" s="269">
        <f>ROW()-ROW(APORTACIONESOCIOS[[#Headers],[SECUENCIA]])</f>
        <v>295</v>
      </c>
      <c r="G299" s="176">
        <v>45458</v>
      </c>
      <c r="H299" s="3">
        <v>10</v>
      </c>
      <c r="I299" s="284">
        <v>9</v>
      </c>
      <c r="J299" s="265" t="s">
        <v>17</v>
      </c>
      <c r="K299" s="270"/>
    </row>
    <row r="300" spans="6:11" x14ac:dyDescent="0.3">
      <c r="F300" s="269">
        <f>ROW()-ROW(APORTACIONESOCIOS[[#Headers],[SECUENCIA]])</f>
        <v>296</v>
      </c>
      <c r="G300" s="176">
        <v>45458</v>
      </c>
      <c r="H300" s="3">
        <v>10</v>
      </c>
      <c r="I300" s="284">
        <v>10</v>
      </c>
      <c r="J300" s="265" t="s">
        <v>18</v>
      </c>
      <c r="K300" s="270"/>
    </row>
    <row r="301" spans="6:11" x14ac:dyDescent="0.3">
      <c r="F301" s="269">
        <f>ROW()-ROW(APORTACIONESOCIOS[[#Headers],[SECUENCIA]])</f>
        <v>297</v>
      </c>
      <c r="G301" s="176">
        <v>45458</v>
      </c>
      <c r="H301" s="3">
        <v>10</v>
      </c>
      <c r="I301" s="284">
        <v>11</v>
      </c>
      <c r="J301" s="265" t="s">
        <v>19</v>
      </c>
      <c r="K301" s="270"/>
    </row>
    <row r="302" spans="6:11" x14ac:dyDescent="0.3">
      <c r="F302" s="269">
        <f>ROW()-ROW(APORTACIONESOCIOS[[#Headers],[SECUENCIA]])</f>
        <v>298</v>
      </c>
      <c r="G302" s="176">
        <v>45458</v>
      </c>
      <c r="H302" s="3">
        <v>10</v>
      </c>
      <c r="I302" s="284">
        <v>12</v>
      </c>
      <c r="J302" s="265" t="s">
        <v>20</v>
      </c>
      <c r="K302" s="270"/>
    </row>
    <row r="303" spans="6:11" x14ac:dyDescent="0.3">
      <c r="F303" s="269">
        <f>ROW()-ROW(APORTACIONESOCIOS[[#Headers],[SECUENCIA]])</f>
        <v>299</v>
      </c>
      <c r="G303" s="176">
        <v>45458</v>
      </c>
      <c r="H303" s="3">
        <v>10</v>
      </c>
      <c r="I303" s="284">
        <v>14</v>
      </c>
      <c r="J303" s="265" t="s">
        <v>21</v>
      </c>
      <c r="K303" s="270"/>
    </row>
    <row r="304" spans="6:11" x14ac:dyDescent="0.3">
      <c r="F304" s="269">
        <f>ROW()-ROW(APORTACIONESOCIOS[[#Headers],[SECUENCIA]])</f>
        <v>300</v>
      </c>
      <c r="G304" s="176">
        <v>45458</v>
      </c>
      <c r="H304" s="3">
        <v>10</v>
      </c>
      <c r="I304" s="284">
        <v>15</v>
      </c>
      <c r="J304" s="265" t="s">
        <v>22</v>
      </c>
      <c r="K304" s="270"/>
    </row>
    <row r="305" spans="6:11" x14ac:dyDescent="0.3">
      <c r="F305" s="269">
        <f>ROW()-ROW(APORTACIONESOCIOS[[#Headers],[SECUENCIA]])</f>
        <v>301</v>
      </c>
      <c r="G305" s="176">
        <v>45458</v>
      </c>
      <c r="H305" s="3">
        <v>10</v>
      </c>
      <c r="I305" s="284">
        <v>16</v>
      </c>
      <c r="J305" s="265" t="s">
        <v>23</v>
      </c>
      <c r="K305" s="270"/>
    </row>
    <row r="306" spans="6:11" x14ac:dyDescent="0.3">
      <c r="F306" s="269">
        <f>ROW()-ROW(APORTACIONESOCIOS[[#Headers],[SECUENCIA]])</f>
        <v>302</v>
      </c>
      <c r="G306" s="189">
        <v>45488</v>
      </c>
      <c r="H306" s="3">
        <v>10</v>
      </c>
      <c r="I306" s="284">
        <v>3</v>
      </c>
      <c r="J306" s="265" t="s">
        <v>13</v>
      </c>
      <c r="K306" s="270"/>
    </row>
    <row r="307" spans="6:11" x14ac:dyDescent="0.3">
      <c r="F307" s="269">
        <f>ROW()-ROW(APORTACIONESOCIOS[[#Headers],[SECUENCIA]])</f>
        <v>303</v>
      </c>
      <c r="G307" s="176">
        <v>45488</v>
      </c>
      <c r="H307" s="3">
        <v>10</v>
      </c>
      <c r="I307" s="284">
        <v>4</v>
      </c>
      <c r="J307" s="265" t="s">
        <v>12</v>
      </c>
      <c r="K307" s="270"/>
    </row>
    <row r="308" spans="6:11" x14ac:dyDescent="0.3">
      <c r="F308" s="269">
        <f>ROW()-ROW(APORTACIONESOCIOS[[#Headers],[SECUENCIA]])</f>
        <v>304</v>
      </c>
      <c r="G308" s="176">
        <v>45488</v>
      </c>
      <c r="H308" s="3">
        <v>10</v>
      </c>
      <c r="I308" s="284">
        <v>5</v>
      </c>
      <c r="J308" s="265" t="s">
        <v>14</v>
      </c>
      <c r="K308" s="270"/>
    </row>
    <row r="309" spans="6:11" x14ac:dyDescent="0.3">
      <c r="F309" s="269">
        <f>ROW()-ROW(APORTACIONESOCIOS[[#Headers],[SECUENCIA]])</f>
        <v>305</v>
      </c>
      <c r="G309" s="176">
        <v>45488</v>
      </c>
      <c r="H309" s="3">
        <v>10</v>
      </c>
      <c r="I309" s="284">
        <v>6</v>
      </c>
      <c r="J309" s="265" t="s">
        <v>24</v>
      </c>
      <c r="K309" s="270"/>
    </row>
    <row r="310" spans="6:11" x14ac:dyDescent="0.3">
      <c r="F310" s="269">
        <f>ROW()-ROW(APORTACIONESOCIOS[[#Headers],[SECUENCIA]])</f>
        <v>306</v>
      </c>
      <c r="G310" s="176">
        <v>45488</v>
      </c>
      <c r="H310" s="3">
        <v>10</v>
      </c>
      <c r="I310" s="284">
        <v>7</v>
      </c>
      <c r="J310" s="265" t="s">
        <v>15</v>
      </c>
      <c r="K310" s="270"/>
    </row>
    <row r="311" spans="6:11" x14ac:dyDescent="0.3">
      <c r="F311" s="269">
        <f>ROW()-ROW(APORTACIONESOCIOS[[#Headers],[SECUENCIA]])</f>
        <v>307</v>
      </c>
      <c r="G311" s="176">
        <v>45488</v>
      </c>
      <c r="H311" s="3">
        <v>10</v>
      </c>
      <c r="I311" s="284">
        <v>8</v>
      </c>
      <c r="J311" s="265" t="s">
        <v>16</v>
      </c>
      <c r="K311" s="270"/>
    </row>
    <row r="312" spans="6:11" x14ac:dyDescent="0.3">
      <c r="F312" s="269">
        <f>ROW()-ROW(APORTACIONESOCIOS[[#Headers],[SECUENCIA]])</f>
        <v>308</v>
      </c>
      <c r="G312" s="176">
        <v>45488</v>
      </c>
      <c r="H312" s="3">
        <v>10</v>
      </c>
      <c r="I312" s="284">
        <v>9</v>
      </c>
      <c r="J312" s="265" t="s">
        <v>17</v>
      </c>
      <c r="K312" s="270"/>
    </row>
    <row r="313" spans="6:11" x14ac:dyDescent="0.3">
      <c r="F313" s="269">
        <f>ROW()-ROW(APORTACIONESOCIOS[[#Headers],[SECUENCIA]])</f>
        <v>309</v>
      </c>
      <c r="G313" s="176">
        <v>45488</v>
      </c>
      <c r="H313" s="3">
        <v>10</v>
      </c>
      <c r="I313" s="284">
        <v>10</v>
      </c>
      <c r="J313" s="265" t="s">
        <v>18</v>
      </c>
      <c r="K313" s="270"/>
    </row>
    <row r="314" spans="6:11" x14ac:dyDescent="0.3">
      <c r="F314" s="269">
        <f>ROW()-ROW(APORTACIONESOCIOS[[#Headers],[SECUENCIA]])</f>
        <v>310</v>
      </c>
      <c r="G314" s="176">
        <v>45488</v>
      </c>
      <c r="H314" s="3">
        <v>10</v>
      </c>
      <c r="I314" s="284">
        <v>11</v>
      </c>
      <c r="J314" s="265" t="s">
        <v>19</v>
      </c>
      <c r="K314" s="270"/>
    </row>
    <row r="315" spans="6:11" x14ac:dyDescent="0.3">
      <c r="F315" s="269">
        <f>ROW()-ROW(APORTACIONESOCIOS[[#Headers],[SECUENCIA]])</f>
        <v>311</v>
      </c>
      <c r="G315" s="176">
        <v>45488</v>
      </c>
      <c r="H315" s="3">
        <v>10</v>
      </c>
      <c r="I315" s="284">
        <v>12</v>
      </c>
      <c r="J315" s="265" t="s">
        <v>20</v>
      </c>
      <c r="K315" s="270"/>
    </row>
    <row r="316" spans="6:11" x14ac:dyDescent="0.3">
      <c r="F316" s="269">
        <f>ROW()-ROW(APORTACIONESOCIOS[[#Headers],[SECUENCIA]])</f>
        <v>312</v>
      </c>
      <c r="G316" s="176">
        <v>45488</v>
      </c>
      <c r="H316" s="3">
        <v>10</v>
      </c>
      <c r="I316" s="284">
        <v>14</v>
      </c>
      <c r="J316" s="265" t="s">
        <v>21</v>
      </c>
      <c r="K316" s="270"/>
    </row>
    <row r="317" spans="6:11" x14ac:dyDescent="0.3">
      <c r="F317" s="269">
        <f>ROW()-ROW(APORTACIONESOCIOS[[#Headers],[SECUENCIA]])</f>
        <v>313</v>
      </c>
      <c r="G317" s="176">
        <v>45488</v>
      </c>
      <c r="H317" s="3">
        <v>10</v>
      </c>
      <c r="I317" s="284">
        <v>15</v>
      </c>
      <c r="J317" s="265" t="s">
        <v>22</v>
      </c>
      <c r="K317" s="270"/>
    </row>
    <row r="318" spans="6:11" x14ac:dyDescent="0.3">
      <c r="F318" s="269">
        <f>ROW()-ROW(APORTACIONESOCIOS[[#Headers],[SECUENCIA]])</f>
        <v>314</v>
      </c>
      <c r="G318" s="176">
        <v>45488</v>
      </c>
      <c r="H318" s="3">
        <v>10</v>
      </c>
      <c r="I318" s="284">
        <v>16</v>
      </c>
      <c r="J318" s="265" t="s">
        <v>23</v>
      </c>
      <c r="K318" s="270"/>
    </row>
    <row r="319" spans="6:11" x14ac:dyDescent="0.3">
      <c r="F319" s="269">
        <f>ROW()-ROW(APORTACIONESOCIOS[[#Headers],[SECUENCIA]])</f>
        <v>315</v>
      </c>
      <c r="G319" s="189">
        <v>45519</v>
      </c>
      <c r="H319" s="3">
        <v>10</v>
      </c>
      <c r="I319" s="284">
        <v>3</v>
      </c>
      <c r="J319" s="265" t="s">
        <v>13</v>
      </c>
      <c r="K319" s="270"/>
    </row>
    <row r="320" spans="6:11" x14ac:dyDescent="0.3">
      <c r="F320" s="269">
        <f>ROW()-ROW(APORTACIONESOCIOS[[#Headers],[SECUENCIA]])</f>
        <v>316</v>
      </c>
      <c r="G320" s="176">
        <v>45519</v>
      </c>
      <c r="H320" s="3">
        <v>10</v>
      </c>
      <c r="I320" s="284">
        <v>4</v>
      </c>
      <c r="J320" s="265" t="s">
        <v>12</v>
      </c>
      <c r="K320" s="270"/>
    </row>
    <row r="321" spans="6:11" x14ac:dyDescent="0.3">
      <c r="F321" s="269">
        <f>ROW()-ROW(APORTACIONESOCIOS[[#Headers],[SECUENCIA]])</f>
        <v>317</v>
      </c>
      <c r="G321" s="176">
        <v>45519</v>
      </c>
      <c r="H321" s="3">
        <v>10</v>
      </c>
      <c r="I321" s="284">
        <v>5</v>
      </c>
      <c r="J321" s="265" t="s">
        <v>14</v>
      </c>
      <c r="K321" s="270"/>
    </row>
    <row r="322" spans="6:11" x14ac:dyDescent="0.3">
      <c r="F322" s="269">
        <f>ROW()-ROW(APORTACIONESOCIOS[[#Headers],[SECUENCIA]])</f>
        <v>318</v>
      </c>
      <c r="G322" s="176">
        <v>45519</v>
      </c>
      <c r="H322" s="3">
        <v>10</v>
      </c>
      <c r="I322" s="284">
        <v>6</v>
      </c>
      <c r="J322" s="265" t="s">
        <v>24</v>
      </c>
      <c r="K322" s="270"/>
    </row>
    <row r="323" spans="6:11" x14ac:dyDescent="0.3">
      <c r="F323" s="269">
        <f>ROW()-ROW(APORTACIONESOCIOS[[#Headers],[SECUENCIA]])</f>
        <v>319</v>
      </c>
      <c r="G323" s="176">
        <v>45519</v>
      </c>
      <c r="H323" s="3">
        <v>10</v>
      </c>
      <c r="I323" s="284">
        <v>7</v>
      </c>
      <c r="J323" s="265" t="s">
        <v>15</v>
      </c>
      <c r="K323" s="270"/>
    </row>
    <row r="324" spans="6:11" x14ac:dyDescent="0.3">
      <c r="F324" s="269">
        <f>ROW()-ROW(APORTACIONESOCIOS[[#Headers],[SECUENCIA]])</f>
        <v>320</v>
      </c>
      <c r="G324" s="176">
        <v>45519</v>
      </c>
      <c r="H324" s="3">
        <v>10</v>
      </c>
      <c r="I324" s="284">
        <v>8</v>
      </c>
      <c r="J324" s="265" t="s">
        <v>16</v>
      </c>
      <c r="K324" s="270"/>
    </row>
    <row r="325" spans="6:11" x14ac:dyDescent="0.3">
      <c r="F325" s="269">
        <f>ROW()-ROW(APORTACIONESOCIOS[[#Headers],[SECUENCIA]])</f>
        <v>321</v>
      </c>
      <c r="G325" s="176">
        <v>45519</v>
      </c>
      <c r="H325" s="3">
        <v>10</v>
      </c>
      <c r="I325" s="284">
        <v>9</v>
      </c>
      <c r="J325" s="265" t="s">
        <v>17</v>
      </c>
      <c r="K325" s="270"/>
    </row>
    <row r="326" spans="6:11" x14ac:dyDescent="0.3">
      <c r="F326" s="269">
        <f>ROW()-ROW(APORTACIONESOCIOS[[#Headers],[SECUENCIA]])</f>
        <v>322</v>
      </c>
      <c r="G326" s="176">
        <v>45519</v>
      </c>
      <c r="H326" s="3">
        <v>10</v>
      </c>
      <c r="I326" s="284">
        <v>10</v>
      </c>
      <c r="J326" s="265" t="s">
        <v>18</v>
      </c>
      <c r="K326" s="270"/>
    </row>
    <row r="327" spans="6:11" x14ac:dyDescent="0.3">
      <c r="F327" s="269">
        <f>ROW()-ROW(APORTACIONESOCIOS[[#Headers],[SECUENCIA]])</f>
        <v>323</v>
      </c>
      <c r="G327" s="176">
        <v>45519</v>
      </c>
      <c r="H327" s="3">
        <v>10</v>
      </c>
      <c r="I327" s="284">
        <v>11</v>
      </c>
      <c r="J327" s="265" t="s">
        <v>19</v>
      </c>
      <c r="K327" s="270"/>
    </row>
    <row r="328" spans="6:11" x14ac:dyDescent="0.3">
      <c r="F328" s="269">
        <f>ROW()-ROW(APORTACIONESOCIOS[[#Headers],[SECUENCIA]])</f>
        <v>324</v>
      </c>
      <c r="G328" s="176">
        <v>45519</v>
      </c>
      <c r="H328" s="3">
        <v>10</v>
      </c>
      <c r="I328" s="284">
        <v>12</v>
      </c>
      <c r="J328" s="265" t="s">
        <v>20</v>
      </c>
      <c r="K328" s="270"/>
    </row>
    <row r="329" spans="6:11" x14ac:dyDescent="0.3">
      <c r="F329" s="269">
        <f>ROW()-ROW(APORTACIONESOCIOS[[#Headers],[SECUENCIA]])</f>
        <v>325</v>
      </c>
      <c r="G329" s="176">
        <v>45519</v>
      </c>
      <c r="H329" s="3">
        <v>10</v>
      </c>
      <c r="I329" s="284">
        <v>14</v>
      </c>
      <c r="J329" s="265" t="s">
        <v>21</v>
      </c>
      <c r="K329" s="270"/>
    </row>
    <row r="330" spans="6:11" x14ac:dyDescent="0.3">
      <c r="F330" s="269">
        <f>ROW()-ROW(APORTACIONESOCIOS[[#Headers],[SECUENCIA]])</f>
        <v>326</v>
      </c>
      <c r="G330" s="176">
        <v>45519</v>
      </c>
      <c r="H330" s="3">
        <v>10</v>
      </c>
      <c r="I330" s="284">
        <v>15</v>
      </c>
      <c r="J330" s="265" t="s">
        <v>22</v>
      </c>
      <c r="K330" s="270"/>
    </row>
    <row r="331" spans="6:11" x14ac:dyDescent="0.3">
      <c r="F331" s="269">
        <f>ROW()-ROW(APORTACIONESOCIOS[[#Headers],[SECUENCIA]])</f>
        <v>327</v>
      </c>
      <c r="G331" s="176">
        <v>45519</v>
      </c>
      <c r="H331" s="3">
        <v>10</v>
      </c>
      <c r="I331" s="284">
        <v>16</v>
      </c>
      <c r="J331" s="265" t="s">
        <v>23</v>
      </c>
      <c r="K331" s="270"/>
    </row>
    <row r="332" spans="6:11" x14ac:dyDescent="0.3">
      <c r="F332" s="269">
        <f>ROW()-ROW(APORTACIONESOCIOS[[#Headers],[SECUENCIA]])</f>
        <v>328</v>
      </c>
      <c r="G332" s="189">
        <v>45550</v>
      </c>
      <c r="H332" s="3">
        <v>10</v>
      </c>
      <c r="I332" s="284">
        <v>3</v>
      </c>
      <c r="J332" s="265" t="s">
        <v>13</v>
      </c>
      <c r="K332" s="270"/>
    </row>
    <row r="333" spans="6:11" x14ac:dyDescent="0.3">
      <c r="F333" s="269">
        <f>ROW()-ROW(APORTACIONESOCIOS[[#Headers],[SECUENCIA]])</f>
        <v>329</v>
      </c>
      <c r="G333" s="176">
        <v>45550</v>
      </c>
      <c r="H333" s="3">
        <v>10</v>
      </c>
      <c r="I333" s="284">
        <v>4</v>
      </c>
      <c r="J333" s="265" t="s">
        <v>12</v>
      </c>
      <c r="K333" s="270"/>
    </row>
    <row r="334" spans="6:11" x14ac:dyDescent="0.3">
      <c r="F334" s="269">
        <f>ROW()-ROW(APORTACIONESOCIOS[[#Headers],[SECUENCIA]])</f>
        <v>330</v>
      </c>
      <c r="G334" s="176">
        <v>45550</v>
      </c>
      <c r="H334" s="3">
        <v>10</v>
      </c>
      <c r="I334" s="284">
        <v>5</v>
      </c>
      <c r="J334" s="265" t="s">
        <v>14</v>
      </c>
      <c r="K334" s="270"/>
    </row>
    <row r="335" spans="6:11" x14ac:dyDescent="0.3">
      <c r="F335" s="269">
        <f>ROW()-ROW(APORTACIONESOCIOS[[#Headers],[SECUENCIA]])</f>
        <v>331</v>
      </c>
      <c r="G335" s="176">
        <v>45550</v>
      </c>
      <c r="H335" s="3">
        <v>10</v>
      </c>
      <c r="I335" s="284">
        <v>6</v>
      </c>
      <c r="J335" s="265" t="s">
        <v>24</v>
      </c>
      <c r="K335" s="270"/>
    </row>
    <row r="336" spans="6:11" x14ac:dyDescent="0.3">
      <c r="F336" s="269">
        <f>ROW()-ROW(APORTACIONESOCIOS[[#Headers],[SECUENCIA]])</f>
        <v>332</v>
      </c>
      <c r="G336" s="176">
        <v>45550</v>
      </c>
      <c r="H336" s="3">
        <v>10</v>
      </c>
      <c r="I336" s="284">
        <v>7</v>
      </c>
      <c r="J336" s="265" t="s">
        <v>15</v>
      </c>
      <c r="K336" s="270"/>
    </row>
    <row r="337" spans="6:11" x14ac:dyDescent="0.3">
      <c r="F337" s="269">
        <f>ROW()-ROW(APORTACIONESOCIOS[[#Headers],[SECUENCIA]])</f>
        <v>333</v>
      </c>
      <c r="G337" s="176">
        <v>45550</v>
      </c>
      <c r="H337" s="3">
        <v>10</v>
      </c>
      <c r="I337" s="284">
        <v>8</v>
      </c>
      <c r="J337" s="265" t="s">
        <v>16</v>
      </c>
      <c r="K337" s="270"/>
    </row>
    <row r="338" spans="6:11" x14ac:dyDescent="0.3">
      <c r="F338" s="269">
        <f>ROW()-ROW(APORTACIONESOCIOS[[#Headers],[SECUENCIA]])</f>
        <v>334</v>
      </c>
      <c r="G338" s="176">
        <v>45550</v>
      </c>
      <c r="H338" s="3">
        <v>10</v>
      </c>
      <c r="I338" s="284">
        <v>9</v>
      </c>
      <c r="J338" s="265" t="s">
        <v>17</v>
      </c>
      <c r="K338" s="270"/>
    </row>
    <row r="339" spans="6:11" x14ac:dyDescent="0.3">
      <c r="F339" s="269">
        <f>ROW()-ROW(APORTACIONESOCIOS[[#Headers],[SECUENCIA]])</f>
        <v>335</v>
      </c>
      <c r="G339" s="176">
        <v>45550</v>
      </c>
      <c r="H339" s="3">
        <v>10</v>
      </c>
      <c r="I339" s="284">
        <v>10</v>
      </c>
      <c r="J339" s="265" t="s">
        <v>18</v>
      </c>
      <c r="K339" s="270"/>
    </row>
    <row r="340" spans="6:11" x14ac:dyDescent="0.3">
      <c r="F340" s="269">
        <f>ROW()-ROW(APORTACIONESOCIOS[[#Headers],[SECUENCIA]])</f>
        <v>336</v>
      </c>
      <c r="G340" s="176">
        <v>45550</v>
      </c>
      <c r="H340" s="3">
        <v>10</v>
      </c>
      <c r="I340" s="284">
        <v>11</v>
      </c>
      <c r="J340" s="265" t="s">
        <v>19</v>
      </c>
      <c r="K340" s="270"/>
    </row>
    <row r="341" spans="6:11" x14ac:dyDescent="0.3">
      <c r="F341" s="269">
        <f>ROW()-ROW(APORTACIONESOCIOS[[#Headers],[SECUENCIA]])</f>
        <v>337</v>
      </c>
      <c r="G341" s="176">
        <v>45550</v>
      </c>
      <c r="H341" s="3">
        <v>10</v>
      </c>
      <c r="I341" s="284">
        <v>12</v>
      </c>
      <c r="J341" s="265" t="s">
        <v>20</v>
      </c>
      <c r="K341" s="270"/>
    </row>
    <row r="342" spans="6:11" x14ac:dyDescent="0.3">
      <c r="F342" s="269">
        <f>ROW()-ROW(APORTACIONESOCIOS[[#Headers],[SECUENCIA]])</f>
        <v>338</v>
      </c>
      <c r="G342" s="176">
        <v>45550</v>
      </c>
      <c r="H342" s="3">
        <v>10</v>
      </c>
      <c r="I342" s="284">
        <v>14</v>
      </c>
      <c r="J342" s="265" t="s">
        <v>21</v>
      </c>
      <c r="K342" s="270"/>
    </row>
    <row r="343" spans="6:11" x14ac:dyDescent="0.3">
      <c r="F343" s="269">
        <f>ROW()-ROW(APORTACIONESOCIOS[[#Headers],[SECUENCIA]])</f>
        <v>339</v>
      </c>
      <c r="G343" s="176">
        <v>45550</v>
      </c>
      <c r="H343" s="3">
        <v>10</v>
      </c>
      <c r="I343" s="284">
        <v>15</v>
      </c>
      <c r="J343" s="265" t="s">
        <v>22</v>
      </c>
      <c r="K343" s="270"/>
    </row>
    <row r="344" spans="6:11" x14ac:dyDescent="0.3">
      <c r="F344" s="269">
        <f>ROW()-ROW(APORTACIONESOCIOS[[#Headers],[SECUENCIA]])</f>
        <v>340</v>
      </c>
      <c r="G344" s="176">
        <v>45550</v>
      </c>
      <c r="H344" s="3">
        <v>10</v>
      </c>
      <c r="I344" s="284">
        <v>16</v>
      </c>
      <c r="J344" s="265" t="s">
        <v>23</v>
      </c>
      <c r="K344" s="270"/>
    </row>
    <row r="345" spans="6:11" x14ac:dyDescent="0.3">
      <c r="F345" s="269">
        <f>ROW()-ROW(APORTACIONESOCIOS[[#Headers],[SECUENCIA]])</f>
        <v>341</v>
      </c>
      <c r="G345" s="189">
        <v>45580</v>
      </c>
      <c r="H345" s="3">
        <v>10</v>
      </c>
      <c r="I345" s="284">
        <v>3</v>
      </c>
      <c r="J345" s="265" t="s">
        <v>13</v>
      </c>
      <c r="K345" s="270"/>
    </row>
    <row r="346" spans="6:11" x14ac:dyDescent="0.3">
      <c r="F346" s="269">
        <f>ROW()-ROW(APORTACIONESOCIOS[[#Headers],[SECUENCIA]])</f>
        <v>342</v>
      </c>
      <c r="G346" s="176">
        <v>45580</v>
      </c>
      <c r="H346" s="3">
        <v>10</v>
      </c>
      <c r="I346" s="284">
        <v>4</v>
      </c>
      <c r="J346" s="265" t="s">
        <v>12</v>
      </c>
      <c r="K346" s="270"/>
    </row>
    <row r="347" spans="6:11" x14ac:dyDescent="0.3">
      <c r="F347" s="269">
        <f>ROW()-ROW(APORTACIONESOCIOS[[#Headers],[SECUENCIA]])</f>
        <v>343</v>
      </c>
      <c r="G347" s="176">
        <v>45580</v>
      </c>
      <c r="H347" s="3">
        <v>10</v>
      </c>
      <c r="I347" s="284">
        <v>5</v>
      </c>
      <c r="J347" s="265" t="s">
        <v>14</v>
      </c>
      <c r="K347" s="270"/>
    </row>
    <row r="348" spans="6:11" x14ac:dyDescent="0.3">
      <c r="F348" s="269">
        <f>ROW()-ROW(APORTACIONESOCIOS[[#Headers],[SECUENCIA]])</f>
        <v>344</v>
      </c>
      <c r="G348" s="176">
        <v>45580</v>
      </c>
      <c r="H348" s="3">
        <v>10</v>
      </c>
      <c r="I348" s="284">
        <v>6</v>
      </c>
      <c r="J348" s="265" t="s">
        <v>24</v>
      </c>
      <c r="K348" s="270"/>
    </row>
    <row r="349" spans="6:11" x14ac:dyDescent="0.3">
      <c r="F349" s="269">
        <f>ROW()-ROW(APORTACIONESOCIOS[[#Headers],[SECUENCIA]])</f>
        <v>345</v>
      </c>
      <c r="G349" s="176">
        <v>45580</v>
      </c>
      <c r="H349" s="3">
        <v>10</v>
      </c>
      <c r="I349" s="284">
        <v>7</v>
      </c>
      <c r="J349" s="265" t="s">
        <v>15</v>
      </c>
      <c r="K349" s="270"/>
    </row>
    <row r="350" spans="6:11" x14ac:dyDescent="0.3">
      <c r="F350" s="269">
        <f>ROW()-ROW(APORTACIONESOCIOS[[#Headers],[SECUENCIA]])</f>
        <v>346</v>
      </c>
      <c r="G350" s="176">
        <v>45580</v>
      </c>
      <c r="H350" s="3">
        <v>10</v>
      </c>
      <c r="I350" s="284">
        <v>8</v>
      </c>
      <c r="J350" s="265" t="s">
        <v>16</v>
      </c>
      <c r="K350" s="270"/>
    </row>
    <row r="351" spans="6:11" x14ac:dyDescent="0.3">
      <c r="F351" s="269">
        <f>ROW()-ROW(APORTACIONESOCIOS[[#Headers],[SECUENCIA]])</f>
        <v>347</v>
      </c>
      <c r="G351" s="176">
        <v>45580</v>
      </c>
      <c r="H351" s="3">
        <v>10</v>
      </c>
      <c r="I351" s="284">
        <v>9</v>
      </c>
      <c r="J351" s="265" t="s">
        <v>17</v>
      </c>
      <c r="K351" s="270"/>
    </row>
    <row r="352" spans="6:11" x14ac:dyDescent="0.3">
      <c r="F352" s="269">
        <f>ROW()-ROW(APORTACIONESOCIOS[[#Headers],[SECUENCIA]])</f>
        <v>348</v>
      </c>
      <c r="G352" s="176">
        <v>45580</v>
      </c>
      <c r="H352" s="3">
        <v>10</v>
      </c>
      <c r="I352" s="284">
        <v>10</v>
      </c>
      <c r="J352" s="265" t="s">
        <v>18</v>
      </c>
      <c r="K352" s="270"/>
    </row>
    <row r="353" spans="6:11" x14ac:dyDescent="0.3">
      <c r="F353" s="269">
        <f>ROW()-ROW(APORTACIONESOCIOS[[#Headers],[SECUENCIA]])</f>
        <v>349</v>
      </c>
      <c r="G353" s="176">
        <v>45580</v>
      </c>
      <c r="H353" s="3">
        <v>10</v>
      </c>
      <c r="I353" s="284">
        <v>11</v>
      </c>
      <c r="J353" s="265" t="s">
        <v>19</v>
      </c>
      <c r="K353" s="270"/>
    </row>
    <row r="354" spans="6:11" x14ac:dyDescent="0.3">
      <c r="F354" s="269">
        <f>ROW()-ROW(APORTACIONESOCIOS[[#Headers],[SECUENCIA]])</f>
        <v>350</v>
      </c>
      <c r="G354" s="176">
        <v>45580</v>
      </c>
      <c r="H354" s="3">
        <v>10</v>
      </c>
      <c r="I354" s="284">
        <v>12</v>
      </c>
      <c r="J354" s="265" t="s">
        <v>20</v>
      </c>
      <c r="K354" s="270"/>
    </row>
    <row r="355" spans="6:11" x14ac:dyDescent="0.3">
      <c r="F355" s="269">
        <f>ROW()-ROW(APORTACIONESOCIOS[[#Headers],[SECUENCIA]])</f>
        <v>351</v>
      </c>
      <c r="G355" s="176">
        <v>45580</v>
      </c>
      <c r="H355" s="3">
        <v>10</v>
      </c>
      <c r="I355" s="284">
        <v>14</v>
      </c>
      <c r="J355" s="265" t="s">
        <v>21</v>
      </c>
      <c r="K355" s="270"/>
    </row>
    <row r="356" spans="6:11" x14ac:dyDescent="0.3">
      <c r="F356" s="269">
        <f>ROW()-ROW(APORTACIONESOCIOS[[#Headers],[SECUENCIA]])</f>
        <v>352</v>
      </c>
      <c r="G356" s="176">
        <v>45580</v>
      </c>
      <c r="H356" s="3">
        <v>10</v>
      </c>
      <c r="I356" s="284">
        <v>15</v>
      </c>
      <c r="J356" s="265" t="s">
        <v>22</v>
      </c>
      <c r="K356" s="270"/>
    </row>
    <row r="357" spans="6:11" x14ac:dyDescent="0.3">
      <c r="F357" s="269">
        <f>ROW()-ROW(APORTACIONESOCIOS[[#Headers],[SECUENCIA]])</f>
        <v>353</v>
      </c>
      <c r="G357" s="176">
        <v>45580</v>
      </c>
      <c r="H357" s="3">
        <v>10</v>
      </c>
      <c r="I357" s="284">
        <v>16</v>
      </c>
      <c r="J357" s="265" t="s">
        <v>23</v>
      </c>
      <c r="K357" s="270"/>
    </row>
    <row r="358" spans="6:11" x14ac:dyDescent="0.3">
      <c r="F358" s="269">
        <f>ROW()-ROW(APORTACIONESOCIOS[[#Headers],[SECUENCIA]])</f>
        <v>354</v>
      </c>
      <c r="G358" s="189">
        <v>45611</v>
      </c>
      <c r="H358" s="3">
        <v>10</v>
      </c>
      <c r="I358" s="284">
        <v>3</v>
      </c>
      <c r="J358" s="265" t="s">
        <v>13</v>
      </c>
      <c r="K358" s="270"/>
    </row>
    <row r="359" spans="6:11" x14ac:dyDescent="0.3">
      <c r="F359" s="269">
        <f>ROW()-ROW(APORTACIONESOCIOS[[#Headers],[SECUENCIA]])</f>
        <v>355</v>
      </c>
      <c r="G359" s="176">
        <v>45611</v>
      </c>
      <c r="H359" s="3">
        <v>10</v>
      </c>
      <c r="I359" s="284">
        <v>4</v>
      </c>
      <c r="J359" s="265" t="s">
        <v>12</v>
      </c>
      <c r="K359" s="270"/>
    </row>
    <row r="360" spans="6:11" x14ac:dyDescent="0.3">
      <c r="F360" s="269">
        <f>ROW()-ROW(APORTACIONESOCIOS[[#Headers],[SECUENCIA]])</f>
        <v>356</v>
      </c>
      <c r="G360" s="176">
        <v>45611</v>
      </c>
      <c r="H360" s="3">
        <v>10</v>
      </c>
      <c r="I360" s="284">
        <v>5</v>
      </c>
      <c r="J360" s="265" t="s">
        <v>14</v>
      </c>
      <c r="K360" s="270"/>
    </row>
    <row r="361" spans="6:11" x14ac:dyDescent="0.3">
      <c r="F361" s="269">
        <f>ROW()-ROW(APORTACIONESOCIOS[[#Headers],[SECUENCIA]])</f>
        <v>357</v>
      </c>
      <c r="G361" s="176">
        <v>45611</v>
      </c>
      <c r="H361" s="3">
        <v>10</v>
      </c>
      <c r="I361" s="284">
        <v>6</v>
      </c>
      <c r="J361" s="265" t="s">
        <v>24</v>
      </c>
      <c r="K361" s="270"/>
    </row>
    <row r="362" spans="6:11" x14ac:dyDescent="0.3">
      <c r="F362" s="269">
        <f>ROW()-ROW(APORTACIONESOCIOS[[#Headers],[SECUENCIA]])</f>
        <v>358</v>
      </c>
      <c r="G362" s="176">
        <v>45611</v>
      </c>
      <c r="H362" s="3">
        <v>10</v>
      </c>
      <c r="I362" s="284">
        <v>7</v>
      </c>
      <c r="J362" s="265" t="s">
        <v>15</v>
      </c>
      <c r="K362" s="270"/>
    </row>
    <row r="363" spans="6:11" x14ac:dyDescent="0.3">
      <c r="F363" s="269">
        <f>ROW()-ROW(APORTACIONESOCIOS[[#Headers],[SECUENCIA]])</f>
        <v>359</v>
      </c>
      <c r="G363" s="176">
        <v>45611</v>
      </c>
      <c r="H363" s="3">
        <v>10</v>
      </c>
      <c r="I363" s="284">
        <v>8</v>
      </c>
      <c r="J363" s="265" t="s">
        <v>16</v>
      </c>
      <c r="K363" s="270"/>
    </row>
    <row r="364" spans="6:11" x14ac:dyDescent="0.3">
      <c r="F364" s="269">
        <f>ROW()-ROW(APORTACIONESOCIOS[[#Headers],[SECUENCIA]])</f>
        <v>360</v>
      </c>
      <c r="G364" s="176">
        <v>45611</v>
      </c>
      <c r="H364" s="3">
        <v>10</v>
      </c>
      <c r="I364" s="284">
        <v>9</v>
      </c>
      <c r="J364" s="265" t="s">
        <v>17</v>
      </c>
      <c r="K364" s="270"/>
    </row>
    <row r="365" spans="6:11" x14ac:dyDescent="0.3">
      <c r="F365" s="269">
        <f>ROW()-ROW(APORTACIONESOCIOS[[#Headers],[SECUENCIA]])</f>
        <v>361</v>
      </c>
      <c r="G365" s="176">
        <v>45611</v>
      </c>
      <c r="H365" s="3">
        <v>10</v>
      </c>
      <c r="I365" s="284">
        <v>10</v>
      </c>
      <c r="J365" s="265" t="s">
        <v>18</v>
      </c>
      <c r="K365" s="270"/>
    </row>
    <row r="366" spans="6:11" x14ac:dyDescent="0.3">
      <c r="F366" s="269">
        <f>ROW()-ROW(APORTACIONESOCIOS[[#Headers],[SECUENCIA]])</f>
        <v>362</v>
      </c>
      <c r="G366" s="176">
        <v>45611</v>
      </c>
      <c r="H366" s="3">
        <v>10</v>
      </c>
      <c r="I366" s="284">
        <v>11</v>
      </c>
      <c r="J366" s="265" t="s">
        <v>19</v>
      </c>
      <c r="K366" s="270"/>
    </row>
    <row r="367" spans="6:11" x14ac:dyDescent="0.3">
      <c r="F367" s="269">
        <f>ROW()-ROW(APORTACIONESOCIOS[[#Headers],[SECUENCIA]])</f>
        <v>363</v>
      </c>
      <c r="G367" s="176">
        <v>45611</v>
      </c>
      <c r="H367" s="3">
        <v>10</v>
      </c>
      <c r="I367" s="284">
        <v>12</v>
      </c>
      <c r="J367" s="265" t="s">
        <v>20</v>
      </c>
      <c r="K367" s="270"/>
    </row>
    <row r="368" spans="6:11" x14ac:dyDescent="0.3">
      <c r="F368" s="269">
        <f>ROW()-ROW(APORTACIONESOCIOS[[#Headers],[SECUENCIA]])</f>
        <v>364</v>
      </c>
      <c r="G368" s="176">
        <v>45611</v>
      </c>
      <c r="H368" s="3">
        <v>10</v>
      </c>
      <c r="I368" s="284">
        <v>14</v>
      </c>
      <c r="J368" s="265" t="s">
        <v>21</v>
      </c>
      <c r="K368" s="270"/>
    </row>
    <row r="369" spans="6:11" x14ac:dyDescent="0.3">
      <c r="F369" s="269">
        <f>ROW()-ROW(APORTACIONESOCIOS[[#Headers],[SECUENCIA]])</f>
        <v>365</v>
      </c>
      <c r="G369" s="176">
        <v>45611</v>
      </c>
      <c r="H369" s="3">
        <v>10</v>
      </c>
      <c r="I369" s="284">
        <v>15</v>
      </c>
      <c r="J369" s="265" t="s">
        <v>22</v>
      </c>
      <c r="K369" s="270"/>
    </row>
    <row r="370" spans="6:11" x14ac:dyDescent="0.3">
      <c r="F370" s="269">
        <f>ROW()-ROW(APORTACIONESOCIOS[[#Headers],[SECUENCIA]])</f>
        <v>366</v>
      </c>
      <c r="G370" s="176">
        <v>45611</v>
      </c>
      <c r="H370" s="3">
        <v>10</v>
      </c>
      <c r="I370" s="284">
        <v>16</v>
      </c>
      <c r="J370" s="265" t="s">
        <v>23</v>
      </c>
      <c r="K370" s="270"/>
    </row>
    <row r="371" spans="6:11" x14ac:dyDescent="0.3">
      <c r="F371" s="269">
        <f>ROW()-ROW(APORTACIONESOCIOS[[#Headers],[SECUENCIA]])</f>
        <v>367</v>
      </c>
      <c r="G371" s="189">
        <v>45641</v>
      </c>
      <c r="H371" s="3">
        <v>10</v>
      </c>
      <c r="I371" s="284">
        <v>3</v>
      </c>
      <c r="J371" s="265" t="s">
        <v>13</v>
      </c>
      <c r="K371" s="270"/>
    </row>
    <row r="372" spans="6:11" x14ac:dyDescent="0.3">
      <c r="F372" s="269">
        <f>ROW()-ROW(APORTACIONESOCIOS[[#Headers],[SECUENCIA]])</f>
        <v>368</v>
      </c>
      <c r="G372" s="176">
        <v>45641</v>
      </c>
      <c r="H372" s="3">
        <v>10</v>
      </c>
      <c r="I372" s="284">
        <v>4</v>
      </c>
      <c r="J372" s="265" t="s">
        <v>12</v>
      </c>
      <c r="K372" s="270"/>
    </row>
    <row r="373" spans="6:11" x14ac:dyDescent="0.3">
      <c r="F373" s="269">
        <f>ROW()-ROW(APORTACIONESOCIOS[[#Headers],[SECUENCIA]])</f>
        <v>369</v>
      </c>
      <c r="G373" s="176">
        <v>45641</v>
      </c>
      <c r="H373" s="3">
        <v>10</v>
      </c>
      <c r="I373" s="284">
        <v>5</v>
      </c>
      <c r="J373" s="265" t="s">
        <v>14</v>
      </c>
      <c r="K373" s="270"/>
    </row>
    <row r="374" spans="6:11" x14ac:dyDescent="0.3">
      <c r="F374" s="269">
        <f>ROW()-ROW(APORTACIONESOCIOS[[#Headers],[SECUENCIA]])</f>
        <v>370</v>
      </c>
      <c r="G374" s="176">
        <v>45641</v>
      </c>
      <c r="H374" s="3">
        <v>10</v>
      </c>
      <c r="I374" s="284">
        <v>6</v>
      </c>
      <c r="J374" s="265" t="s">
        <v>24</v>
      </c>
      <c r="K374" s="270"/>
    </row>
    <row r="375" spans="6:11" x14ac:dyDescent="0.3">
      <c r="F375" s="269">
        <f>ROW()-ROW(APORTACIONESOCIOS[[#Headers],[SECUENCIA]])</f>
        <v>371</v>
      </c>
      <c r="G375" s="176">
        <v>45641</v>
      </c>
      <c r="H375" s="3">
        <v>10</v>
      </c>
      <c r="I375" s="284">
        <v>7</v>
      </c>
      <c r="J375" s="265" t="s">
        <v>15</v>
      </c>
      <c r="K375" s="270"/>
    </row>
    <row r="376" spans="6:11" x14ac:dyDescent="0.3">
      <c r="F376" s="269">
        <f>ROW()-ROW(APORTACIONESOCIOS[[#Headers],[SECUENCIA]])</f>
        <v>372</v>
      </c>
      <c r="G376" s="176">
        <v>45641</v>
      </c>
      <c r="H376" s="3">
        <v>10</v>
      </c>
      <c r="I376" s="284">
        <v>8</v>
      </c>
      <c r="J376" s="265" t="s">
        <v>16</v>
      </c>
      <c r="K376" s="270"/>
    </row>
    <row r="377" spans="6:11" x14ac:dyDescent="0.3">
      <c r="F377" s="269">
        <f>ROW()-ROW(APORTACIONESOCIOS[[#Headers],[SECUENCIA]])</f>
        <v>373</v>
      </c>
      <c r="G377" s="176">
        <v>45641</v>
      </c>
      <c r="H377" s="3">
        <v>10</v>
      </c>
      <c r="I377" s="284">
        <v>9</v>
      </c>
      <c r="J377" s="265" t="s">
        <v>17</v>
      </c>
      <c r="K377" s="270"/>
    </row>
    <row r="378" spans="6:11" x14ac:dyDescent="0.3">
      <c r="F378" s="269">
        <f>ROW()-ROW(APORTACIONESOCIOS[[#Headers],[SECUENCIA]])</f>
        <v>374</v>
      </c>
      <c r="G378" s="176">
        <v>45641</v>
      </c>
      <c r="H378" s="3">
        <v>10</v>
      </c>
      <c r="I378" s="284">
        <v>10</v>
      </c>
      <c r="J378" s="265" t="s">
        <v>18</v>
      </c>
      <c r="K378" s="270"/>
    </row>
    <row r="379" spans="6:11" x14ac:dyDescent="0.3">
      <c r="F379" s="269">
        <f>ROW()-ROW(APORTACIONESOCIOS[[#Headers],[SECUENCIA]])</f>
        <v>375</v>
      </c>
      <c r="G379" s="176">
        <v>45641</v>
      </c>
      <c r="H379" s="3">
        <v>10</v>
      </c>
      <c r="I379" s="284">
        <v>11</v>
      </c>
      <c r="J379" s="265" t="s">
        <v>19</v>
      </c>
      <c r="K379" s="270"/>
    </row>
    <row r="380" spans="6:11" x14ac:dyDescent="0.3">
      <c r="F380" s="269">
        <f>ROW()-ROW(APORTACIONESOCIOS[[#Headers],[SECUENCIA]])</f>
        <v>376</v>
      </c>
      <c r="G380" s="176">
        <v>45641</v>
      </c>
      <c r="H380" s="3">
        <v>10</v>
      </c>
      <c r="I380" s="284">
        <v>12</v>
      </c>
      <c r="J380" s="265" t="s">
        <v>20</v>
      </c>
      <c r="K380" s="270"/>
    </row>
    <row r="381" spans="6:11" x14ac:dyDescent="0.3">
      <c r="F381" s="269">
        <f>ROW()-ROW(APORTACIONESOCIOS[[#Headers],[SECUENCIA]])</f>
        <v>377</v>
      </c>
      <c r="G381" s="176">
        <v>45641</v>
      </c>
      <c r="H381" s="3">
        <v>10</v>
      </c>
      <c r="I381" s="284">
        <v>14</v>
      </c>
      <c r="J381" s="265" t="s">
        <v>21</v>
      </c>
      <c r="K381" s="270"/>
    </row>
    <row r="382" spans="6:11" x14ac:dyDescent="0.3">
      <c r="F382" s="269">
        <f>ROW()-ROW(APORTACIONESOCIOS[[#Headers],[SECUENCIA]])</f>
        <v>378</v>
      </c>
      <c r="G382" s="176">
        <v>45641</v>
      </c>
      <c r="H382" s="3">
        <v>10</v>
      </c>
      <c r="I382" s="284">
        <v>15</v>
      </c>
      <c r="J382" s="265" t="s">
        <v>22</v>
      </c>
      <c r="K382" s="270"/>
    </row>
    <row r="383" spans="6:11" x14ac:dyDescent="0.3">
      <c r="F383" s="269">
        <f>ROW()-ROW(APORTACIONESOCIOS[[#Headers],[SECUENCIA]])</f>
        <v>379</v>
      </c>
      <c r="G383" s="176">
        <v>45641</v>
      </c>
      <c r="H383" s="3">
        <v>10</v>
      </c>
      <c r="I383" s="284">
        <v>16</v>
      </c>
      <c r="J383" s="265" t="s">
        <v>23</v>
      </c>
      <c r="K383" s="270"/>
    </row>
    <row r="384" spans="6:11" x14ac:dyDescent="0.3">
      <c r="F384" s="269">
        <f>ROW()-ROW(APORTACIONESOCIOS[[#Headers],[SECUENCIA]])</f>
        <v>380</v>
      </c>
      <c r="G384" s="176">
        <v>45672</v>
      </c>
      <c r="H384" s="3">
        <v>10</v>
      </c>
      <c r="I384" s="284">
        <v>3</v>
      </c>
      <c r="J384" s="265" t="s">
        <v>13</v>
      </c>
      <c r="K384" s="270"/>
    </row>
    <row r="385" spans="6:11" x14ac:dyDescent="0.3">
      <c r="F385" s="271">
        <f>ROW()-ROW(APORTACIONESOCIOS[[#Headers],[SECUENCIA]])</f>
        <v>381</v>
      </c>
      <c r="G385" s="176">
        <v>45672</v>
      </c>
      <c r="H385" s="3">
        <v>10</v>
      </c>
      <c r="I385" s="284">
        <v>4</v>
      </c>
      <c r="J385" s="265" t="s">
        <v>12</v>
      </c>
      <c r="K385" s="273"/>
    </row>
    <row r="386" spans="6:11" x14ac:dyDescent="0.3">
      <c r="F386" s="269">
        <f>ROW()-ROW(APORTACIONESOCIOS[[#Headers],[SECUENCIA]])</f>
        <v>382</v>
      </c>
      <c r="G386" s="176">
        <v>45672</v>
      </c>
      <c r="H386" s="3">
        <v>10</v>
      </c>
      <c r="I386" s="284">
        <v>5</v>
      </c>
      <c r="J386" s="265" t="s">
        <v>14</v>
      </c>
      <c r="K386" s="270"/>
    </row>
    <row r="387" spans="6:11" x14ac:dyDescent="0.3">
      <c r="F387" s="269">
        <f>ROW()-ROW(APORTACIONESOCIOS[[#Headers],[SECUENCIA]])</f>
        <v>383</v>
      </c>
      <c r="G387" s="176">
        <v>45672</v>
      </c>
      <c r="H387" s="3">
        <v>10</v>
      </c>
      <c r="I387" s="284">
        <v>6</v>
      </c>
      <c r="J387" s="265" t="s">
        <v>24</v>
      </c>
      <c r="K387" s="270"/>
    </row>
    <row r="388" spans="6:11" x14ac:dyDescent="0.3">
      <c r="F388" s="269">
        <f>ROW()-ROW(APORTACIONESOCIOS[[#Headers],[SECUENCIA]])</f>
        <v>384</v>
      </c>
      <c r="G388" s="176">
        <v>45672</v>
      </c>
      <c r="H388" s="3">
        <v>10</v>
      </c>
      <c r="I388" s="284">
        <v>7</v>
      </c>
      <c r="J388" s="265" t="s">
        <v>15</v>
      </c>
      <c r="K388" s="270"/>
    </row>
    <row r="389" spans="6:11" x14ac:dyDescent="0.3">
      <c r="F389" s="269">
        <f>ROW()-ROW(APORTACIONESOCIOS[[#Headers],[SECUENCIA]])</f>
        <v>385</v>
      </c>
      <c r="G389" s="176">
        <v>45672</v>
      </c>
      <c r="H389" s="3">
        <v>10</v>
      </c>
      <c r="I389" s="284">
        <v>8</v>
      </c>
      <c r="J389" s="265" t="s">
        <v>16</v>
      </c>
      <c r="K389" s="270"/>
    </row>
    <row r="390" spans="6:11" x14ac:dyDescent="0.3">
      <c r="F390" s="269">
        <f>ROW()-ROW(APORTACIONESOCIOS[[#Headers],[SECUENCIA]])</f>
        <v>386</v>
      </c>
      <c r="G390" s="176">
        <v>45672</v>
      </c>
      <c r="H390" s="3">
        <v>10</v>
      </c>
      <c r="I390" s="284">
        <v>9</v>
      </c>
      <c r="J390" s="265" t="s">
        <v>17</v>
      </c>
      <c r="K390" s="270"/>
    </row>
    <row r="391" spans="6:11" x14ac:dyDescent="0.3">
      <c r="F391" s="269">
        <f>ROW()-ROW(APORTACIONESOCIOS[[#Headers],[SECUENCIA]])</f>
        <v>387</v>
      </c>
      <c r="G391" s="176">
        <v>45672</v>
      </c>
      <c r="H391" s="3">
        <v>10</v>
      </c>
      <c r="I391" s="284">
        <v>10</v>
      </c>
      <c r="J391" s="265" t="s">
        <v>18</v>
      </c>
      <c r="K391" s="270"/>
    </row>
    <row r="392" spans="6:11" x14ac:dyDescent="0.3">
      <c r="F392" s="269">
        <f>ROW()-ROW(APORTACIONESOCIOS[[#Headers],[SECUENCIA]])</f>
        <v>388</v>
      </c>
      <c r="G392" s="176">
        <v>45672</v>
      </c>
      <c r="H392" s="3">
        <v>10</v>
      </c>
      <c r="I392" s="284">
        <v>11</v>
      </c>
      <c r="J392" s="265" t="s">
        <v>19</v>
      </c>
      <c r="K392" s="270"/>
    </row>
    <row r="393" spans="6:11" x14ac:dyDescent="0.3">
      <c r="F393" s="269">
        <f>ROW()-ROW(APORTACIONESOCIOS[[#Headers],[SECUENCIA]])</f>
        <v>389</v>
      </c>
      <c r="G393" s="176">
        <v>45672</v>
      </c>
      <c r="H393" s="3">
        <v>10</v>
      </c>
      <c r="I393" s="284">
        <v>12</v>
      </c>
      <c r="J393" s="265" t="s">
        <v>20</v>
      </c>
      <c r="K393" s="270"/>
    </row>
    <row r="394" spans="6:11" x14ac:dyDescent="0.3">
      <c r="F394" s="269">
        <f>ROW()-ROW(APORTACIONESOCIOS[[#Headers],[SECUENCIA]])</f>
        <v>390</v>
      </c>
      <c r="G394" s="176">
        <v>45672</v>
      </c>
      <c r="H394" s="3">
        <v>10</v>
      </c>
      <c r="I394" s="284">
        <v>14</v>
      </c>
      <c r="J394" s="265" t="s">
        <v>21</v>
      </c>
      <c r="K394" s="270"/>
    </row>
    <row r="395" spans="6:11" x14ac:dyDescent="0.3">
      <c r="F395" s="269">
        <f>ROW()-ROW(APORTACIONESOCIOS[[#Headers],[SECUENCIA]])</f>
        <v>391</v>
      </c>
      <c r="G395" s="176">
        <v>45672</v>
      </c>
      <c r="H395" s="3">
        <v>10</v>
      </c>
      <c r="I395" s="284">
        <v>15</v>
      </c>
      <c r="J395" s="265" t="s">
        <v>22</v>
      </c>
      <c r="K395" s="270"/>
    </row>
    <row r="396" spans="6:11" x14ac:dyDescent="0.3">
      <c r="F396" s="269">
        <f>ROW()-ROW(APORTACIONESOCIOS[[#Headers],[SECUENCIA]])</f>
        <v>392</v>
      </c>
      <c r="G396" s="176">
        <v>45672</v>
      </c>
      <c r="H396" s="3">
        <v>10</v>
      </c>
      <c r="I396" s="284">
        <v>16</v>
      </c>
      <c r="J396" s="265" t="s">
        <v>23</v>
      </c>
      <c r="K396" s="270"/>
    </row>
    <row r="397" spans="6:11" x14ac:dyDescent="0.3">
      <c r="F397" s="269">
        <f>ROW()-ROW(APORTACIONESOCIOS[[#Headers],[SECUENCIA]])</f>
        <v>393</v>
      </c>
      <c r="G397" s="176">
        <v>45703</v>
      </c>
      <c r="H397" s="3">
        <v>10</v>
      </c>
      <c r="I397" s="284">
        <v>3</v>
      </c>
      <c r="J397" s="265" t="s">
        <v>13</v>
      </c>
      <c r="K397" s="270"/>
    </row>
    <row r="398" spans="6:11" x14ac:dyDescent="0.3">
      <c r="F398" s="269">
        <f>ROW()-ROW(APORTACIONESOCIOS[[#Headers],[SECUENCIA]])</f>
        <v>394</v>
      </c>
      <c r="G398" s="176">
        <v>45703</v>
      </c>
      <c r="H398" s="3">
        <v>10</v>
      </c>
      <c r="I398" s="284">
        <v>4</v>
      </c>
      <c r="J398" s="265" t="s">
        <v>12</v>
      </c>
      <c r="K398" s="270"/>
    </row>
    <row r="399" spans="6:11" x14ac:dyDescent="0.3">
      <c r="F399" s="269">
        <f>ROW()-ROW(APORTACIONESOCIOS[[#Headers],[SECUENCIA]])</f>
        <v>395</v>
      </c>
      <c r="G399" s="176">
        <v>45703</v>
      </c>
      <c r="H399" s="3">
        <v>10</v>
      </c>
      <c r="I399" s="284">
        <v>5</v>
      </c>
      <c r="J399" s="265" t="s">
        <v>14</v>
      </c>
      <c r="K399" s="270"/>
    </row>
    <row r="400" spans="6:11" x14ac:dyDescent="0.3">
      <c r="F400" s="269">
        <f>ROW()-ROW(APORTACIONESOCIOS[[#Headers],[SECUENCIA]])</f>
        <v>396</v>
      </c>
      <c r="G400" s="176">
        <v>45703</v>
      </c>
      <c r="H400" s="3">
        <v>10</v>
      </c>
      <c r="I400" s="284">
        <v>6</v>
      </c>
      <c r="J400" s="265" t="s">
        <v>24</v>
      </c>
      <c r="K400" s="270"/>
    </row>
    <row r="401" spans="6:11" x14ac:dyDescent="0.3">
      <c r="F401" s="269">
        <f>ROW()-ROW(APORTACIONESOCIOS[[#Headers],[SECUENCIA]])</f>
        <v>397</v>
      </c>
      <c r="G401" s="176">
        <v>45703</v>
      </c>
      <c r="H401" s="3">
        <v>10</v>
      </c>
      <c r="I401" s="284">
        <v>7</v>
      </c>
      <c r="J401" s="265" t="s">
        <v>15</v>
      </c>
      <c r="K401" s="270"/>
    </row>
    <row r="402" spans="6:11" x14ac:dyDescent="0.3">
      <c r="F402" s="269">
        <f>ROW()-ROW(APORTACIONESOCIOS[[#Headers],[SECUENCIA]])</f>
        <v>398</v>
      </c>
      <c r="G402" s="176">
        <v>45703</v>
      </c>
      <c r="H402" s="3">
        <v>10</v>
      </c>
      <c r="I402" s="284">
        <v>8</v>
      </c>
      <c r="J402" s="265" t="s">
        <v>16</v>
      </c>
      <c r="K402" s="270"/>
    </row>
    <row r="403" spans="6:11" x14ac:dyDescent="0.3">
      <c r="F403" s="269">
        <f>ROW()-ROW(APORTACIONESOCIOS[[#Headers],[SECUENCIA]])</f>
        <v>399</v>
      </c>
      <c r="G403" s="176">
        <v>45703</v>
      </c>
      <c r="H403" s="3">
        <v>10</v>
      </c>
      <c r="I403" s="284">
        <v>9</v>
      </c>
      <c r="J403" s="265" t="s">
        <v>17</v>
      </c>
      <c r="K403" s="270"/>
    </row>
    <row r="404" spans="6:11" x14ac:dyDescent="0.3">
      <c r="F404" s="269">
        <f>ROW()-ROW(APORTACIONESOCIOS[[#Headers],[SECUENCIA]])</f>
        <v>400</v>
      </c>
      <c r="G404" s="176">
        <v>45703</v>
      </c>
      <c r="H404" s="3">
        <v>10</v>
      </c>
      <c r="I404" s="284">
        <v>10</v>
      </c>
      <c r="J404" s="265" t="s">
        <v>18</v>
      </c>
      <c r="K404" s="270"/>
    </row>
    <row r="405" spans="6:11" x14ac:dyDescent="0.3">
      <c r="F405" s="269">
        <f>ROW()-ROW(APORTACIONESOCIOS[[#Headers],[SECUENCIA]])</f>
        <v>401</v>
      </c>
      <c r="G405" s="176">
        <v>45703</v>
      </c>
      <c r="H405" s="3">
        <v>10</v>
      </c>
      <c r="I405" s="284">
        <v>11</v>
      </c>
      <c r="J405" s="265" t="s">
        <v>19</v>
      </c>
      <c r="K405" s="270"/>
    </row>
    <row r="406" spans="6:11" x14ac:dyDescent="0.3">
      <c r="F406" s="269">
        <f>ROW()-ROW(APORTACIONESOCIOS[[#Headers],[SECUENCIA]])</f>
        <v>402</v>
      </c>
      <c r="G406" s="176">
        <v>45703</v>
      </c>
      <c r="H406" s="3">
        <v>10</v>
      </c>
      <c r="I406" s="284">
        <v>12</v>
      </c>
      <c r="J406" s="265" t="s">
        <v>20</v>
      </c>
      <c r="K406" s="270"/>
    </row>
    <row r="407" spans="6:11" x14ac:dyDescent="0.3">
      <c r="F407" s="269">
        <f>ROW()-ROW(APORTACIONESOCIOS[[#Headers],[SECUENCIA]])</f>
        <v>403</v>
      </c>
      <c r="G407" s="176">
        <v>45703</v>
      </c>
      <c r="H407" s="3">
        <v>10</v>
      </c>
      <c r="I407" s="284">
        <v>14</v>
      </c>
      <c r="J407" s="265" t="s">
        <v>21</v>
      </c>
      <c r="K407" s="270"/>
    </row>
    <row r="408" spans="6:11" x14ac:dyDescent="0.3">
      <c r="F408" s="269">
        <f>ROW()-ROW(APORTACIONESOCIOS[[#Headers],[SECUENCIA]])</f>
        <v>404</v>
      </c>
      <c r="G408" s="176">
        <v>45703</v>
      </c>
      <c r="H408" s="3">
        <v>10</v>
      </c>
      <c r="I408" s="284">
        <v>15</v>
      </c>
      <c r="J408" s="265" t="s">
        <v>22</v>
      </c>
      <c r="K408" s="270"/>
    </row>
    <row r="409" spans="6:11" x14ac:dyDescent="0.3">
      <c r="F409" s="269">
        <f>ROW()-ROW(APORTACIONESOCIOS[[#Headers],[SECUENCIA]])</f>
        <v>405</v>
      </c>
      <c r="G409" s="176">
        <v>45703</v>
      </c>
      <c r="H409" s="3">
        <v>10</v>
      </c>
      <c r="I409" s="284">
        <v>16</v>
      </c>
      <c r="J409" s="265" t="s">
        <v>23</v>
      </c>
      <c r="K409" s="270"/>
    </row>
    <row r="410" spans="6:11" x14ac:dyDescent="0.3">
      <c r="F410" s="269">
        <f>ROW()-ROW(APORTACIONESOCIOS[[#Headers],[SECUENCIA]])</f>
        <v>406</v>
      </c>
      <c r="G410" s="189">
        <v>45731</v>
      </c>
      <c r="H410" s="3">
        <v>10</v>
      </c>
      <c r="I410" s="284">
        <v>3</v>
      </c>
      <c r="J410" s="265" t="s">
        <v>13</v>
      </c>
      <c r="K410" s="270"/>
    </row>
    <row r="411" spans="6:11" x14ac:dyDescent="0.3">
      <c r="F411" s="269">
        <f>ROW()-ROW(APORTACIONESOCIOS[[#Headers],[SECUENCIA]])</f>
        <v>407</v>
      </c>
      <c r="G411" s="176">
        <v>45731</v>
      </c>
      <c r="H411" s="3">
        <v>10</v>
      </c>
      <c r="I411" s="284">
        <v>4</v>
      </c>
      <c r="J411" s="265" t="s">
        <v>12</v>
      </c>
      <c r="K411" s="270"/>
    </row>
    <row r="412" spans="6:11" x14ac:dyDescent="0.3">
      <c r="F412" s="269">
        <f>ROW()-ROW(APORTACIONESOCIOS[[#Headers],[SECUENCIA]])</f>
        <v>408</v>
      </c>
      <c r="G412" s="176">
        <v>45731</v>
      </c>
      <c r="H412" s="3">
        <v>10</v>
      </c>
      <c r="I412" s="284">
        <v>5</v>
      </c>
      <c r="J412" s="265" t="s">
        <v>14</v>
      </c>
      <c r="K412" s="270"/>
    </row>
    <row r="413" spans="6:11" x14ac:dyDescent="0.3">
      <c r="F413" s="269">
        <f>ROW()-ROW(APORTACIONESOCIOS[[#Headers],[SECUENCIA]])</f>
        <v>409</v>
      </c>
      <c r="G413" s="176">
        <v>45731</v>
      </c>
      <c r="H413" s="3">
        <v>10</v>
      </c>
      <c r="I413" s="284">
        <v>6</v>
      </c>
      <c r="J413" s="265" t="s">
        <v>24</v>
      </c>
      <c r="K413" s="270"/>
    </row>
    <row r="414" spans="6:11" x14ac:dyDescent="0.3">
      <c r="F414" s="269">
        <f>ROW()-ROW(APORTACIONESOCIOS[[#Headers],[SECUENCIA]])</f>
        <v>410</v>
      </c>
      <c r="G414" s="176">
        <v>45731</v>
      </c>
      <c r="H414" s="3">
        <v>10</v>
      </c>
      <c r="I414" s="284">
        <v>7</v>
      </c>
      <c r="J414" s="265" t="s">
        <v>15</v>
      </c>
      <c r="K414" s="270"/>
    </row>
    <row r="415" spans="6:11" x14ac:dyDescent="0.3">
      <c r="F415" s="269">
        <f>ROW()-ROW(APORTACIONESOCIOS[[#Headers],[SECUENCIA]])</f>
        <v>411</v>
      </c>
      <c r="G415" s="176">
        <v>45731</v>
      </c>
      <c r="H415" s="3">
        <v>10</v>
      </c>
      <c r="I415" s="284">
        <v>8</v>
      </c>
      <c r="J415" s="265" t="s">
        <v>16</v>
      </c>
      <c r="K415" s="270"/>
    </row>
    <row r="416" spans="6:11" x14ac:dyDescent="0.3">
      <c r="F416" s="269">
        <f>ROW()-ROW(APORTACIONESOCIOS[[#Headers],[SECUENCIA]])</f>
        <v>412</v>
      </c>
      <c r="G416" s="176">
        <v>45731</v>
      </c>
      <c r="H416" s="3">
        <v>10</v>
      </c>
      <c r="I416" s="284">
        <v>9</v>
      </c>
      <c r="J416" s="265" t="s">
        <v>17</v>
      </c>
      <c r="K416" s="270"/>
    </row>
    <row r="417" spans="6:11" x14ac:dyDescent="0.3">
      <c r="F417" s="269">
        <f>ROW()-ROW(APORTACIONESOCIOS[[#Headers],[SECUENCIA]])</f>
        <v>413</v>
      </c>
      <c r="G417" s="176">
        <v>45731</v>
      </c>
      <c r="H417" s="3">
        <v>10</v>
      </c>
      <c r="I417" s="284">
        <v>10</v>
      </c>
      <c r="J417" s="265" t="s">
        <v>18</v>
      </c>
      <c r="K417" s="270"/>
    </row>
    <row r="418" spans="6:11" x14ac:dyDescent="0.3">
      <c r="F418" s="269">
        <f>ROW()-ROW(APORTACIONESOCIOS[[#Headers],[SECUENCIA]])</f>
        <v>414</v>
      </c>
      <c r="G418" s="176">
        <v>45731</v>
      </c>
      <c r="H418" s="3">
        <v>10</v>
      </c>
      <c r="I418" s="284">
        <v>11</v>
      </c>
      <c r="J418" s="265" t="s">
        <v>19</v>
      </c>
      <c r="K418" s="270"/>
    </row>
    <row r="419" spans="6:11" x14ac:dyDescent="0.3">
      <c r="F419" s="269">
        <f>ROW()-ROW(APORTACIONESOCIOS[[#Headers],[SECUENCIA]])</f>
        <v>415</v>
      </c>
      <c r="G419" s="176">
        <v>45731</v>
      </c>
      <c r="H419" s="3">
        <v>10</v>
      </c>
      <c r="I419" s="284">
        <v>12</v>
      </c>
      <c r="J419" s="265" t="s">
        <v>20</v>
      </c>
      <c r="K419" s="270"/>
    </row>
    <row r="420" spans="6:11" x14ac:dyDescent="0.3">
      <c r="F420" s="269">
        <f>ROW()-ROW(APORTACIONESOCIOS[[#Headers],[SECUENCIA]])</f>
        <v>416</v>
      </c>
      <c r="G420" s="176">
        <v>45731</v>
      </c>
      <c r="H420" s="3">
        <v>10</v>
      </c>
      <c r="I420" s="284">
        <v>14</v>
      </c>
      <c r="J420" s="265" t="s">
        <v>21</v>
      </c>
      <c r="K420" s="270"/>
    </row>
    <row r="421" spans="6:11" x14ac:dyDescent="0.3">
      <c r="F421" s="269">
        <f>ROW()-ROW(APORTACIONESOCIOS[[#Headers],[SECUENCIA]])</f>
        <v>417</v>
      </c>
      <c r="G421" s="176">
        <v>45731</v>
      </c>
      <c r="H421" s="3">
        <v>10</v>
      </c>
      <c r="I421" s="284">
        <v>15</v>
      </c>
      <c r="J421" s="265" t="s">
        <v>22</v>
      </c>
      <c r="K421" s="270"/>
    </row>
    <row r="422" spans="6:11" x14ac:dyDescent="0.3">
      <c r="F422" s="269">
        <f>ROW()-ROW(APORTACIONESOCIOS[[#Headers],[SECUENCIA]])</f>
        <v>418</v>
      </c>
      <c r="G422" s="176">
        <v>45731</v>
      </c>
      <c r="H422" s="3">
        <v>10</v>
      </c>
      <c r="I422" s="284">
        <v>16</v>
      </c>
      <c r="J422" s="265" t="s">
        <v>23</v>
      </c>
      <c r="K422" s="270"/>
    </row>
    <row r="423" spans="6:11" x14ac:dyDescent="0.3">
      <c r="F423" s="269">
        <f>ROW()-ROW(APORTACIONESOCIOS[[#Headers],[SECUENCIA]])</f>
        <v>419</v>
      </c>
      <c r="G423" s="176">
        <v>45762</v>
      </c>
      <c r="H423" s="3">
        <v>10</v>
      </c>
      <c r="I423" s="284">
        <v>3</v>
      </c>
      <c r="J423" s="265" t="s">
        <v>13</v>
      </c>
      <c r="K423" s="270"/>
    </row>
    <row r="424" spans="6:11" x14ac:dyDescent="0.3">
      <c r="F424" s="269">
        <f>ROW()-ROW(APORTACIONESOCIOS[[#Headers],[SECUENCIA]])</f>
        <v>420</v>
      </c>
      <c r="G424" s="176">
        <v>45762</v>
      </c>
      <c r="H424" s="3">
        <v>10</v>
      </c>
      <c r="I424" s="284">
        <v>4</v>
      </c>
      <c r="J424" s="265" t="s">
        <v>12</v>
      </c>
      <c r="K424" s="270"/>
    </row>
    <row r="425" spans="6:11" x14ac:dyDescent="0.3">
      <c r="F425" s="269">
        <f>ROW()-ROW(APORTACIONESOCIOS[[#Headers],[SECUENCIA]])</f>
        <v>421</v>
      </c>
      <c r="G425" s="176">
        <v>45762</v>
      </c>
      <c r="H425" s="3">
        <v>10</v>
      </c>
      <c r="I425" s="284">
        <v>5</v>
      </c>
      <c r="J425" s="265" t="s">
        <v>14</v>
      </c>
      <c r="K425" s="270"/>
    </row>
    <row r="426" spans="6:11" x14ac:dyDescent="0.3">
      <c r="F426" s="269">
        <f>ROW()-ROW(APORTACIONESOCIOS[[#Headers],[SECUENCIA]])</f>
        <v>422</v>
      </c>
      <c r="G426" s="176">
        <v>45762</v>
      </c>
      <c r="H426" s="3">
        <v>10</v>
      </c>
      <c r="I426" s="284">
        <v>6</v>
      </c>
      <c r="J426" s="265" t="s">
        <v>24</v>
      </c>
      <c r="K426" s="270"/>
    </row>
    <row r="427" spans="6:11" x14ac:dyDescent="0.3">
      <c r="F427" s="269">
        <f>ROW()-ROW(APORTACIONESOCIOS[[#Headers],[SECUENCIA]])</f>
        <v>423</v>
      </c>
      <c r="G427" s="176">
        <v>45762</v>
      </c>
      <c r="H427" s="3">
        <v>10</v>
      </c>
      <c r="I427" s="284">
        <v>7</v>
      </c>
      <c r="J427" s="265" t="s">
        <v>15</v>
      </c>
      <c r="K427" s="270"/>
    </row>
    <row r="428" spans="6:11" x14ac:dyDescent="0.3">
      <c r="F428" s="269">
        <f>ROW()-ROW(APORTACIONESOCIOS[[#Headers],[SECUENCIA]])</f>
        <v>424</v>
      </c>
      <c r="G428" s="176">
        <v>45762</v>
      </c>
      <c r="H428" s="3">
        <v>10</v>
      </c>
      <c r="I428" s="284">
        <v>8</v>
      </c>
      <c r="J428" s="265" t="s">
        <v>16</v>
      </c>
      <c r="K428" s="270"/>
    </row>
    <row r="429" spans="6:11" x14ac:dyDescent="0.3">
      <c r="F429" s="269">
        <f>ROW()-ROW(APORTACIONESOCIOS[[#Headers],[SECUENCIA]])</f>
        <v>425</v>
      </c>
      <c r="G429" s="176">
        <v>45762</v>
      </c>
      <c r="H429" s="3">
        <v>10</v>
      </c>
      <c r="I429" s="284">
        <v>9</v>
      </c>
      <c r="J429" s="265" t="s">
        <v>17</v>
      </c>
      <c r="K429" s="270"/>
    </row>
    <row r="430" spans="6:11" x14ac:dyDescent="0.3">
      <c r="F430" s="269">
        <f>ROW()-ROW(APORTACIONESOCIOS[[#Headers],[SECUENCIA]])</f>
        <v>426</v>
      </c>
      <c r="G430" s="176">
        <v>45762</v>
      </c>
      <c r="H430" s="3">
        <v>10</v>
      </c>
      <c r="I430" s="284">
        <v>10</v>
      </c>
      <c r="J430" s="265" t="s">
        <v>18</v>
      </c>
      <c r="K430" s="270"/>
    </row>
    <row r="431" spans="6:11" x14ac:dyDescent="0.3">
      <c r="F431" s="269">
        <f>ROW()-ROW(APORTACIONESOCIOS[[#Headers],[SECUENCIA]])</f>
        <v>427</v>
      </c>
      <c r="G431" s="176">
        <v>45762</v>
      </c>
      <c r="H431" s="3">
        <v>10</v>
      </c>
      <c r="I431" s="284">
        <v>11</v>
      </c>
      <c r="J431" s="265" t="s">
        <v>19</v>
      </c>
      <c r="K431" s="270"/>
    </row>
    <row r="432" spans="6:11" x14ac:dyDescent="0.3">
      <c r="F432" s="269">
        <f>ROW()-ROW(APORTACIONESOCIOS[[#Headers],[SECUENCIA]])</f>
        <v>428</v>
      </c>
      <c r="G432" s="176">
        <v>45762</v>
      </c>
      <c r="H432" s="3">
        <v>10</v>
      </c>
      <c r="I432" s="284">
        <v>12</v>
      </c>
      <c r="J432" s="265" t="s">
        <v>20</v>
      </c>
      <c r="K432" s="270"/>
    </row>
    <row r="433" spans="6:11" x14ac:dyDescent="0.3">
      <c r="F433" s="269">
        <f>ROW()-ROW(APORTACIONESOCIOS[[#Headers],[SECUENCIA]])</f>
        <v>429</v>
      </c>
      <c r="G433" s="176">
        <v>45762</v>
      </c>
      <c r="H433" s="3">
        <v>110</v>
      </c>
      <c r="I433" s="284">
        <v>13</v>
      </c>
      <c r="J433" s="265" t="s">
        <v>352</v>
      </c>
      <c r="K433" s="270"/>
    </row>
    <row r="434" spans="6:11" x14ac:dyDescent="0.3">
      <c r="F434" s="269">
        <f>ROW()-ROW(APORTACIONESOCIOS[[#Headers],[SECUENCIA]])</f>
        <v>430</v>
      </c>
      <c r="G434" s="176">
        <v>45762</v>
      </c>
      <c r="H434" s="3">
        <v>10</v>
      </c>
      <c r="I434" s="284">
        <v>14</v>
      </c>
      <c r="J434" s="265" t="s">
        <v>21</v>
      </c>
      <c r="K434" s="270"/>
    </row>
    <row r="435" spans="6:11" x14ac:dyDescent="0.3">
      <c r="F435" s="269">
        <f>ROW()-ROW(APORTACIONESOCIOS[[#Headers],[SECUENCIA]])</f>
        <v>431</v>
      </c>
      <c r="G435" s="176">
        <v>45762</v>
      </c>
      <c r="H435" s="3">
        <v>10</v>
      </c>
      <c r="I435" s="284">
        <v>15</v>
      </c>
      <c r="J435" s="265" t="s">
        <v>22</v>
      </c>
      <c r="K435" s="270"/>
    </row>
    <row r="436" spans="6:11" x14ac:dyDescent="0.3">
      <c r="F436" s="269">
        <f>ROW()-ROW(APORTACIONESOCIOS[[#Headers],[SECUENCIA]])</f>
        <v>432</v>
      </c>
      <c r="G436" s="176">
        <v>45762</v>
      </c>
      <c r="H436" s="3">
        <v>10</v>
      </c>
      <c r="I436" s="284">
        <v>16</v>
      </c>
      <c r="J436" s="265" t="s">
        <v>23</v>
      </c>
      <c r="K436" s="270"/>
    </row>
    <row r="437" spans="6:11" x14ac:dyDescent="0.3">
      <c r="F437" s="269">
        <f>ROW()-ROW(APORTACIONESOCIOS[[#Headers],[SECUENCIA]])</f>
        <v>433</v>
      </c>
      <c r="G437" s="176">
        <v>45762</v>
      </c>
      <c r="H437" s="3">
        <v>330</v>
      </c>
      <c r="I437" s="284">
        <v>17</v>
      </c>
      <c r="J437" s="265" t="s">
        <v>350</v>
      </c>
      <c r="K437" s="270"/>
    </row>
    <row r="438" spans="6:11" x14ac:dyDescent="0.3">
      <c r="F438" s="271">
        <f>ROW()-ROW(APORTACIONESOCIOS[[#Headers],[SECUENCIA]])</f>
        <v>434</v>
      </c>
      <c r="G438" s="176">
        <v>45762</v>
      </c>
      <c r="H438" s="3">
        <v>80</v>
      </c>
      <c r="I438" s="285">
        <v>18</v>
      </c>
      <c r="J438" s="272" t="s">
        <v>351</v>
      </c>
      <c r="K438" s="273"/>
    </row>
    <row r="439" spans="6:11" x14ac:dyDescent="0.3">
      <c r="F439" s="269">
        <f>ROW()-ROW(APORTACIONESOCIOS[[#Headers],[SECUENCIA]])</f>
        <v>435</v>
      </c>
      <c r="G439" s="176">
        <v>45792</v>
      </c>
      <c r="H439" s="3">
        <v>10</v>
      </c>
      <c r="I439" s="284">
        <v>3</v>
      </c>
      <c r="J439" s="265" t="s">
        <v>13</v>
      </c>
      <c r="K439" s="270"/>
    </row>
    <row r="440" spans="6:11" x14ac:dyDescent="0.3">
      <c r="F440" s="269">
        <f>ROW()-ROW(APORTACIONESOCIOS[[#Headers],[SECUENCIA]])</f>
        <v>436</v>
      </c>
      <c r="G440" s="176">
        <v>45792</v>
      </c>
      <c r="H440" s="3">
        <v>10</v>
      </c>
      <c r="I440" s="284">
        <v>4</v>
      </c>
      <c r="J440" s="265" t="s">
        <v>12</v>
      </c>
      <c r="K440" s="270"/>
    </row>
    <row r="441" spans="6:11" x14ac:dyDescent="0.3">
      <c r="F441" s="269">
        <f>ROW()-ROW(APORTACIONESOCIOS[[#Headers],[SECUENCIA]])</f>
        <v>437</v>
      </c>
      <c r="G441" s="176">
        <v>45792</v>
      </c>
      <c r="H441" s="3">
        <v>10</v>
      </c>
      <c r="I441" s="284">
        <v>5</v>
      </c>
      <c r="J441" s="265" t="s">
        <v>14</v>
      </c>
      <c r="K441" s="270"/>
    </row>
    <row r="442" spans="6:11" x14ac:dyDescent="0.3">
      <c r="F442" s="269">
        <f>ROW()-ROW(APORTACIONESOCIOS[[#Headers],[SECUENCIA]])</f>
        <v>438</v>
      </c>
      <c r="G442" s="176">
        <v>45792</v>
      </c>
      <c r="H442" s="3">
        <v>10</v>
      </c>
      <c r="I442" s="284">
        <v>6</v>
      </c>
      <c r="J442" s="265" t="s">
        <v>24</v>
      </c>
      <c r="K442" s="270"/>
    </row>
    <row r="443" spans="6:11" x14ac:dyDescent="0.3">
      <c r="F443" s="269">
        <f>ROW()-ROW(APORTACIONESOCIOS[[#Headers],[SECUENCIA]])</f>
        <v>439</v>
      </c>
      <c r="G443" s="176">
        <v>45792</v>
      </c>
      <c r="H443" s="3">
        <v>10</v>
      </c>
      <c r="I443" s="284">
        <v>7</v>
      </c>
      <c r="J443" s="265" t="s">
        <v>15</v>
      </c>
      <c r="K443" s="270"/>
    </row>
    <row r="444" spans="6:11" x14ac:dyDescent="0.3">
      <c r="F444" s="269">
        <f>ROW()-ROW(APORTACIONESOCIOS[[#Headers],[SECUENCIA]])</f>
        <v>440</v>
      </c>
      <c r="G444" s="176">
        <v>45792</v>
      </c>
      <c r="H444" s="3">
        <v>10</v>
      </c>
      <c r="I444" s="284">
        <v>8</v>
      </c>
      <c r="J444" s="265" t="s">
        <v>16</v>
      </c>
      <c r="K444" s="270"/>
    </row>
    <row r="445" spans="6:11" x14ac:dyDescent="0.3">
      <c r="F445" s="269">
        <f>ROW()-ROW(APORTACIONESOCIOS[[#Headers],[SECUENCIA]])</f>
        <v>441</v>
      </c>
      <c r="G445" s="176">
        <v>45792</v>
      </c>
      <c r="H445" s="3">
        <v>10</v>
      </c>
      <c r="I445" s="284">
        <v>9</v>
      </c>
      <c r="J445" s="265" t="s">
        <v>17</v>
      </c>
      <c r="K445" s="270"/>
    </row>
    <row r="446" spans="6:11" x14ac:dyDescent="0.3">
      <c r="F446" s="269">
        <f>ROW()-ROW(APORTACIONESOCIOS[[#Headers],[SECUENCIA]])</f>
        <v>442</v>
      </c>
      <c r="G446" s="176">
        <v>45792</v>
      </c>
      <c r="H446" s="3">
        <v>10</v>
      </c>
      <c r="I446" s="284">
        <v>10</v>
      </c>
      <c r="J446" s="265" t="s">
        <v>18</v>
      </c>
      <c r="K446" s="270"/>
    </row>
    <row r="447" spans="6:11" x14ac:dyDescent="0.3">
      <c r="F447" s="269">
        <f>ROW()-ROW(APORTACIONESOCIOS[[#Headers],[SECUENCIA]])</f>
        <v>443</v>
      </c>
      <c r="G447" s="176">
        <v>45792</v>
      </c>
      <c r="H447" s="3">
        <v>10</v>
      </c>
      <c r="I447" s="284">
        <v>11</v>
      </c>
      <c r="J447" s="265" t="s">
        <v>19</v>
      </c>
      <c r="K447" s="270"/>
    </row>
    <row r="448" spans="6:11" x14ac:dyDescent="0.3">
      <c r="F448" s="269">
        <f>ROW()-ROW(APORTACIONESOCIOS[[#Headers],[SECUENCIA]])</f>
        <v>444</v>
      </c>
      <c r="G448" s="176">
        <v>45792</v>
      </c>
      <c r="H448" s="3">
        <v>10</v>
      </c>
      <c r="I448" s="284">
        <v>12</v>
      </c>
      <c r="J448" s="265" t="s">
        <v>20</v>
      </c>
      <c r="K448" s="270"/>
    </row>
    <row r="449" spans="6:11" x14ac:dyDescent="0.3">
      <c r="F449" s="269">
        <f>ROW()-ROW(APORTACIONESOCIOS[[#Headers],[SECUENCIA]])</f>
        <v>445</v>
      </c>
      <c r="G449" s="176">
        <v>45792</v>
      </c>
      <c r="H449" s="3">
        <v>120</v>
      </c>
      <c r="I449" s="284">
        <v>13</v>
      </c>
      <c r="J449" s="265" t="s">
        <v>352</v>
      </c>
      <c r="K449" s="270"/>
    </row>
    <row r="450" spans="6:11" x14ac:dyDescent="0.3">
      <c r="F450" s="269">
        <f>ROW()-ROW(APORTACIONESOCIOS[[#Headers],[SECUENCIA]])</f>
        <v>446</v>
      </c>
      <c r="G450" s="176">
        <v>45792</v>
      </c>
      <c r="H450" s="3">
        <v>10</v>
      </c>
      <c r="I450" s="284">
        <v>14</v>
      </c>
      <c r="J450" s="265" t="s">
        <v>21</v>
      </c>
      <c r="K450" s="270"/>
    </row>
    <row r="451" spans="6:11" x14ac:dyDescent="0.3">
      <c r="F451" s="269">
        <f>ROW()-ROW(APORTACIONESOCIOS[[#Headers],[SECUENCIA]])</f>
        <v>447</v>
      </c>
      <c r="G451" s="176">
        <v>45792</v>
      </c>
      <c r="H451" s="3">
        <v>10</v>
      </c>
      <c r="I451" s="284">
        <v>15</v>
      </c>
      <c r="J451" s="265" t="s">
        <v>22</v>
      </c>
      <c r="K451" s="270"/>
    </row>
    <row r="452" spans="6:11" x14ac:dyDescent="0.3">
      <c r="F452" s="269">
        <f>ROW()-ROW(APORTACIONESOCIOS[[#Headers],[SECUENCIA]])</f>
        <v>448</v>
      </c>
      <c r="G452" s="176">
        <v>45792</v>
      </c>
      <c r="H452" s="3">
        <v>10</v>
      </c>
      <c r="I452" s="284">
        <v>16</v>
      </c>
      <c r="J452" s="265" t="s">
        <v>23</v>
      </c>
      <c r="K452" s="270"/>
    </row>
    <row r="453" spans="6:11" x14ac:dyDescent="0.3">
      <c r="F453" s="269">
        <f>ROW()-ROW(APORTACIONESOCIOS[[#Headers],[SECUENCIA]])</f>
        <v>449</v>
      </c>
      <c r="G453" s="176">
        <v>45792</v>
      </c>
      <c r="H453" s="3">
        <v>10</v>
      </c>
      <c r="I453" s="284">
        <v>17</v>
      </c>
      <c r="J453" s="265" t="s">
        <v>350</v>
      </c>
      <c r="K453" s="270"/>
    </row>
    <row r="454" spans="6:11" x14ac:dyDescent="0.3">
      <c r="F454" s="271">
        <f>ROW()-ROW(APORTACIONESOCIOS[[#Headers],[SECUENCIA]])</f>
        <v>450</v>
      </c>
      <c r="G454" s="176">
        <v>45792</v>
      </c>
      <c r="H454" s="3">
        <v>220</v>
      </c>
      <c r="I454" s="285">
        <v>18</v>
      </c>
      <c r="J454" s="272" t="s">
        <v>351</v>
      </c>
      <c r="K454" s="273"/>
    </row>
    <row r="455" spans="6:11" x14ac:dyDescent="0.3">
      <c r="F455" s="269">
        <f>ROW()-ROW(APORTACIONESOCIOS[[#Headers],[SECUENCIA]])</f>
        <v>451</v>
      </c>
      <c r="G455" s="176">
        <v>45823</v>
      </c>
      <c r="H455" s="3">
        <v>10</v>
      </c>
      <c r="I455" s="284">
        <v>3</v>
      </c>
      <c r="J455" s="265" t="s">
        <v>13</v>
      </c>
      <c r="K455" s="270"/>
    </row>
    <row r="456" spans="6:11" x14ac:dyDescent="0.3">
      <c r="F456" s="269">
        <f>ROW()-ROW(APORTACIONESOCIOS[[#Headers],[SECUENCIA]])</f>
        <v>452</v>
      </c>
      <c r="G456" s="176">
        <v>45823</v>
      </c>
      <c r="H456" s="3">
        <v>10</v>
      </c>
      <c r="I456" s="284">
        <v>4</v>
      </c>
      <c r="J456" s="265" t="s">
        <v>12</v>
      </c>
      <c r="K456" s="270"/>
    </row>
    <row r="457" spans="6:11" x14ac:dyDescent="0.3">
      <c r="F457" s="269">
        <f>ROW()-ROW(APORTACIONESOCIOS[[#Headers],[SECUENCIA]])</f>
        <v>453</v>
      </c>
      <c r="G457" s="176">
        <v>45823</v>
      </c>
      <c r="H457" s="3">
        <v>10</v>
      </c>
      <c r="I457" s="284">
        <v>5</v>
      </c>
      <c r="J457" s="265" t="s">
        <v>14</v>
      </c>
      <c r="K457" s="270"/>
    </row>
    <row r="458" spans="6:11" x14ac:dyDescent="0.3">
      <c r="F458" s="269">
        <f>ROW()-ROW(APORTACIONESOCIOS[[#Headers],[SECUENCIA]])</f>
        <v>454</v>
      </c>
      <c r="G458" s="176">
        <v>45823</v>
      </c>
      <c r="H458" s="3">
        <v>10</v>
      </c>
      <c r="I458" s="284">
        <v>6</v>
      </c>
      <c r="J458" s="265" t="s">
        <v>24</v>
      </c>
      <c r="K458" s="270"/>
    </row>
    <row r="459" spans="6:11" x14ac:dyDescent="0.3">
      <c r="F459" s="269">
        <f>ROW()-ROW(APORTACIONESOCIOS[[#Headers],[SECUENCIA]])</f>
        <v>455</v>
      </c>
      <c r="G459" s="176">
        <v>45823</v>
      </c>
      <c r="H459" s="3">
        <v>10</v>
      </c>
      <c r="I459" s="284">
        <v>7</v>
      </c>
      <c r="J459" s="265" t="s">
        <v>15</v>
      </c>
      <c r="K459" s="270"/>
    </row>
    <row r="460" spans="6:11" x14ac:dyDescent="0.3">
      <c r="F460" s="269">
        <f>ROW()-ROW(APORTACIONESOCIOS[[#Headers],[SECUENCIA]])</f>
        <v>456</v>
      </c>
      <c r="G460" s="176">
        <v>45823</v>
      </c>
      <c r="H460" s="3">
        <v>10</v>
      </c>
      <c r="I460" s="284">
        <v>8</v>
      </c>
      <c r="J460" s="265" t="s">
        <v>16</v>
      </c>
      <c r="K460" s="270"/>
    </row>
    <row r="461" spans="6:11" x14ac:dyDescent="0.3">
      <c r="F461" s="269">
        <f>ROW()-ROW(APORTACIONESOCIOS[[#Headers],[SECUENCIA]])</f>
        <v>457</v>
      </c>
      <c r="G461" s="176">
        <v>45823</v>
      </c>
      <c r="H461" s="3">
        <v>10</v>
      </c>
      <c r="I461" s="284">
        <v>9</v>
      </c>
      <c r="J461" s="265" t="s">
        <v>17</v>
      </c>
      <c r="K461" s="270"/>
    </row>
    <row r="462" spans="6:11" x14ac:dyDescent="0.3">
      <c r="F462" s="269">
        <f>ROW()-ROW(APORTACIONESOCIOS[[#Headers],[SECUENCIA]])</f>
        <v>458</v>
      </c>
      <c r="G462" s="176">
        <v>45823</v>
      </c>
      <c r="H462" s="3">
        <v>10</v>
      </c>
      <c r="I462" s="284">
        <v>10</v>
      </c>
      <c r="J462" s="265" t="s">
        <v>18</v>
      </c>
      <c r="K462" s="270"/>
    </row>
    <row r="463" spans="6:11" x14ac:dyDescent="0.3">
      <c r="F463" s="269">
        <f>ROW()-ROW(APORTACIONESOCIOS[[#Headers],[SECUENCIA]])</f>
        <v>459</v>
      </c>
      <c r="G463" s="176">
        <v>45823</v>
      </c>
      <c r="H463" s="3">
        <v>10</v>
      </c>
      <c r="I463" s="284">
        <v>11</v>
      </c>
      <c r="J463" s="265" t="s">
        <v>19</v>
      </c>
      <c r="K463" s="270"/>
    </row>
    <row r="464" spans="6:11" x14ac:dyDescent="0.3">
      <c r="F464" s="269">
        <f>ROW()-ROW(APORTACIONESOCIOS[[#Headers],[SECUENCIA]])</f>
        <v>460</v>
      </c>
      <c r="G464" s="176">
        <v>45823</v>
      </c>
      <c r="H464" s="3">
        <v>10</v>
      </c>
      <c r="I464" s="284">
        <v>12</v>
      </c>
      <c r="J464" s="265" t="s">
        <v>20</v>
      </c>
      <c r="K464" s="270"/>
    </row>
    <row r="465" spans="6:11" x14ac:dyDescent="0.3">
      <c r="F465" s="269">
        <f>ROW()-ROW(APORTACIONESOCIOS[[#Headers],[SECUENCIA]])</f>
        <v>461</v>
      </c>
      <c r="G465" s="176">
        <v>45823</v>
      </c>
      <c r="H465" s="3">
        <v>10</v>
      </c>
      <c r="I465" s="284">
        <v>13</v>
      </c>
      <c r="J465" s="265" t="s">
        <v>352</v>
      </c>
      <c r="K465" s="270"/>
    </row>
    <row r="466" spans="6:11" x14ac:dyDescent="0.3">
      <c r="F466" s="269">
        <f>ROW()-ROW(APORTACIONESOCIOS[[#Headers],[SECUENCIA]])</f>
        <v>462</v>
      </c>
      <c r="G466" s="176">
        <v>45823</v>
      </c>
      <c r="H466" s="3">
        <v>10</v>
      </c>
      <c r="I466" s="284">
        <v>14</v>
      </c>
      <c r="J466" s="265" t="s">
        <v>21</v>
      </c>
      <c r="K466" s="270"/>
    </row>
    <row r="467" spans="6:11" x14ac:dyDescent="0.3">
      <c r="F467" s="269">
        <f>ROW()-ROW(APORTACIONESOCIOS[[#Headers],[SECUENCIA]])</f>
        <v>463</v>
      </c>
      <c r="G467" s="176">
        <v>45823</v>
      </c>
      <c r="H467" s="3">
        <v>10</v>
      </c>
      <c r="I467" s="284">
        <v>15</v>
      </c>
      <c r="J467" s="265" t="s">
        <v>22</v>
      </c>
      <c r="K467" s="270"/>
    </row>
    <row r="468" spans="6:11" x14ac:dyDescent="0.3">
      <c r="F468" s="269">
        <f>ROW()-ROW(APORTACIONESOCIOS[[#Headers],[SECUENCIA]])</f>
        <v>464</v>
      </c>
      <c r="G468" s="176">
        <v>45823</v>
      </c>
      <c r="H468" s="3">
        <v>10</v>
      </c>
      <c r="I468" s="284">
        <v>16</v>
      </c>
      <c r="J468" s="265" t="s">
        <v>23</v>
      </c>
      <c r="K468" s="270"/>
    </row>
    <row r="469" spans="6:11" x14ac:dyDescent="0.3">
      <c r="F469" s="269">
        <f>ROW()-ROW(APORTACIONESOCIOS[[#Headers],[SECUENCIA]])</f>
        <v>465</v>
      </c>
      <c r="G469" s="176">
        <v>45823</v>
      </c>
      <c r="H469" s="3">
        <v>10</v>
      </c>
      <c r="I469" s="284">
        <v>17</v>
      </c>
      <c r="J469" s="265" t="s">
        <v>350</v>
      </c>
      <c r="K469" s="270"/>
    </row>
    <row r="470" spans="6:11" x14ac:dyDescent="0.3">
      <c r="F470" s="271">
        <f>ROW()-ROW(APORTACIONESOCIOS[[#Headers],[SECUENCIA]])</f>
        <v>466</v>
      </c>
      <c r="G470" s="176">
        <v>45823</v>
      </c>
      <c r="H470" s="3">
        <v>10</v>
      </c>
      <c r="I470" s="285">
        <v>18</v>
      </c>
      <c r="J470" s="272" t="s">
        <v>351</v>
      </c>
      <c r="K470" s="273"/>
    </row>
    <row r="471" spans="6:11" x14ac:dyDescent="0.3">
      <c r="F471" s="269">
        <f>ROW()-ROW(APORTACIONESOCIOS[[#Headers],[SECUENCIA]])</f>
        <v>467</v>
      </c>
      <c r="G471" s="176">
        <v>45853</v>
      </c>
      <c r="H471" s="3">
        <v>10</v>
      </c>
      <c r="I471" s="284">
        <v>3</v>
      </c>
      <c r="J471" s="265" t="s">
        <v>13</v>
      </c>
      <c r="K471" s="270"/>
    </row>
    <row r="472" spans="6:11" x14ac:dyDescent="0.3">
      <c r="F472" s="269">
        <f>ROW()-ROW(APORTACIONESOCIOS[[#Headers],[SECUENCIA]])</f>
        <v>468</v>
      </c>
      <c r="G472" s="176">
        <v>45853</v>
      </c>
      <c r="H472" s="3">
        <v>10</v>
      </c>
      <c r="I472" s="284">
        <v>4</v>
      </c>
      <c r="J472" s="265" t="s">
        <v>12</v>
      </c>
      <c r="K472" s="270"/>
    </row>
    <row r="473" spans="6:11" x14ac:dyDescent="0.3">
      <c r="F473" s="269">
        <f>ROW()-ROW(APORTACIONESOCIOS[[#Headers],[SECUENCIA]])</f>
        <v>469</v>
      </c>
      <c r="G473" s="176">
        <v>45853</v>
      </c>
      <c r="H473" s="3">
        <v>10</v>
      </c>
      <c r="I473" s="284">
        <v>5</v>
      </c>
      <c r="J473" s="265" t="s">
        <v>14</v>
      </c>
      <c r="K473" s="270"/>
    </row>
    <row r="474" spans="6:11" x14ac:dyDescent="0.3">
      <c r="F474" s="269">
        <f>ROW()-ROW(APORTACIONESOCIOS[[#Headers],[SECUENCIA]])</f>
        <v>470</v>
      </c>
      <c r="G474" s="176">
        <v>45853</v>
      </c>
      <c r="H474" s="3">
        <v>10</v>
      </c>
      <c r="I474" s="284">
        <v>6</v>
      </c>
      <c r="J474" s="265" t="s">
        <v>24</v>
      </c>
      <c r="K474" s="270"/>
    </row>
    <row r="475" spans="6:11" x14ac:dyDescent="0.3">
      <c r="F475" s="269">
        <f>ROW()-ROW(APORTACIONESOCIOS[[#Headers],[SECUENCIA]])</f>
        <v>471</v>
      </c>
      <c r="G475" s="176">
        <v>45853</v>
      </c>
      <c r="H475" s="3">
        <v>10</v>
      </c>
      <c r="I475" s="284">
        <v>7</v>
      </c>
      <c r="J475" s="265" t="s">
        <v>15</v>
      </c>
      <c r="K475" s="270"/>
    </row>
    <row r="476" spans="6:11" x14ac:dyDescent="0.3">
      <c r="F476" s="269">
        <f>ROW()-ROW(APORTACIONESOCIOS[[#Headers],[SECUENCIA]])</f>
        <v>472</v>
      </c>
      <c r="G476" s="176">
        <v>45853</v>
      </c>
      <c r="H476" s="3">
        <v>10</v>
      </c>
      <c r="I476" s="284">
        <v>8</v>
      </c>
      <c r="J476" s="265" t="s">
        <v>16</v>
      </c>
      <c r="K476" s="270"/>
    </row>
    <row r="477" spans="6:11" x14ac:dyDescent="0.3">
      <c r="F477" s="269">
        <f>ROW()-ROW(APORTACIONESOCIOS[[#Headers],[SECUENCIA]])</f>
        <v>473</v>
      </c>
      <c r="G477" s="176">
        <v>45853</v>
      </c>
      <c r="H477" s="3">
        <v>10</v>
      </c>
      <c r="I477" s="284">
        <v>9</v>
      </c>
      <c r="J477" s="265" t="s">
        <v>17</v>
      </c>
      <c r="K477" s="270"/>
    </row>
    <row r="478" spans="6:11" x14ac:dyDescent="0.3">
      <c r="F478" s="269">
        <f>ROW()-ROW(APORTACIONESOCIOS[[#Headers],[SECUENCIA]])</f>
        <v>474</v>
      </c>
      <c r="G478" s="176">
        <v>45853</v>
      </c>
      <c r="H478" s="3">
        <v>10</v>
      </c>
      <c r="I478" s="284">
        <v>10</v>
      </c>
      <c r="J478" s="265" t="s">
        <v>18</v>
      </c>
      <c r="K478" s="270"/>
    </row>
    <row r="479" spans="6:11" x14ac:dyDescent="0.3">
      <c r="F479" s="269">
        <f>ROW()-ROW(APORTACIONESOCIOS[[#Headers],[SECUENCIA]])</f>
        <v>475</v>
      </c>
      <c r="G479" s="176">
        <v>45853</v>
      </c>
      <c r="H479" s="3">
        <v>10</v>
      </c>
      <c r="I479" s="284">
        <v>11</v>
      </c>
      <c r="J479" s="265" t="s">
        <v>19</v>
      </c>
      <c r="K479" s="270"/>
    </row>
    <row r="480" spans="6:11" x14ac:dyDescent="0.3">
      <c r="F480" s="269">
        <f>ROW()-ROW(APORTACIONESOCIOS[[#Headers],[SECUENCIA]])</f>
        <v>476</v>
      </c>
      <c r="G480" s="176">
        <v>45853</v>
      </c>
      <c r="H480" s="3">
        <v>10</v>
      </c>
      <c r="I480" s="284">
        <v>12</v>
      </c>
      <c r="J480" s="265" t="s">
        <v>20</v>
      </c>
      <c r="K480" s="270"/>
    </row>
    <row r="481" spans="6:11" x14ac:dyDescent="0.3">
      <c r="F481" s="269">
        <f>ROW()-ROW(APORTACIONESOCIOS[[#Headers],[SECUENCIA]])</f>
        <v>477</v>
      </c>
      <c r="G481" s="176">
        <v>45853</v>
      </c>
      <c r="H481" s="3">
        <v>120</v>
      </c>
      <c r="I481" s="284">
        <v>13</v>
      </c>
      <c r="J481" s="265" t="s">
        <v>352</v>
      </c>
      <c r="K481" s="270"/>
    </row>
    <row r="482" spans="6:11" x14ac:dyDescent="0.3">
      <c r="F482" s="269">
        <f>ROW()-ROW(APORTACIONESOCIOS[[#Headers],[SECUENCIA]])</f>
        <v>478</v>
      </c>
      <c r="G482" s="176">
        <v>45853</v>
      </c>
      <c r="H482" s="3">
        <v>10</v>
      </c>
      <c r="I482" s="284">
        <v>14</v>
      </c>
      <c r="J482" s="265" t="s">
        <v>21</v>
      </c>
      <c r="K482" s="270"/>
    </row>
    <row r="483" spans="6:11" x14ac:dyDescent="0.3">
      <c r="F483" s="269">
        <f>ROW()-ROW(APORTACIONESOCIOS[[#Headers],[SECUENCIA]])</f>
        <v>479</v>
      </c>
      <c r="G483" s="176">
        <v>45853</v>
      </c>
      <c r="H483" s="3">
        <v>10</v>
      </c>
      <c r="I483" s="284">
        <v>15</v>
      </c>
      <c r="J483" s="265" t="s">
        <v>22</v>
      </c>
      <c r="K483" s="270"/>
    </row>
    <row r="484" spans="6:11" x14ac:dyDescent="0.3">
      <c r="F484" s="269">
        <f>ROW()-ROW(APORTACIONESOCIOS[[#Headers],[SECUENCIA]])</f>
        <v>480</v>
      </c>
      <c r="G484" s="176">
        <v>45853</v>
      </c>
      <c r="H484" s="3">
        <v>10</v>
      </c>
      <c r="I484" s="284">
        <v>16</v>
      </c>
      <c r="J484" s="265" t="s">
        <v>23</v>
      </c>
      <c r="K484" s="270"/>
    </row>
    <row r="485" spans="6:11" x14ac:dyDescent="0.3">
      <c r="F485" s="269">
        <f>ROW()-ROW(APORTACIONESOCIOS[[#Headers],[SECUENCIA]])</f>
        <v>481</v>
      </c>
      <c r="G485" s="176">
        <v>45853</v>
      </c>
      <c r="H485" s="3">
        <v>10</v>
      </c>
      <c r="I485" s="284">
        <v>17</v>
      </c>
      <c r="J485" s="265" t="s">
        <v>350</v>
      </c>
      <c r="K485" s="270"/>
    </row>
    <row r="486" spans="6:11" x14ac:dyDescent="0.3">
      <c r="F486" s="271">
        <f>ROW()-ROW(APORTACIONESOCIOS[[#Headers],[SECUENCIA]])</f>
        <v>482</v>
      </c>
      <c r="G486" s="176">
        <v>45853</v>
      </c>
      <c r="H486" s="3">
        <v>50</v>
      </c>
      <c r="I486" s="285">
        <v>18</v>
      </c>
      <c r="J486" s="272" t="s">
        <v>351</v>
      </c>
      <c r="K486" s="273"/>
    </row>
  </sheetData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R24"/>
  <sheetViews>
    <sheetView workbookViewId="0">
      <selection activeCell="E19" sqref="E19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6384" width="10.88671875" style="2"/>
  </cols>
  <sheetData>
    <row r="1" spans="2:19 16372:16372" ht="15" thickBot="1" x14ac:dyDescent="0.35">
      <c r="XER1" s="17">
        <f ca="1">_xlfn.IFNA(IF(OR(ISNUMBER(SEARCH("INGRESO",M4)),AND(ISNUMBER(SEARCH("EGRESO",M4)),K8=2)),0,IF($E$13&lt;&gt;"",MAX(0,MIN(DATEDIF($E$13,M12,"m")-(DAY(M12)&lt;DAY($E$13)),$C$16)),"")),"")</f>
        <v>4</v>
      </c>
    </row>
    <row r="2" spans="2:19 16372:16372" ht="15" thickBot="1" x14ac:dyDescent="0.35">
      <c r="B2" s="339" t="s">
        <v>38</v>
      </c>
      <c r="C2" s="340"/>
      <c r="D2" s="340"/>
      <c r="E2" s="340"/>
      <c r="F2" s="340"/>
      <c r="G2" s="340"/>
      <c r="H2" s="341"/>
      <c r="I2" s="321"/>
      <c r="J2" s="342" t="s">
        <v>39</v>
      </c>
      <c r="K2" s="343"/>
      <c r="L2" s="343"/>
      <c r="M2" s="343"/>
      <c r="N2" s="343"/>
      <c r="O2" s="343"/>
      <c r="P2" s="343"/>
      <c r="Q2" s="344"/>
    </row>
    <row r="3" spans="2:19 16372:16372" ht="15" thickBot="1" x14ac:dyDescent="0.35">
      <c r="B3" s="167"/>
      <c r="C3" s="168"/>
      <c r="D3" s="168"/>
      <c r="E3" s="318"/>
      <c r="F3" s="168"/>
      <c r="G3" s="168"/>
      <c r="H3" s="169"/>
      <c r="J3" s="167"/>
      <c r="K3" s="168"/>
      <c r="L3" s="168"/>
      <c r="M3" s="168"/>
      <c r="N3" s="168"/>
      <c r="O3" s="168"/>
      <c r="P3" s="168"/>
      <c r="Q3" s="169"/>
    </row>
    <row r="4" spans="2:19 16372:16372" ht="15" thickBot="1" x14ac:dyDescent="0.35">
      <c r="B4" s="167"/>
      <c r="C4" s="168" t="s">
        <v>66</v>
      </c>
      <c r="D4" s="168"/>
      <c r="E4" s="26">
        <v>7</v>
      </c>
      <c r="F4" s="168"/>
      <c r="G4" s="168"/>
      <c r="H4" s="169"/>
      <c r="J4" s="167"/>
      <c r="K4" s="168" t="s">
        <v>67</v>
      </c>
      <c r="L4" s="168"/>
      <c r="M4" s="27"/>
      <c r="N4" s="210"/>
      <c r="O4" s="168"/>
      <c r="P4" s="168"/>
      <c r="Q4" s="169"/>
    </row>
    <row r="5" spans="2:19 16372:16372" x14ac:dyDescent="0.3">
      <c r="B5" s="322"/>
      <c r="C5" s="323"/>
      <c r="D5" s="323"/>
      <c r="E5" s="323"/>
      <c r="F5" s="323"/>
      <c r="G5" s="323"/>
      <c r="H5" s="324"/>
      <c r="J5" s="322"/>
      <c r="K5" s="323"/>
      <c r="L5" s="323"/>
      <c r="M5" s="323"/>
      <c r="N5" s="323"/>
      <c r="O5" s="323"/>
      <c r="P5" s="323"/>
      <c r="Q5" s="324"/>
    </row>
    <row r="6" spans="2:19 16372:16372" x14ac:dyDescent="0.3">
      <c r="B6" s="322"/>
      <c r="C6" s="325" t="s">
        <v>33</v>
      </c>
      <c r="D6" s="325"/>
      <c r="E6" s="325" t="s">
        <v>50</v>
      </c>
      <c r="F6" s="323"/>
      <c r="G6" s="323"/>
      <c r="H6" s="324"/>
      <c r="J6" s="322"/>
      <c r="K6" s="325" t="s">
        <v>33</v>
      </c>
      <c r="L6" s="325"/>
      <c r="M6" s="326" t="s">
        <v>50</v>
      </c>
      <c r="N6" s="323"/>
      <c r="O6" s="325" t="s">
        <v>252</v>
      </c>
      <c r="P6" s="323"/>
      <c r="Q6" s="324"/>
    </row>
    <row r="7" spans="2:19 16372:16372" ht="15" thickBot="1" x14ac:dyDescent="0.35">
      <c r="B7" s="322"/>
      <c r="C7" s="325"/>
      <c r="D7" s="323"/>
      <c r="E7" s="325"/>
      <c r="F7" s="323"/>
      <c r="H7" s="324"/>
      <c r="J7" s="322"/>
      <c r="K7" s="323"/>
      <c r="L7" s="323"/>
      <c r="M7" s="323"/>
      <c r="N7" s="323"/>
      <c r="O7" s="323"/>
      <c r="P7" s="323"/>
      <c r="Q7" s="324"/>
    </row>
    <row r="8" spans="2:19 16372:16372" ht="15" thickBot="1" x14ac:dyDescent="0.35">
      <c r="B8" s="322"/>
      <c r="C8" s="289">
        <f>_xlfn.IFNA(IF(ISNUMBER(SEARCH("AYUDA",E4)),2,_xlfn.XLOOKUP(E8,LINEAMIENTOS!$B$3:$B$20,LINEAMIENTOS!$A$3:$A$20)),"")</f>
        <v>12</v>
      </c>
      <c r="D8" s="323"/>
      <c r="E8" s="14" t="s">
        <v>20</v>
      </c>
      <c r="F8" s="323"/>
      <c r="G8" s="323"/>
      <c r="H8" s="324"/>
      <c r="J8" s="322"/>
      <c r="K8" s="289">
        <f>_xlfn.IFNA(IF(ISNUMBER(SEARCH("INGRESO",M4)),1,_xlfn.XLOOKUP(M8,LINEAMIENTOS!$B$3:$B$20,LINEAMIENTOS!$A$3:$A$20)),"")</f>
        <v>12</v>
      </c>
      <c r="L8" s="323"/>
      <c r="M8" s="14" t="s">
        <v>20</v>
      </c>
      <c r="N8" s="323"/>
      <c r="O8" s="191">
        <v>7</v>
      </c>
      <c r="P8" s="323"/>
      <c r="Q8" s="324"/>
    </row>
    <row r="9" spans="2:19 16372:16372" x14ac:dyDescent="0.3">
      <c r="B9" s="322"/>
      <c r="C9" s="327">
        <v>12</v>
      </c>
      <c r="D9" s="323"/>
      <c r="E9" s="323"/>
      <c r="F9" s="323"/>
      <c r="G9" s="323"/>
      <c r="H9" s="324"/>
      <c r="J9" s="322"/>
      <c r="K9" s="327"/>
      <c r="L9" s="323"/>
      <c r="M9" s="323"/>
      <c r="N9" s="323"/>
      <c r="O9" s="323"/>
      <c r="P9" s="323"/>
      <c r="Q9" s="324"/>
    </row>
    <row r="10" spans="2:19 16372:16372" x14ac:dyDescent="0.3">
      <c r="B10" s="322"/>
      <c r="C10" s="328" t="s">
        <v>69</v>
      </c>
      <c r="D10" s="323"/>
      <c r="E10" s="328" t="s">
        <v>30</v>
      </c>
      <c r="F10" s="323"/>
      <c r="G10" s="323"/>
      <c r="H10" s="324"/>
      <c r="J10" s="322"/>
      <c r="K10" s="325" t="s">
        <v>28</v>
      </c>
      <c r="L10" s="323"/>
      <c r="M10" s="325" t="s">
        <v>35</v>
      </c>
      <c r="N10" s="323"/>
      <c r="O10" s="325" t="s">
        <v>41</v>
      </c>
      <c r="P10" s="325"/>
      <c r="Q10" s="324"/>
    </row>
    <row r="11" spans="2:19 16372:16372" ht="15" thickBot="1" x14ac:dyDescent="0.35">
      <c r="B11" s="322"/>
      <c r="C11" s="329">
        <f>IFERROR(C15*C16,"")</f>
        <v>108</v>
      </c>
      <c r="D11" s="323"/>
      <c r="E11" s="328"/>
      <c r="F11" s="323"/>
      <c r="G11" s="323"/>
      <c r="H11" s="324"/>
      <c r="J11" s="322"/>
      <c r="K11" s="323"/>
      <c r="L11" s="323"/>
      <c r="M11" s="323"/>
      <c r="N11" s="323"/>
      <c r="O11" s="323"/>
      <c r="P11" s="323"/>
      <c r="Q11" s="324"/>
    </row>
    <row r="12" spans="2:19 16372:16372" ht="15" thickBot="1" x14ac:dyDescent="0.35">
      <c r="B12" s="322"/>
      <c r="C12" s="32">
        <v>100</v>
      </c>
      <c r="D12" s="323"/>
      <c r="E12" s="15">
        <f ca="1">+TODAY()</f>
        <v>45875</v>
      </c>
      <c r="F12" s="323"/>
      <c r="G12" s="323"/>
      <c r="H12" s="324"/>
      <c r="J12" s="322"/>
      <c r="K12" s="31">
        <v>25</v>
      </c>
      <c r="L12" s="323"/>
      <c r="M12" s="15">
        <f ca="1">+TODAY()</f>
        <v>45875</v>
      </c>
      <c r="N12" s="323"/>
      <c r="O12" s="29">
        <f ca="1">_xlfn.IFNA(IF(OR(ISNUMBER(SEARCH("INGRESO",M4)),AND(ISNUMBER(SEARCH("EGRESO",M4)),K8=2)),0,IF($E$13&lt;&gt;"",MAX(0,MIN(DATEDIF($E$13,M12,"m")-(DAY(M12)&lt;DAY($E$13)),$C$16)),"")),"")</f>
        <v>4</v>
      </c>
      <c r="P12" s="323"/>
      <c r="Q12" s="324"/>
    </row>
    <row r="13" spans="2:19 16372:16372" x14ac:dyDescent="0.3">
      <c r="B13" s="322"/>
      <c r="C13" s="330">
        <f>IFERROR(C12/C16,"")</f>
        <v>25</v>
      </c>
      <c r="D13" s="323"/>
      <c r="E13" s="331">
        <v>44910</v>
      </c>
      <c r="F13" s="323"/>
      <c r="G13" s="323"/>
      <c r="H13" s="324"/>
      <c r="J13" s="322"/>
      <c r="K13" s="323"/>
      <c r="L13" s="323"/>
      <c r="M13" s="331"/>
      <c r="N13" s="323"/>
      <c r="O13" s="323"/>
      <c r="P13" s="323"/>
      <c r="Q13" s="324"/>
      <c r="S13" s="332"/>
    </row>
    <row r="14" spans="2:19 16372:16372" x14ac:dyDescent="0.3">
      <c r="B14" s="322"/>
      <c r="C14" s="325" t="s">
        <v>55</v>
      </c>
      <c r="D14" s="323"/>
      <c r="E14" s="325" t="s">
        <v>32</v>
      </c>
      <c r="F14" s="323"/>
      <c r="G14" s="323"/>
      <c r="H14" s="324"/>
      <c r="J14" s="322"/>
      <c r="K14" s="325" t="s">
        <v>29</v>
      </c>
      <c r="L14" s="323"/>
      <c r="M14" s="325" t="s">
        <v>36</v>
      </c>
      <c r="N14" s="323"/>
      <c r="O14" s="325" t="s">
        <v>40</v>
      </c>
      <c r="P14" s="325"/>
      <c r="Q14" s="324"/>
    </row>
    <row r="15" spans="2:19 16372:16372" ht="15" thickBot="1" x14ac:dyDescent="0.35">
      <c r="B15" s="322"/>
      <c r="C15" s="330">
        <f>IFERROR(C13+E17,"")</f>
        <v>27</v>
      </c>
      <c r="D15" s="323"/>
      <c r="E15" s="325"/>
      <c r="F15" s="323"/>
      <c r="G15" s="323"/>
      <c r="H15" s="324"/>
      <c r="J15" s="322"/>
      <c r="K15" s="325"/>
      <c r="L15" s="323"/>
      <c r="M15" s="325"/>
      <c r="N15" s="323"/>
      <c r="O15" s="323"/>
      <c r="P15" s="323"/>
      <c r="Q15" s="324"/>
    </row>
    <row r="16" spans="2:19 16372:16372" ht="15" thickBot="1" x14ac:dyDescent="0.35">
      <c r="B16" s="322"/>
      <c r="C16" s="33">
        <v>4</v>
      </c>
      <c r="D16" s="323"/>
      <c r="E16" s="171">
        <v>0.02</v>
      </c>
      <c r="F16" s="323"/>
      <c r="G16" s="323"/>
      <c r="H16" s="324"/>
      <c r="J16" s="322"/>
      <c r="K16" s="31">
        <v>2</v>
      </c>
      <c r="L16" s="323"/>
      <c r="M16" s="15">
        <f ca="1">+TODAY()</f>
        <v>45875</v>
      </c>
      <c r="N16" s="323"/>
      <c r="O16" s="30">
        <f ca="1">_xlfn.IFNA(IF(OR(ISNUMBER(SEARCH("INGRESO",M4)),AND(ISNUMBER(SEARCH("EGRESO",M4)),K8=2)),0,IF($E$13&lt;&gt;"",MAX(0,MIN(DATEDIF($E$13,M12,"m")-(DAY(M12)&lt;DAY($E$13)),$C$16)),"")),"")</f>
        <v>4</v>
      </c>
      <c r="P16" s="323"/>
      <c r="Q16" s="324"/>
    </row>
    <row r="17" spans="2:17" x14ac:dyDescent="0.3">
      <c r="B17" s="322"/>
      <c r="C17" s="333"/>
      <c r="D17" s="323"/>
      <c r="E17" s="330">
        <f>IF(C12="","",C12*E16)</f>
        <v>2</v>
      </c>
      <c r="F17" s="323"/>
      <c r="G17" s="323"/>
      <c r="H17" s="324"/>
      <c r="J17" s="322"/>
      <c r="K17" s="323"/>
      <c r="L17" s="323"/>
      <c r="M17" s="331"/>
      <c r="N17" s="323"/>
      <c r="O17" s="323"/>
      <c r="P17" s="323"/>
      <c r="Q17" s="324"/>
    </row>
    <row r="18" spans="2:17" x14ac:dyDescent="0.3">
      <c r="B18" s="322"/>
      <c r="C18" s="325" t="s">
        <v>37</v>
      </c>
      <c r="D18" s="323"/>
      <c r="E18" s="323" t="str">
        <f ca="1">IF($E$13&lt;&gt;"","LETRA NUMERO: "&amp;MAX(0,MIN(DATEDIF($E$13,E12,"m")-(DAY(E12)&lt;DAY($E$13)), $C$16)),"")</f>
        <v>LETRA NUMERO: 4</v>
      </c>
      <c r="F18" s="323"/>
      <c r="G18" s="323"/>
      <c r="H18" s="324"/>
      <c r="I18" s="334"/>
      <c r="J18" s="322"/>
      <c r="K18" s="325" t="s">
        <v>37</v>
      </c>
      <c r="L18" s="323"/>
      <c r="M18" s="323"/>
      <c r="N18" s="323"/>
      <c r="O18" s="323"/>
      <c r="P18" s="323"/>
      <c r="Q18" s="324"/>
    </row>
    <row r="19" spans="2:17" ht="15" thickBot="1" x14ac:dyDescent="0.35">
      <c r="B19" s="322"/>
      <c r="C19" s="323"/>
      <c r="D19" s="323"/>
      <c r="E19" s="323" t="str">
        <f ca="1">IF($E$13&lt;&gt;"","LETRAS FALTANTES: "&amp;$C$16-MAX(0,MIN(DATEDIF($E$13,E12,"m")-(DAY(E12)&lt;DAY($E$13)), $C$16)),"")</f>
        <v>LETRAS FALTANTES: 0</v>
      </c>
      <c r="F19" s="323"/>
      <c r="G19" s="323"/>
      <c r="H19" s="324"/>
      <c r="I19" s="334"/>
      <c r="J19" s="322"/>
      <c r="K19" s="323"/>
      <c r="L19" s="323"/>
      <c r="M19" s="323"/>
      <c r="N19" s="323"/>
      <c r="O19" s="323"/>
      <c r="P19" s="323"/>
      <c r="Q19" s="324"/>
    </row>
    <row r="20" spans="2:17" x14ac:dyDescent="0.3">
      <c r="B20" s="322"/>
      <c r="C20" s="345" t="s">
        <v>395</v>
      </c>
      <c r="D20" s="346"/>
      <c r="E20" s="347"/>
      <c r="F20" s="322"/>
      <c r="G20" s="323"/>
      <c r="H20" s="324"/>
      <c r="J20" s="322"/>
      <c r="K20" s="351" t="s">
        <v>460</v>
      </c>
      <c r="L20" s="352"/>
      <c r="M20" s="352"/>
      <c r="N20" s="352"/>
      <c r="O20" s="353"/>
      <c r="P20" s="322"/>
      <c r="Q20" s="324"/>
    </row>
    <row r="21" spans="2:17" ht="15" thickBot="1" x14ac:dyDescent="0.35">
      <c r="B21" s="322"/>
      <c r="C21" s="348"/>
      <c r="D21" s="349"/>
      <c r="E21" s="350"/>
      <c r="F21" s="322"/>
      <c r="G21" s="323"/>
      <c r="H21" s="324"/>
      <c r="J21" s="322"/>
      <c r="K21" s="354"/>
      <c r="L21" s="355"/>
      <c r="M21" s="355"/>
      <c r="N21" s="355"/>
      <c r="O21" s="356"/>
      <c r="P21" s="322"/>
      <c r="Q21" s="324"/>
    </row>
    <row r="22" spans="2:17" ht="15" thickBot="1" x14ac:dyDescent="0.35">
      <c r="B22" s="335"/>
      <c r="C22" s="336"/>
      <c r="D22" s="336"/>
      <c r="E22" s="336"/>
      <c r="F22" s="336"/>
      <c r="G22" s="336"/>
      <c r="H22" s="337"/>
      <c r="J22" s="335"/>
      <c r="K22" s="336"/>
      <c r="L22" s="336"/>
      <c r="M22" s="336"/>
      <c r="N22" s="336"/>
      <c r="O22" s="336"/>
      <c r="P22" s="336"/>
      <c r="Q22" s="337"/>
    </row>
    <row r="24" spans="2:17" x14ac:dyDescent="0.3">
      <c r="C24" s="338"/>
    </row>
  </sheetData>
  <sheetProtection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83"/>
  <sheetViews>
    <sheetView zoomScale="115" zoomScaleNormal="115" workbookViewId="0">
      <selection activeCell="B3" sqref="B3"/>
    </sheetView>
  </sheetViews>
  <sheetFormatPr baseColWidth="10" defaultColWidth="10.88671875" defaultRowHeight="14.4" x14ac:dyDescent="0.3"/>
  <cols>
    <col min="1" max="1" width="9.6640625" bestFit="1" customWidth="1"/>
    <col min="2" max="2" width="8.33203125" style="283" customWidth="1"/>
    <col min="3" max="3" width="24.6640625" customWidth="1"/>
    <col min="4" max="4" width="15.44140625" style="54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24" customWidth="1"/>
    <col min="11" max="11" width="12.6640625" style="2" customWidth="1"/>
    <col min="12" max="12" width="21" bestFit="1" customWidth="1"/>
    <col min="13" max="13" width="10.88671875" style="198"/>
    <col min="14" max="14" width="23.109375" style="220" bestFit="1" customWidth="1"/>
    <col min="15" max="16384" width="10.88671875" style="17"/>
  </cols>
  <sheetData>
    <row r="1" spans="1:14" s="18" customFormat="1" x14ac:dyDescent="0.3">
      <c r="A1" s="357" t="s">
        <v>44</v>
      </c>
      <c r="B1" s="357"/>
      <c r="C1" s="357"/>
      <c r="D1" s="357"/>
      <c r="E1" s="357"/>
      <c r="F1" s="357"/>
      <c r="G1" s="357"/>
      <c r="H1" s="357"/>
      <c r="I1" s="357"/>
      <c r="J1" s="357"/>
      <c r="K1" s="193"/>
      <c r="L1" s="16"/>
      <c r="M1" s="197"/>
      <c r="N1" s="219"/>
    </row>
    <row r="2" spans="1:14" s="18" customFormat="1" ht="28.8" x14ac:dyDescent="0.3">
      <c r="A2" s="212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4" t="s">
        <v>37</v>
      </c>
      <c r="K2" s="195" t="s">
        <v>261</v>
      </c>
      <c r="L2" s="23" t="s">
        <v>339</v>
      </c>
      <c r="M2" s="197"/>
      <c r="N2" s="219"/>
    </row>
    <row r="3" spans="1:14" x14ac:dyDescent="0.3">
      <c r="A3" s="315">
        <v>1</v>
      </c>
      <c r="B3" s="40">
        <v>9</v>
      </c>
      <c r="C3" s="41" t="s">
        <v>17</v>
      </c>
      <c r="D3" s="42">
        <v>60</v>
      </c>
      <c r="E3" s="43">
        <v>44819</v>
      </c>
      <c r="F3" s="44">
        <v>2</v>
      </c>
      <c r="G3" s="55">
        <v>0.02</v>
      </c>
      <c r="H3" s="45">
        <f>PRESTAMOS[[#This Row],[MONTO AMORTIZACION]]*PRESTAMOS[[#This Row],[INTERES]]*PRESTAMOS[[#This Row],[CUOTAS]]</f>
        <v>2.4</v>
      </c>
      <c r="I3" s="45">
        <f>PRESTAMOS[[#This Row],[MONTO AMORTIZACION]]+PRESTAMOS[[#This Row],[T. INT]]</f>
        <v>62.4</v>
      </c>
      <c r="J3" s="213" t="s">
        <v>395</v>
      </c>
      <c r="K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20" t="s">
        <v>340</v>
      </c>
    </row>
    <row r="4" spans="1:14" x14ac:dyDescent="0.3">
      <c r="A4" s="309">
        <v>2</v>
      </c>
      <c r="B4" s="40">
        <v>5</v>
      </c>
      <c r="C4" s="41" t="s">
        <v>14</v>
      </c>
      <c r="D4" s="42">
        <v>100</v>
      </c>
      <c r="E4" s="46">
        <v>44819</v>
      </c>
      <c r="F4" s="86">
        <v>2</v>
      </c>
      <c r="G4" s="87">
        <v>0.02</v>
      </c>
      <c r="H4" s="45">
        <f>PRESTAMOS[[#This Row],[MONTO AMORTIZACION]]*PRESTAMOS[[#This Row],[INTERES]]*PRESTAMOS[[#This Row],[CUOTAS]]</f>
        <v>4</v>
      </c>
      <c r="I4" s="45">
        <f>PRESTAMOS[[#This Row],[MONTO AMORTIZACION]]+PRESTAMOS[[#This Row],[T. INT]]</f>
        <v>104</v>
      </c>
      <c r="J4" s="213" t="s">
        <v>395</v>
      </c>
      <c r="K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21" t="str" cm="1">
        <f t="array" ref="N4:N12">_xlfn._xlws.FILTER(PRESTAMOS[REG],PRESTAMOS[ESTATUS]="PENDIENTE")&amp;"-"&amp;_xlfn._xlws.FILTER(PRESTAMOS[NOMBRE CLIENTE],PRESTAMOS[ESTATUS]="PENDIENTE")</f>
        <v>55-DIEGO TOAQUIZA</v>
      </c>
    </row>
    <row r="5" spans="1:14" x14ac:dyDescent="0.3">
      <c r="A5" s="314">
        <v>3</v>
      </c>
      <c r="B5" s="48">
        <v>7</v>
      </c>
      <c r="C5" s="39" t="s">
        <v>15</v>
      </c>
      <c r="D5" s="49">
        <v>200</v>
      </c>
      <c r="E5" s="50">
        <v>44849</v>
      </c>
      <c r="F5" s="51">
        <v>1</v>
      </c>
      <c r="G5" s="52">
        <v>0.02</v>
      </c>
      <c r="H5" s="53">
        <f>PRESTAMOS[[#This Row],[MONTO AMORTIZACION]]*PRESTAMOS[[#This Row],[INTERES]]*PRESTAMOS[[#This Row],[CUOTAS]]</f>
        <v>4</v>
      </c>
      <c r="I5" s="53">
        <f>PRESTAMOS[[#This Row],[MONTO AMORTIZACION]]+PRESTAMOS[[#This Row],[T. INT]]</f>
        <v>204</v>
      </c>
      <c r="J5" s="214" t="s">
        <v>395</v>
      </c>
      <c r="K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21" t="str">
        <v>57-DANNY ALMACHI</v>
      </c>
    </row>
    <row r="6" spans="1:14" x14ac:dyDescent="0.3">
      <c r="A6" s="314">
        <v>4</v>
      </c>
      <c r="B6" s="48">
        <v>16</v>
      </c>
      <c r="C6" s="39" t="s">
        <v>23</v>
      </c>
      <c r="D6" s="49">
        <v>200</v>
      </c>
      <c r="E6" s="50">
        <v>44880</v>
      </c>
      <c r="F6" s="51">
        <v>2</v>
      </c>
      <c r="G6" s="52">
        <v>0.02</v>
      </c>
      <c r="H6" s="53">
        <f>PRESTAMOS[[#This Row],[MONTO AMORTIZACION]]*PRESTAMOS[[#This Row],[INTERES]]*PRESTAMOS[[#This Row],[CUOTAS]]</f>
        <v>8</v>
      </c>
      <c r="I6" s="53">
        <f>PRESTAMOS[[#This Row],[MONTO AMORTIZACION]]+PRESTAMOS[[#This Row],[T. INT]]</f>
        <v>208</v>
      </c>
      <c r="J6" s="214" t="s">
        <v>395</v>
      </c>
      <c r="K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21" t="str">
        <v>60-MAYRA TOAQUIZA</v>
      </c>
    </row>
    <row r="7" spans="1:14" x14ac:dyDescent="0.3">
      <c r="A7" s="314">
        <v>5</v>
      </c>
      <c r="B7" s="48">
        <v>11</v>
      </c>
      <c r="C7" s="39" t="s">
        <v>19</v>
      </c>
      <c r="D7" s="49">
        <v>200</v>
      </c>
      <c r="E7" s="50">
        <v>44880</v>
      </c>
      <c r="F7" s="51">
        <v>1</v>
      </c>
      <c r="G7" s="52">
        <v>0.02</v>
      </c>
      <c r="H7" s="53">
        <f>PRESTAMOS[[#This Row],[MONTO AMORTIZACION]]*PRESTAMOS[[#This Row],[INTERES]]*PRESTAMOS[[#This Row],[CUOTAS]]</f>
        <v>4</v>
      </c>
      <c r="I7" s="53">
        <f>PRESTAMOS[[#This Row],[MONTO AMORTIZACION]]+PRESTAMOS[[#This Row],[T. INT]]</f>
        <v>204</v>
      </c>
      <c r="J7" s="214" t="s">
        <v>395</v>
      </c>
      <c r="K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22" t="str">
        <v>61-ROCIO TOAQUIZA</v>
      </c>
    </row>
    <row r="8" spans="1:14" x14ac:dyDescent="0.3">
      <c r="A8" s="314" t="s">
        <v>262</v>
      </c>
      <c r="B8" s="48">
        <v>2</v>
      </c>
      <c r="C8" s="39" t="s">
        <v>20</v>
      </c>
      <c r="D8" s="49">
        <v>100</v>
      </c>
      <c r="E8" s="277">
        <v>44910</v>
      </c>
      <c r="F8" s="51">
        <v>0</v>
      </c>
      <c r="G8" s="52">
        <v>0</v>
      </c>
      <c r="H8" s="53">
        <f>PRESTAMOS[[#This Row],[MONTO AMORTIZACION]]*PRESTAMOS[[#This Row],[INTERES]]*PRESTAMOS[[#This Row],[CUOTAS]]</f>
        <v>0</v>
      </c>
      <c r="I8" s="53">
        <f>PRESTAMOS[[#This Row],[MONTO AMORTIZACION]]+PRESTAMOS[[#This Row],[T. INT]]</f>
        <v>100</v>
      </c>
      <c r="J8" s="214" t="s">
        <v>246</v>
      </c>
      <c r="K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22" t="str">
        <v>68-MARCIAL CHILIQUINGA</v>
      </c>
    </row>
    <row r="9" spans="1:14" x14ac:dyDescent="0.3">
      <c r="A9" s="314">
        <v>6</v>
      </c>
      <c r="B9" s="48">
        <v>4</v>
      </c>
      <c r="C9" s="39" t="s">
        <v>12</v>
      </c>
      <c r="D9" s="49">
        <v>100</v>
      </c>
      <c r="E9" s="50">
        <v>44910</v>
      </c>
      <c r="F9" s="51">
        <v>4</v>
      </c>
      <c r="G9" s="52">
        <v>0.02</v>
      </c>
      <c r="H9" s="53">
        <f>PRESTAMOS[[#This Row],[MONTO AMORTIZACION]]*PRESTAMOS[[#This Row],[INTERES]]*PRESTAMOS[[#This Row],[CUOTAS]]</f>
        <v>8</v>
      </c>
      <c r="I9" s="53">
        <f>PRESTAMOS[[#This Row],[MONTO AMORTIZACION]]+PRESTAMOS[[#This Row],[T. INT]]</f>
        <v>108</v>
      </c>
      <c r="J9" s="214" t="s">
        <v>395</v>
      </c>
      <c r="K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22" t="str">
        <v xml:space="preserve">70-SEGUNDO GUAYTA </v>
      </c>
    </row>
    <row r="10" spans="1:14" x14ac:dyDescent="0.3">
      <c r="A10" s="314">
        <v>7</v>
      </c>
      <c r="B10" s="48">
        <v>12</v>
      </c>
      <c r="C10" s="39" t="s">
        <v>20</v>
      </c>
      <c r="D10" s="49">
        <v>100</v>
      </c>
      <c r="E10" s="50">
        <v>44910</v>
      </c>
      <c r="F10" s="51">
        <v>4</v>
      </c>
      <c r="G10" s="52">
        <v>0.02</v>
      </c>
      <c r="H10" s="53">
        <f>PRESTAMOS[[#This Row],[MONTO AMORTIZACION]]*PRESTAMOS[[#This Row],[INTERES]]*PRESTAMOS[[#This Row],[CUOTAS]]</f>
        <v>8</v>
      </c>
      <c r="I10" s="53">
        <f>PRESTAMOS[[#This Row],[MONTO AMORTIZACION]]+PRESTAMOS[[#This Row],[T. INT]]</f>
        <v>108</v>
      </c>
      <c r="J10" s="214" t="s">
        <v>395</v>
      </c>
      <c r="K1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22" t="str">
        <v>71-ANA TOAQUIZA</v>
      </c>
    </row>
    <row r="11" spans="1:14" x14ac:dyDescent="0.3">
      <c r="A11" s="314">
        <v>8</v>
      </c>
      <c r="B11" s="48">
        <v>14</v>
      </c>
      <c r="C11" s="39" t="s">
        <v>21</v>
      </c>
      <c r="D11" s="49">
        <v>170</v>
      </c>
      <c r="E11" s="50">
        <v>44910</v>
      </c>
      <c r="F11" s="51">
        <v>5</v>
      </c>
      <c r="G11" s="52">
        <v>0.02</v>
      </c>
      <c r="H11" s="53">
        <f>PRESTAMOS[[#This Row],[MONTO AMORTIZACION]]*PRESTAMOS[[#This Row],[INTERES]]*PRESTAMOS[[#This Row],[CUOTAS]]</f>
        <v>17</v>
      </c>
      <c r="I11" s="53">
        <f>PRESTAMOS[[#This Row],[MONTO AMORTIZACION]]+PRESTAMOS[[#This Row],[T. INT]]</f>
        <v>187</v>
      </c>
      <c r="J11" s="214" t="s">
        <v>395</v>
      </c>
      <c r="K1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22" t="str">
        <v>72-DIANA TOAQUIZA</v>
      </c>
    </row>
    <row r="12" spans="1:14" x14ac:dyDescent="0.3">
      <c r="A12" s="314">
        <v>9</v>
      </c>
      <c r="B12" s="48">
        <v>15</v>
      </c>
      <c r="C12" s="39" t="s">
        <v>22</v>
      </c>
      <c r="D12" s="49">
        <v>200</v>
      </c>
      <c r="E12" s="50">
        <v>44941</v>
      </c>
      <c r="F12" s="51">
        <v>3</v>
      </c>
      <c r="G12" s="52">
        <v>0.02</v>
      </c>
      <c r="H12" s="53">
        <f>PRESTAMOS[[#This Row],[MONTO AMORTIZACION]]*PRESTAMOS[[#This Row],[INTERES]]*PRESTAMOS[[#This Row],[CUOTAS]]</f>
        <v>12</v>
      </c>
      <c r="I12" s="53">
        <f>PRESTAMOS[[#This Row],[MONTO AMORTIZACION]]+PRESTAMOS[[#This Row],[T. INT]]</f>
        <v>212</v>
      </c>
      <c r="J12" s="214" t="s">
        <v>395</v>
      </c>
      <c r="K1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22" t="str">
        <v>73-LUIS TOAQUIZA</v>
      </c>
    </row>
    <row r="13" spans="1:14" x14ac:dyDescent="0.3">
      <c r="A13" s="314">
        <v>10</v>
      </c>
      <c r="B13" s="40">
        <v>9</v>
      </c>
      <c r="C13" s="39" t="s">
        <v>17</v>
      </c>
      <c r="D13" s="49">
        <v>100</v>
      </c>
      <c r="E13" s="50">
        <v>44941</v>
      </c>
      <c r="F13" s="51">
        <v>4</v>
      </c>
      <c r="G13" s="52">
        <v>0.02</v>
      </c>
      <c r="H13" s="53">
        <f>PRESTAMOS[[#This Row],[MONTO AMORTIZACION]]*PRESTAMOS[[#This Row],[INTERES]]*PRESTAMOS[[#This Row],[CUOTAS]]</f>
        <v>8</v>
      </c>
      <c r="I13" s="53">
        <f>PRESTAMOS[[#This Row],[MONTO AMORTIZACION]]+PRESTAMOS[[#This Row],[T. INT]]</f>
        <v>108</v>
      </c>
      <c r="J13" s="214" t="s">
        <v>395</v>
      </c>
      <c r="K1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22"/>
    </row>
    <row r="14" spans="1:14" x14ac:dyDescent="0.3">
      <c r="A14" s="314">
        <v>11</v>
      </c>
      <c r="B14" s="40">
        <v>5</v>
      </c>
      <c r="C14" s="39" t="s">
        <v>14</v>
      </c>
      <c r="D14" s="49">
        <v>300</v>
      </c>
      <c r="E14" s="50">
        <v>44972</v>
      </c>
      <c r="F14" s="51">
        <v>3</v>
      </c>
      <c r="G14" s="52">
        <v>0.02</v>
      </c>
      <c r="H14" s="53">
        <f>PRESTAMOS[[#This Row],[MONTO AMORTIZACION]]*PRESTAMOS[[#This Row],[INTERES]]*PRESTAMOS[[#This Row],[CUOTAS]]</f>
        <v>18</v>
      </c>
      <c r="I14" s="53">
        <f>PRESTAMOS[[#This Row],[MONTO AMORTIZACION]]+PRESTAMOS[[#This Row],[T. INT]]</f>
        <v>318</v>
      </c>
      <c r="J14" s="214" t="s">
        <v>395</v>
      </c>
      <c r="K1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22"/>
    </row>
    <row r="15" spans="1:14" x14ac:dyDescent="0.3">
      <c r="A15" s="314">
        <v>12</v>
      </c>
      <c r="B15" s="48">
        <v>10</v>
      </c>
      <c r="C15" s="39" t="s">
        <v>18</v>
      </c>
      <c r="D15" s="49">
        <v>100</v>
      </c>
      <c r="E15" s="50">
        <v>44972</v>
      </c>
      <c r="F15" s="51">
        <v>4</v>
      </c>
      <c r="G15" s="52">
        <v>0.02</v>
      </c>
      <c r="H15" s="53">
        <f>PRESTAMOS[[#This Row],[MONTO AMORTIZACION]]*PRESTAMOS[[#This Row],[INTERES]]*PRESTAMOS[[#This Row],[CUOTAS]]</f>
        <v>8</v>
      </c>
      <c r="I15" s="53">
        <f>PRESTAMOS[[#This Row],[MONTO AMORTIZACION]]+PRESTAMOS[[#This Row],[T. INT]]</f>
        <v>108</v>
      </c>
      <c r="J15" s="214" t="s">
        <v>395</v>
      </c>
      <c r="K1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22"/>
    </row>
    <row r="16" spans="1:14" x14ac:dyDescent="0.3">
      <c r="A16" s="314">
        <v>13</v>
      </c>
      <c r="B16" s="48">
        <v>7</v>
      </c>
      <c r="C16" s="39" t="s">
        <v>15</v>
      </c>
      <c r="D16" s="49">
        <v>400</v>
      </c>
      <c r="E16" s="50">
        <v>45000</v>
      </c>
      <c r="F16" s="51">
        <v>4</v>
      </c>
      <c r="G16" s="52">
        <v>0.02</v>
      </c>
      <c r="H16" s="53">
        <f>PRESTAMOS[[#This Row],[MONTO AMORTIZACION]]*PRESTAMOS[[#This Row],[INTERES]]*PRESTAMOS[[#This Row],[CUOTAS]]</f>
        <v>32</v>
      </c>
      <c r="I16" s="53">
        <f>PRESTAMOS[[#This Row],[MONTO AMORTIZACION]]+PRESTAMOS[[#This Row],[T. INT]]</f>
        <v>432</v>
      </c>
      <c r="J16" s="214" t="s">
        <v>395</v>
      </c>
      <c r="K1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22"/>
    </row>
    <row r="17" spans="1:15" x14ac:dyDescent="0.3">
      <c r="A17" s="314">
        <v>14</v>
      </c>
      <c r="B17" s="48">
        <v>6</v>
      </c>
      <c r="C17" s="39" t="s">
        <v>24</v>
      </c>
      <c r="D17" s="49">
        <v>80</v>
      </c>
      <c r="E17" s="50">
        <v>45000</v>
      </c>
      <c r="F17" s="51">
        <v>1</v>
      </c>
      <c r="G17" s="52">
        <v>0.02</v>
      </c>
      <c r="H17" s="53">
        <f>PRESTAMOS[[#This Row],[MONTO AMORTIZACION]]*PRESTAMOS[[#This Row],[INTERES]]*PRESTAMOS[[#This Row],[CUOTAS]]</f>
        <v>1.6</v>
      </c>
      <c r="I17" s="53">
        <f>PRESTAMOS[[#This Row],[MONTO AMORTIZACION]]+PRESTAMOS[[#This Row],[T. INT]]</f>
        <v>81.599999999999994</v>
      </c>
      <c r="J17" s="214" t="s">
        <v>395</v>
      </c>
      <c r="K1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22"/>
    </row>
    <row r="18" spans="1:15" x14ac:dyDescent="0.3">
      <c r="A18" s="314">
        <v>15</v>
      </c>
      <c r="B18" s="48">
        <v>12</v>
      </c>
      <c r="C18" s="39" t="s">
        <v>20</v>
      </c>
      <c r="D18" s="49">
        <v>200</v>
      </c>
      <c r="E18" s="50">
        <v>45031</v>
      </c>
      <c r="F18" s="51">
        <v>4</v>
      </c>
      <c r="G18" s="52">
        <v>0.02</v>
      </c>
      <c r="H18" s="53">
        <f>PRESTAMOS[[#This Row],[MONTO AMORTIZACION]]*PRESTAMOS[[#This Row],[INTERES]]*PRESTAMOS[[#This Row],[CUOTAS]]</f>
        <v>16</v>
      </c>
      <c r="I18" s="53">
        <f>PRESTAMOS[[#This Row],[MONTO AMORTIZACION]]+PRESTAMOS[[#This Row],[T. INT]]</f>
        <v>216</v>
      </c>
      <c r="J18" s="214" t="s">
        <v>395</v>
      </c>
      <c r="K1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8"/>
    </row>
    <row r="19" spans="1:15" x14ac:dyDescent="0.3">
      <c r="A19" s="314">
        <v>16</v>
      </c>
      <c r="B19" s="48">
        <v>4</v>
      </c>
      <c r="C19" s="39" t="s">
        <v>12</v>
      </c>
      <c r="D19" s="49">
        <v>100</v>
      </c>
      <c r="E19" s="50">
        <v>45031</v>
      </c>
      <c r="F19" s="51">
        <v>4</v>
      </c>
      <c r="G19" s="52">
        <v>0.02</v>
      </c>
      <c r="H19" s="53">
        <f>PRESTAMOS[[#This Row],[MONTO AMORTIZACION]]*PRESTAMOS[[#This Row],[INTERES]]*PRESTAMOS[[#This Row],[CUOTAS]]</f>
        <v>8</v>
      </c>
      <c r="I19" s="53">
        <f>PRESTAMOS[[#This Row],[MONTO AMORTIZACION]]+PRESTAMOS[[#This Row],[T. INT]]</f>
        <v>108</v>
      </c>
      <c r="J19" s="214" t="s">
        <v>395</v>
      </c>
      <c r="K1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8"/>
    </row>
    <row r="20" spans="1:15" x14ac:dyDescent="0.3">
      <c r="A20" s="314">
        <v>17</v>
      </c>
      <c r="B20" s="48">
        <v>8</v>
      </c>
      <c r="C20" s="39" t="s">
        <v>16</v>
      </c>
      <c r="D20" s="49">
        <v>200</v>
      </c>
      <c r="E20" s="50">
        <v>45061</v>
      </c>
      <c r="F20" s="51">
        <v>2</v>
      </c>
      <c r="G20" s="52">
        <v>0.02</v>
      </c>
      <c r="H20" s="53">
        <f>PRESTAMOS[[#This Row],[MONTO AMORTIZACION]]*PRESTAMOS[[#This Row],[INTERES]]*PRESTAMOS[[#This Row],[CUOTAS]]</f>
        <v>8</v>
      </c>
      <c r="I20" s="53">
        <f>PRESTAMOS[[#This Row],[MONTO AMORTIZACION]]+PRESTAMOS[[#This Row],[T. INT]]</f>
        <v>208</v>
      </c>
      <c r="J20" s="214" t="s">
        <v>395</v>
      </c>
      <c r="K2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14">
        <v>18</v>
      </c>
      <c r="B21" s="40">
        <v>9</v>
      </c>
      <c r="C21" s="39" t="s">
        <v>17</v>
      </c>
      <c r="D21" s="49">
        <v>100</v>
      </c>
      <c r="E21" s="50">
        <v>45061</v>
      </c>
      <c r="F21" s="51">
        <v>4</v>
      </c>
      <c r="G21" s="52">
        <v>0.02</v>
      </c>
      <c r="H21" s="53">
        <f>PRESTAMOS[[#This Row],[MONTO AMORTIZACION]]*PRESTAMOS[[#This Row],[INTERES]]*PRESTAMOS[[#This Row],[CUOTAS]]</f>
        <v>8</v>
      </c>
      <c r="I21" s="53">
        <f>PRESTAMOS[[#This Row],[MONTO AMORTIZACION]]+PRESTAMOS[[#This Row],[T. INT]]</f>
        <v>108</v>
      </c>
      <c r="J21" s="214" t="s">
        <v>395</v>
      </c>
      <c r="K2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14">
        <v>19</v>
      </c>
      <c r="B22" s="48">
        <v>14</v>
      </c>
      <c r="C22" s="39" t="s">
        <v>21</v>
      </c>
      <c r="D22" s="49">
        <v>400</v>
      </c>
      <c r="E22" s="50">
        <v>45092</v>
      </c>
      <c r="F22" s="51">
        <v>4</v>
      </c>
      <c r="G22" s="52">
        <v>0.02</v>
      </c>
      <c r="H22" s="53">
        <f>PRESTAMOS[[#This Row],[MONTO AMORTIZACION]]*PRESTAMOS[[#This Row],[INTERES]]*PRESTAMOS[[#This Row],[CUOTAS]]</f>
        <v>32</v>
      </c>
      <c r="I22" s="53">
        <f>PRESTAMOS[[#This Row],[MONTO AMORTIZACION]]+PRESTAMOS[[#This Row],[T. INT]]</f>
        <v>432</v>
      </c>
      <c r="J22" s="214" t="s">
        <v>399</v>
      </c>
      <c r="K2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14">
        <v>20</v>
      </c>
      <c r="B23" s="48">
        <v>15</v>
      </c>
      <c r="C23" s="39" t="s">
        <v>22</v>
      </c>
      <c r="D23" s="49">
        <v>200</v>
      </c>
      <c r="E23" s="50">
        <v>45092</v>
      </c>
      <c r="F23" s="51">
        <v>4</v>
      </c>
      <c r="G23" s="52">
        <v>0.02</v>
      </c>
      <c r="H23" s="53">
        <f>PRESTAMOS[[#This Row],[MONTO AMORTIZACION]]*PRESTAMOS[[#This Row],[INTERES]]*PRESTAMOS[[#This Row],[CUOTAS]]</f>
        <v>16</v>
      </c>
      <c r="I23" s="53">
        <f>PRESTAMOS[[#This Row],[MONTO AMORTIZACION]]+PRESTAMOS[[#This Row],[T. INT]]</f>
        <v>216</v>
      </c>
      <c r="J23" s="214" t="s">
        <v>399</v>
      </c>
      <c r="K2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14">
        <v>21</v>
      </c>
      <c r="B24" s="40">
        <v>5</v>
      </c>
      <c r="C24" s="39" t="s">
        <v>14</v>
      </c>
      <c r="D24" s="49">
        <v>400</v>
      </c>
      <c r="E24" s="50">
        <v>45092</v>
      </c>
      <c r="F24" s="51">
        <v>4</v>
      </c>
      <c r="G24" s="52">
        <v>0.02</v>
      </c>
      <c r="H24" s="53">
        <f>PRESTAMOS[[#This Row],[MONTO AMORTIZACION]]*PRESTAMOS[[#This Row],[INTERES]]*PRESTAMOS[[#This Row],[CUOTAS]]</f>
        <v>32</v>
      </c>
      <c r="I24" s="53">
        <f>PRESTAMOS[[#This Row],[MONTO AMORTIZACION]]+PRESTAMOS[[#This Row],[T. INT]]</f>
        <v>432</v>
      </c>
      <c r="J24" s="214" t="s">
        <v>399</v>
      </c>
      <c r="K2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14">
        <v>22</v>
      </c>
      <c r="B25" s="48">
        <v>4</v>
      </c>
      <c r="C25" s="39" t="s">
        <v>12</v>
      </c>
      <c r="D25" s="49">
        <v>100</v>
      </c>
      <c r="E25" s="50">
        <v>45128</v>
      </c>
      <c r="F25" s="51">
        <v>1</v>
      </c>
      <c r="G25" s="52">
        <v>0.02</v>
      </c>
      <c r="H25" s="53">
        <f>PRESTAMOS[[#This Row],[MONTO AMORTIZACION]]*PRESTAMOS[[#This Row],[INTERES]]*PRESTAMOS[[#This Row],[CUOTAS]]</f>
        <v>2</v>
      </c>
      <c r="I25" s="53">
        <f>PRESTAMOS[[#This Row],[MONTO AMORTIZACION]]+PRESTAMOS[[#This Row],[T. INT]]</f>
        <v>102</v>
      </c>
      <c r="J25" s="214" t="s">
        <v>395</v>
      </c>
      <c r="K2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14">
        <v>23</v>
      </c>
      <c r="B26" s="48">
        <v>7</v>
      </c>
      <c r="C26" s="39" t="s">
        <v>15</v>
      </c>
      <c r="D26" s="49">
        <v>200</v>
      </c>
      <c r="E26" s="50">
        <v>45128</v>
      </c>
      <c r="F26" s="51">
        <v>1</v>
      </c>
      <c r="G26" s="52">
        <v>0.02</v>
      </c>
      <c r="H26" s="53">
        <f>PRESTAMOS[[#This Row],[MONTO AMORTIZACION]]*PRESTAMOS[[#This Row],[INTERES]]*PRESTAMOS[[#This Row],[CUOTAS]]</f>
        <v>4</v>
      </c>
      <c r="I26" s="53">
        <f>PRESTAMOS[[#This Row],[MONTO AMORTIZACION]]+PRESTAMOS[[#This Row],[T. INT]]</f>
        <v>204</v>
      </c>
      <c r="J26" s="214" t="s">
        <v>395</v>
      </c>
      <c r="K2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14">
        <v>24</v>
      </c>
      <c r="B27" s="48">
        <v>8</v>
      </c>
      <c r="C27" s="39" t="s">
        <v>16</v>
      </c>
      <c r="D27" s="49">
        <v>200</v>
      </c>
      <c r="E27" s="50">
        <v>45153</v>
      </c>
      <c r="F27" s="51">
        <v>1</v>
      </c>
      <c r="G27" s="52">
        <v>0.02</v>
      </c>
      <c r="H27" s="53">
        <f>PRESTAMOS[[#This Row],[MONTO AMORTIZACION]]*PRESTAMOS[[#This Row],[INTERES]]*PRESTAMOS[[#This Row],[CUOTAS]]</f>
        <v>4</v>
      </c>
      <c r="I27" s="53">
        <f>PRESTAMOS[[#This Row],[MONTO AMORTIZACION]]+PRESTAMOS[[#This Row],[T. INT]]</f>
        <v>204</v>
      </c>
      <c r="J27" s="214" t="s">
        <v>395</v>
      </c>
      <c r="K2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16">
        <v>25</v>
      </c>
      <c r="B28" s="48">
        <v>6</v>
      </c>
      <c r="C28" s="39" t="s">
        <v>24</v>
      </c>
      <c r="D28" s="49">
        <v>500</v>
      </c>
      <c r="E28" s="50">
        <v>45184</v>
      </c>
      <c r="F28" s="51">
        <v>6</v>
      </c>
      <c r="G28" s="52">
        <v>0.02</v>
      </c>
      <c r="H28" s="53">
        <f>PRESTAMOS[[#This Row],[MONTO AMORTIZACION]]*PRESTAMOS[[#This Row],[INTERES]]*PRESTAMOS[[#This Row],[CUOTAS]]</f>
        <v>60</v>
      </c>
      <c r="I28" s="53">
        <f>PRESTAMOS[[#This Row],[MONTO AMORTIZACION]]+PRESTAMOS[[#This Row],[T. INT]]</f>
        <v>560</v>
      </c>
      <c r="J28" s="214" t="s">
        <v>399</v>
      </c>
      <c r="K2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14">
        <v>26</v>
      </c>
      <c r="B29" s="48">
        <v>7</v>
      </c>
      <c r="C29" s="39" t="s">
        <v>15</v>
      </c>
      <c r="D29" s="49">
        <v>100</v>
      </c>
      <c r="E29" s="50">
        <v>45184</v>
      </c>
      <c r="F29" s="51">
        <v>1</v>
      </c>
      <c r="G29" s="52">
        <v>0.02</v>
      </c>
      <c r="H29" s="53">
        <f>PRESTAMOS[[#This Row],[MONTO AMORTIZACION]]*PRESTAMOS[[#This Row],[INTERES]]*PRESTAMOS[[#This Row],[CUOTAS]]</f>
        <v>2</v>
      </c>
      <c r="I29" s="53">
        <f>PRESTAMOS[[#This Row],[MONTO AMORTIZACION]]+PRESTAMOS[[#This Row],[T. INT]]</f>
        <v>102</v>
      </c>
      <c r="J29" s="214" t="s">
        <v>73</v>
      </c>
      <c r="K2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14">
        <v>27</v>
      </c>
      <c r="B30" s="48">
        <v>3</v>
      </c>
      <c r="C30" s="39" t="s">
        <v>13</v>
      </c>
      <c r="D30" s="49">
        <v>100</v>
      </c>
      <c r="E30" s="50">
        <v>45184</v>
      </c>
      <c r="F30" s="51">
        <v>4</v>
      </c>
      <c r="G30" s="52">
        <v>0.02</v>
      </c>
      <c r="H30" s="53">
        <f>PRESTAMOS[[#This Row],[MONTO AMORTIZACION]]*PRESTAMOS[[#This Row],[INTERES]]*PRESTAMOS[[#This Row],[CUOTAS]]</f>
        <v>8</v>
      </c>
      <c r="I30" s="53">
        <f>PRESTAMOS[[#This Row],[MONTO AMORTIZACION]]+PRESTAMOS[[#This Row],[T. INT]]</f>
        <v>108</v>
      </c>
      <c r="J30" s="214" t="s">
        <v>74</v>
      </c>
      <c r="K3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14">
        <v>28</v>
      </c>
      <c r="B31" s="40">
        <v>9</v>
      </c>
      <c r="C31" s="39" t="s">
        <v>17</v>
      </c>
      <c r="D31" s="49">
        <v>600</v>
      </c>
      <c r="E31" s="50">
        <v>45214</v>
      </c>
      <c r="F31" s="51">
        <v>4</v>
      </c>
      <c r="G31" s="52">
        <v>0.02</v>
      </c>
      <c r="H31" s="53">
        <f>PRESTAMOS[[#This Row],[MONTO AMORTIZACION]]*PRESTAMOS[[#This Row],[INTERES]]*PRESTAMOS[[#This Row],[CUOTAS]]</f>
        <v>48</v>
      </c>
      <c r="I31" s="53">
        <f>PRESTAMOS[[#This Row],[MONTO AMORTIZACION]]+PRESTAMOS[[#This Row],[T. INT]]</f>
        <v>648</v>
      </c>
      <c r="J31" s="214" t="s">
        <v>399</v>
      </c>
      <c r="K3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14">
        <v>29</v>
      </c>
      <c r="B32" s="48">
        <v>16</v>
      </c>
      <c r="C32" s="39" t="s">
        <v>23</v>
      </c>
      <c r="D32" s="49">
        <v>200</v>
      </c>
      <c r="E32" s="50">
        <v>45214</v>
      </c>
      <c r="F32" s="51">
        <v>4</v>
      </c>
      <c r="G32" s="52">
        <v>0.02</v>
      </c>
      <c r="H32" s="53">
        <f>PRESTAMOS[[#This Row],[MONTO AMORTIZACION]]*PRESTAMOS[[#This Row],[INTERES]]*PRESTAMOS[[#This Row],[CUOTAS]]</f>
        <v>16</v>
      </c>
      <c r="I32" s="53">
        <f>PRESTAMOS[[#This Row],[MONTO AMORTIZACION]]+PRESTAMOS[[#This Row],[T. INT]]</f>
        <v>216</v>
      </c>
      <c r="J32" s="214" t="s">
        <v>112</v>
      </c>
      <c r="K3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14">
        <v>30</v>
      </c>
      <c r="B33" s="48">
        <v>12</v>
      </c>
      <c r="C33" s="39" t="s">
        <v>20</v>
      </c>
      <c r="D33" s="49">
        <v>400</v>
      </c>
      <c r="E33" s="50">
        <v>45214</v>
      </c>
      <c r="F33" s="51">
        <v>7</v>
      </c>
      <c r="G33" s="52">
        <v>0.02</v>
      </c>
      <c r="H33" s="53">
        <f>PRESTAMOS[[#This Row],[MONTO AMORTIZACION]]*PRESTAMOS[[#This Row],[INTERES]]*PRESTAMOS[[#This Row],[CUOTAS]]</f>
        <v>56</v>
      </c>
      <c r="I33" s="53">
        <f>PRESTAMOS[[#This Row],[MONTO AMORTIZACION]]+PRESTAMOS[[#This Row],[T. INT]]</f>
        <v>456</v>
      </c>
      <c r="J33" s="214" t="s">
        <v>113</v>
      </c>
      <c r="K3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14">
        <v>31</v>
      </c>
      <c r="B34" s="40">
        <v>5</v>
      </c>
      <c r="C34" s="39" t="s">
        <v>14</v>
      </c>
      <c r="D34" s="49">
        <v>200</v>
      </c>
      <c r="E34" s="50">
        <v>45245</v>
      </c>
      <c r="F34" s="51">
        <v>4</v>
      </c>
      <c r="G34" s="52">
        <v>0.02</v>
      </c>
      <c r="H34" s="53">
        <f>PRESTAMOS[[#This Row],[MONTO AMORTIZACION]]*PRESTAMOS[[#This Row],[INTERES]]*PRESTAMOS[[#This Row],[CUOTAS]]</f>
        <v>16</v>
      </c>
      <c r="I34" s="53">
        <f>PRESTAMOS[[#This Row],[MONTO AMORTIZACION]]+PRESTAMOS[[#This Row],[T. INT]]</f>
        <v>216</v>
      </c>
      <c r="J34" s="214" t="s">
        <v>122</v>
      </c>
      <c r="K3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14">
        <v>32</v>
      </c>
      <c r="B35" s="48">
        <v>14</v>
      </c>
      <c r="C35" s="39" t="s">
        <v>21</v>
      </c>
      <c r="D35" s="49">
        <v>250</v>
      </c>
      <c r="E35" s="50">
        <v>45245</v>
      </c>
      <c r="F35" s="51">
        <v>4</v>
      </c>
      <c r="G35" s="52">
        <v>0.02</v>
      </c>
      <c r="H35" s="53">
        <f>PRESTAMOS[[#This Row],[MONTO AMORTIZACION]]*PRESTAMOS[[#This Row],[INTERES]]*PRESTAMOS[[#This Row],[CUOTAS]]</f>
        <v>20</v>
      </c>
      <c r="I35" s="53">
        <f>PRESTAMOS[[#This Row],[MONTO AMORTIZACION]]+PRESTAMOS[[#This Row],[T. INT]]</f>
        <v>270</v>
      </c>
      <c r="J35" s="214" t="s">
        <v>122</v>
      </c>
      <c r="K3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14">
        <v>33</v>
      </c>
      <c r="B36" s="48">
        <v>14</v>
      </c>
      <c r="C36" s="39" t="s">
        <v>21</v>
      </c>
      <c r="D36" s="49">
        <v>500</v>
      </c>
      <c r="E36" s="50">
        <v>45306</v>
      </c>
      <c r="F36" s="51">
        <v>2</v>
      </c>
      <c r="G36" s="52">
        <v>0.02</v>
      </c>
      <c r="H36" s="53">
        <f>PRESTAMOS[[#This Row],[MONTO AMORTIZACION]]*PRESTAMOS[[#This Row],[INTERES]]*PRESTAMOS[[#This Row],[CUOTAS]]</f>
        <v>20</v>
      </c>
      <c r="I36" s="53">
        <f>PRESTAMOS[[#This Row],[MONTO AMORTIZACION]]+PRESTAMOS[[#This Row],[T. INT]]</f>
        <v>520</v>
      </c>
      <c r="J36" s="214" t="s">
        <v>127</v>
      </c>
      <c r="K3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14">
        <v>34</v>
      </c>
      <c r="B37" s="48">
        <v>15</v>
      </c>
      <c r="C37" s="39" t="s">
        <v>22</v>
      </c>
      <c r="D37" s="49">
        <v>100</v>
      </c>
      <c r="E37" s="50">
        <v>45311</v>
      </c>
      <c r="F37" s="51">
        <v>5</v>
      </c>
      <c r="G37" s="52">
        <v>0.02</v>
      </c>
      <c r="H37" s="53">
        <f>PRESTAMOS[[#This Row],[MONTO AMORTIZACION]]*PRESTAMOS[[#This Row],[INTERES]]*PRESTAMOS[[#This Row],[CUOTAS]]</f>
        <v>10</v>
      </c>
      <c r="I37" s="53">
        <f>PRESTAMOS[[#This Row],[MONTO AMORTIZACION]]+PRESTAMOS[[#This Row],[T. INT]]</f>
        <v>110</v>
      </c>
      <c r="J37" s="214" t="s">
        <v>131</v>
      </c>
      <c r="K3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14">
        <v>35</v>
      </c>
      <c r="B38" s="40">
        <v>9</v>
      </c>
      <c r="C38" s="39" t="s">
        <v>17</v>
      </c>
      <c r="D38" s="49">
        <v>600</v>
      </c>
      <c r="E38" s="50">
        <v>45337</v>
      </c>
      <c r="F38" s="51">
        <v>5</v>
      </c>
      <c r="G38" s="52">
        <v>0.02</v>
      </c>
      <c r="H38" s="53">
        <f>PRESTAMOS[[#This Row],[MONTO AMORTIZACION]]*PRESTAMOS[[#This Row],[INTERES]]*PRESTAMOS[[#This Row],[CUOTAS]]</f>
        <v>60</v>
      </c>
      <c r="I38" s="53">
        <f>PRESTAMOS[[#This Row],[MONTO AMORTIZACION]]+PRESTAMOS[[#This Row],[T. INT]]</f>
        <v>660</v>
      </c>
      <c r="J38" s="214" t="s">
        <v>169</v>
      </c>
      <c r="K3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14">
        <v>36</v>
      </c>
      <c r="B39" s="48">
        <v>4</v>
      </c>
      <c r="C39" s="39" t="s">
        <v>12</v>
      </c>
      <c r="D39" s="49">
        <v>100</v>
      </c>
      <c r="E39" s="50">
        <v>45341</v>
      </c>
      <c r="F39" s="51">
        <v>4</v>
      </c>
      <c r="G39" s="52">
        <v>0.02</v>
      </c>
      <c r="H39" s="53">
        <f>PRESTAMOS[[#This Row],[MONTO AMORTIZACION]]*PRESTAMOS[[#This Row],[INTERES]]*PRESTAMOS[[#This Row],[CUOTAS]]</f>
        <v>8</v>
      </c>
      <c r="I39" s="53">
        <f>PRESTAMOS[[#This Row],[MONTO AMORTIZACION]]+PRESTAMOS[[#This Row],[T. INT]]</f>
        <v>108</v>
      </c>
      <c r="J39" s="214" t="s">
        <v>192</v>
      </c>
      <c r="K3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14">
        <v>37</v>
      </c>
      <c r="B40" s="40">
        <v>5</v>
      </c>
      <c r="C40" s="39" t="s">
        <v>14</v>
      </c>
      <c r="D40" s="49">
        <v>1000</v>
      </c>
      <c r="E40" s="50">
        <v>45366</v>
      </c>
      <c r="F40" s="51">
        <v>10</v>
      </c>
      <c r="G40" s="52">
        <v>0.02</v>
      </c>
      <c r="H40" s="53">
        <f>PRESTAMOS[[#This Row],[MONTO AMORTIZACION]]*PRESTAMOS[[#This Row],[INTERES]]*PRESTAMOS[[#This Row],[CUOTAS]]</f>
        <v>200</v>
      </c>
      <c r="I40" s="53">
        <f>PRESTAMOS[[#This Row],[MONTO AMORTIZACION]]+PRESTAMOS[[#This Row],[T. INT]]</f>
        <v>1200</v>
      </c>
      <c r="J40" s="214" t="s">
        <v>197</v>
      </c>
      <c r="K4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14">
        <v>38</v>
      </c>
      <c r="B41" s="48">
        <v>15</v>
      </c>
      <c r="C41" s="39" t="s">
        <v>22</v>
      </c>
      <c r="D41" s="49">
        <v>600</v>
      </c>
      <c r="E41" s="50">
        <v>45366</v>
      </c>
      <c r="F41" s="51">
        <v>12</v>
      </c>
      <c r="G41" s="52">
        <v>0.02</v>
      </c>
      <c r="H41" s="53">
        <f>PRESTAMOS[[#This Row],[MONTO AMORTIZACION]]*PRESTAMOS[[#This Row],[INTERES]]*PRESTAMOS[[#This Row],[CUOTAS]]</f>
        <v>144</v>
      </c>
      <c r="I41" s="53">
        <f>PRESTAMOS[[#This Row],[MONTO AMORTIZACION]]+PRESTAMOS[[#This Row],[T. INT]]</f>
        <v>744</v>
      </c>
      <c r="J41" s="214" t="s">
        <v>197</v>
      </c>
      <c r="K4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14">
        <v>39</v>
      </c>
      <c r="B42" s="48">
        <v>14</v>
      </c>
      <c r="C42" s="39" t="s">
        <v>21</v>
      </c>
      <c r="D42" s="49">
        <v>400</v>
      </c>
      <c r="E42" s="50">
        <v>45366</v>
      </c>
      <c r="F42" s="51">
        <v>4</v>
      </c>
      <c r="G42" s="52">
        <v>0.02</v>
      </c>
      <c r="H42" s="53">
        <f>PRESTAMOS[[#This Row],[MONTO AMORTIZACION]]*PRESTAMOS[[#This Row],[INTERES]]*PRESTAMOS[[#This Row],[CUOTAS]]</f>
        <v>32</v>
      </c>
      <c r="I42" s="53">
        <f>PRESTAMOS[[#This Row],[MONTO AMORTIZACION]]+PRESTAMOS[[#This Row],[T. INT]]</f>
        <v>432</v>
      </c>
      <c r="J42" s="214" t="s">
        <v>200</v>
      </c>
      <c r="K4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14">
        <v>40</v>
      </c>
      <c r="B43" s="48">
        <v>10</v>
      </c>
      <c r="C43" s="39" t="s">
        <v>18</v>
      </c>
      <c r="D43" s="49">
        <v>100</v>
      </c>
      <c r="E43" s="50">
        <v>45366</v>
      </c>
      <c r="F43" s="51">
        <v>5</v>
      </c>
      <c r="G43" s="52">
        <v>0.02</v>
      </c>
      <c r="H43" s="53">
        <f>PRESTAMOS[[#This Row],[MONTO AMORTIZACION]]*PRESTAMOS[[#This Row],[INTERES]]*PRESTAMOS[[#This Row],[CUOTAS]]</f>
        <v>10</v>
      </c>
      <c r="I43" s="53">
        <f>PRESTAMOS[[#This Row],[MONTO AMORTIZACION]]+PRESTAMOS[[#This Row],[T. INT]]</f>
        <v>110</v>
      </c>
      <c r="J43" s="214" t="s">
        <v>197</v>
      </c>
      <c r="K4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14">
        <v>41</v>
      </c>
      <c r="B44" s="48">
        <v>16</v>
      </c>
      <c r="C44" s="39" t="s">
        <v>23</v>
      </c>
      <c r="D44" s="49">
        <v>150</v>
      </c>
      <c r="E44" s="50">
        <v>45397</v>
      </c>
      <c r="F44" s="51">
        <v>3</v>
      </c>
      <c r="G44" s="52">
        <v>0.02</v>
      </c>
      <c r="H44" s="53">
        <f>PRESTAMOS[[#This Row],[MONTO AMORTIZACION]]*PRESTAMOS[[#This Row],[INTERES]]*PRESTAMOS[[#This Row],[CUOTAS]]</f>
        <v>9</v>
      </c>
      <c r="I44" s="53">
        <f>PRESTAMOS[[#This Row],[MONTO AMORTIZACION]]+PRESTAMOS[[#This Row],[T. INT]]</f>
        <v>159</v>
      </c>
      <c r="J44" s="214" t="s">
        <v>206</v>
      </c>
      <c r="K4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14" t="s">
        <v>263</v>
      </c>
      <c r="B45" s="48">
        <v>2</v>
      </c>
      <c r="C45" s="39" t="s">
        <v>21</v>
      </c>
      <c r="D45" s="49">
        <v>100</v>
      </c>
      <c r="E45" s="50">
        <v>45397</v>
      </c>
      <c r="F45" s="51">
        <v>0</v>
      </c>
      <c r="G45" s="52">
        <v>0</v>
      </c>
      <c r="H45" s="53">
        <f>PRESTAMOS[[#This Row],[MONTO AMORTIZACION]]*PRESTAMOS[[#This Row],[INTERES]]*PRESTAMOS[[#This Row],[CUOTAS]]</f>
        <v>0</v>
      </c>
      <c r="I45" s="53">
        <f>PRESTAMOS[[#This Row],[MONTO AMORTIZACION]]+PRESTAMOS[[#This Row],[T. INT]]</f>
        <v>100</v>
      </c>
      <c r="J45" s="215" t="s">
        <v>208</v>
      </c>
      <c r="K4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14">
        <v>42</v>
      </c>
      <c r="B46" s="48">
        <v>12</v>
      </c>
      <c r="C46" s="39" t="s">
        <v>20</v>
      </c>
      <c r="D46" s="49">
        <v>600</v>
      </c>
      <c r="E46" s="50">
        <v>45427</v>
      </c>
      <c r="F46" s="51">
        <v>7</v>
      </c>
      <c r="G46" s="52">
        <v>0.02</v>
      </c>
      <c r="H46" s="53">
        <f>PRESTAMOS[[#This Row],[MONTO AMORTIZACION]]*PRESTAMOS[[#This Row],[INTERES]]*PRESTAMOS[[#This Row],[CUOTAS]]</f>
        <v>84</v>
      </c>
      <c r="I46" s="53">
        <f>PRESTAMOS[[#This Row],[MONTO AMORTIZACION]]+PRESTAMOS[[#This Row],[T. INT]]</f>
        <v>684</v>
      </c>
      <c r="J46" s="214" t="s">
        <v>197</v>
      </c>
      <c r="K4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14">
        <v>43</v>
      </c>
      <c r="B47" s="48">
        <v>7</v>
      </c>
      <c r="C47" s="39" t="s">
        <v>15</v>
      </c>
      <c r="D47" s="49">
        <v>400</v>
      </c>
      <c r="E47" s="50">
        <v>45427</v>
      </c>
      <c r="F47" s="51">
        <v>4</v>
      </c>
      <c r="G47" s="52">
        <v>0.02</v>
      </c>
      <c r="H47" s="53">
        <f>PRESTAMOS[[#This Row],[MONTO AMORTIZACION]]*PRESTAMOS[[#This Row],[INTERES]]*PRESTAMOS[[#This Row],[CUOTAS]]</f>
        <v>32</v>
      </c>
      <c r="I47" s="53">
        <f>PRESTAMOS[[#This Row],[MONTO AMORTIZACION]]+PRESTAMOS[[#This Row],[T. INT]]</f>
        <v>432</v>
      </c>
      <c r="J47" s="214" t="s">
        <v>210</v>
      </c>
      <c r="K4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14">
        <v>44</v>
      </c>
      <c r="B48" s="48">
        <v>14</v>
      </c>
      <c r="C48" s="39" t="s">
        <v>21</v>
      </c>
      <c r="D48" s="49">
        <v>700</v>
      </c>
      <c r="E48" s="50">
        <v>45458</v>
      </c>
      <c r="F48" s="51">
        <v>5</v>
      </c>
      <c r="G48" s="52">
        <v>0.02</v>
      </c>
      <c r="H48" s="53">
        <f>PRESTAMOS[[#This Row],[MONTO AMORTIZACION]]*PRESTAMOS[[#This Row],[INTERES]]*PRESTAMOS[[#This Row],[CUOTAS]]</f>
        <v>70</v>
      </c>
      <c r="I48" s="53">
        <f>PRESTAMOS[[#This Row],[MONTO AMORTIZACION]]+PRESTAMOS[[#This Row],[T. INT]]</f>
        <v>770</v>
      </c>
      <c r="J48" s="214" t="s">
        <v>210</v>
      </c>
      <c r="K4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14">
        <v>45</v>
      </c>
      <c r="B49" s="48">
        <v>8</v>
      </c>
      <c r="C49" s="39" t="s">
        <v>16</v>
      </c>
      <c r="D49" s="49">
        <v>300</v>
      </c>
      <c r="E49" s="50">
        <v>45458</v>
      </c>
      <c r="F49" s="51">
        <v>3</v>
      </c>
      <c r="G49" s="52">
        <v>0.02</v>
      </c>
      <c r="H49" s="53">
        <f>PRESTAMOS[[#This Row],[MONTO AMORTIZACION]]*PRESTAMOS[[#This Row],[INTERES]]*PRESTAMOS[[#This Row],[CUOTAS]]</f>
        <v>18</v>
      </c>
      <c r="I49" s="53">
        <f>PRESTAMOS[[#This Row],[MONTO AMORTIZACION]]+PRESTAMOS[[#This Row],[T. INT]]</f>
        <v>318</v>
      </c>
      <c r="J49" s="214" t="s">
        <v>210</v>
      </c>
      <c r="K49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14">
        <v>46</v>
      </c>
      <c r="B50" s="48">
        <v>6</v>
      </c>
      <c r="C50" s="39" t="s">
        <v>24</v>
      </c>
      <c r="D50" s="49">
        <v>500</v>
      </c>
      <c r="E50" s="50">
        <v>45488</v>
      </c>
      <c r="F50" s="51">
        <v>5</v>
      </c>
      <c r="G50" s="52">
        <v>0.02</v>
      </c>
      <c r="H50" s="53">
        <f>PRESTAMOS[[#This Row],[MONTO AMORTIZACION]]*PRESTAMOS[[#This Row],[INTERES]]*PRESTAMOS[[#This Row],[CUOTAS]]</f>
        <v>50</v>
      </c>
      <c r="I50" s="53">
        <f>PRESTAMOS[[#This Row],[MONTO AMORTIZACION]]+PRESTAMOS[[#This Row],[T. INT]]</f>
        <v>550</v>
      </c>
      <c r="J50" s="214" t="s">
        <v>220</v>
      </c>
      <c r="K50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14">
        <v>47</v>
      </c>
      <c r="B51" s="48">
        <v>16</v>
      </c>
      <c r="C51" s="39" t="s">
        <v>23</v>
      </c>
      <c r="D51" s="49">
        <v>500</v>
      </c>
      <c r="E51" s="50">
        <v>45488</v>
      </c>
      <c r="F51" s="51">
        <v>12</v>
      </c>
      <c r="G51" s="52">
        <v>0.02</v>
      </c>
      <c r="H51" s="53">
        <f>PRESTAMOS[[#This Row],[MONTO AMORTIZACION]]*PRESTAMOS[[#This Row],[INTERES]]*PRESTAMOS[[#This Row],[CUOTAS]]</f>
        <v>120</v>
      </c>
      <c r="I51" s="53">
        <f>PRESTAMOS[[#This Row],[MONTO AMORTIZACION]]+PRESTAMOS[[#This Row],[T. INT]]</f>
        <v>620</v>
      </c>
      <c r="J51" s="214" t="s">
        <v>113</v>
      </c>
      <c r="K51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14">
        <v>48</v>
      </c>
      <c r="B52" s="40">
        <v>9</v>
      </c>
      <c r="C52" s="39" t="s">
        <v>17</v>
      </c>
      <c r="D52" s="49">
        <v>600</v>
      </c>
      <c r="E52" s="50">
        <v>45519</v>
      </c>
      <c r="F52" s="51">
        <v>6</v>
      </c>
      <c r="G52" s="52">
        <v>0.02</v>
      </c>
      <c r="H52" s="53">
        <f>PRESTAMOS[[#This Row],[MONTO AMORTIZACION]]*PRESTAMOS[[#This Row],[INTERES]]*PRESTAMOS[[#This Row],[CUOTAS]]</f>
        <v>72</v>
      </c>
      <c r="I52" s="53">
        <f>PRESTAMOS[[#This Row],[MONTO AMORTIZACION]]+PRESTAMOS[[#This Row],[T. INT]]</f>
        <v>672</v>
      </c>
      <c r="J52" s="214" t="s">
        <v>223</v>
      </c>
      <c r="K52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14">
        <v>49</v>
      </c>
      <c r="B53" s="48">
        <v>4</v>
      </c>
      <c r="C53" s="39" t="s">
        <v>12</v>
      </c>
      <c r="D53" s="49">
        <v>300</v>
      </c>
      <c r="E53" s="50">
        <v>45519</v>
      </c>
      <c r="F53" s="51">
        <v>6</v>
      </c>
      <c r="G53" s="52">
        <v>0.02</v>
      </c>
      <c r="H53" s="53">
        <f>PRESTAMOS[[#This Row],[MONTO AMORTIZACION]]*PRESTAMOS[[#This Row],[INTERES]]*PRESTAMOS[[#This Row],[CUOTAS]]</f>
        <v>36</v>
      </c>
      <c r="I53" s="53">
        <f>PRESTAMOS[[#This Row],[MONTO AMORTIZACION]]+PRESTAMOS[[#This Row],[T. INT]]</f>
        <v>336</v>
      </c>
      <c r="J53" s="214" t="s">
        <v>225</v>
      </c>
      <c r="K53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14">
        <v>50</v>
      </c>
      <c r="B54" s="48">
        <v>11</v>
      </c>
      <c r="C54" s="39" t="s">
        <v>19</v>
      </c>
      <c r="D54" s="49">
        <v>400</v>
      </c>
      <c r="E54" s="50">
        <v>45550</v>
      </c>
      <c r="F54" s="51">
        <v>4</v>
      </c>
      <c r="G54" s="52">
        <v>0.02</v>
      </c>
      <c r="H54" s="53">
        <f>PRESTAMOS[[#This Row],[MONTO AMORTIZACION]]*PRESTAMOS[[#This Row],[INTERES]]*PRESTAMOS[[#This Row],[CUOTAS]]</f>
        <v>32</v>
      </c>
      <c r="I54" s="53">
        <f>PRESTAMOS[[#This Row],[MONTO AMORTIZACION]]+PRESTAMOS[[#This Row],[T. INT]]</f>
        <v>432</v>
      </c>
      <c r="J54" s="214" t="s">
        <v>113</v>
      </c>
      <c r="K54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14" t="s">
        <v>264</v>
      </c>
      <c r="B55" s="48">
        <v>2</v>
      </c>
      <c r="C55" s="39" t="s">
        <v>12</v>
      </c>
      <c r="D55" s="49">
        <v>260</v>
      </c>
      <c r="E55" s="50">
        <v>45550</v>
      </c>
      <c r="F55" s="51">
        <v>0</v>
      </c>
      <c r="G55" s="52">
        <v>0</v>
      </c>
      <c r="H55" s="53">
        <f>PRESTAMOS[[#This Row],[MONTO AMORTIZACION]]*PRESTAMOS[[#This Row],[INTERES]]*PRESTAMOS[[#This Row],[CUOTAS]]</f>
        <v>0</v>
      </c>
      <c r="I55" s="53">
        <f>PRESTAMOS[[#This Row],[MONTO AMORTIZACION]]+PRESTAMOS[[#This Row],[T. INT]]</f>
        <v>260</v>
      </c>
      <c r="J55" s="214" t="s">
        <v>247</v>
      </c>
      <c r="K55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14">
        <v>51</v>
      </c>
      <c r="B56" s="48">
        <v>7</v>
      </c>
      <c r="C56" s="39" t="s">
        <v>15</v>
      </c>
      <c r="D56" s="49">
        <v>250</v>
      </c>
      <c r="E56" s="50">
        <v>45580</v>
      </c>
      <c r="F56" s="51">
        <v>4</v>
      </c>
      <c r="G56" s="52">
        <v>0.02</v>
      </c>
      <c r="H56" s="53">
        <f>PRESTAMOS[[#This Row],[MONTO AMORTIZACION]]*PRESTAMOS[[#This Row],[INTERES]]*PRESTAMOS[[#This Row],[CUOTAS]]</f>
        <v>20</v>
      </c>
      <c r="I56" s="53">
        <f>PRESTAMOS[[#This Row],[MONTO AMORTIZACION]]+PRESTAMOS[[#This Row],[T. INT]]</f>
        <v>270</v>
      </c>
      <c r="J56" s="214" t="s">
        <v>113</v>
      </c>
      <c r="K56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14">
        <v>52</v>
      </c>
      <c r="B57" s="48">
        <v>8</v>
      </c>
      <c r="C57" s="39" t="s">
        <v>16</v>
      </c>
      <c r="D57" s="49">
        <v>250</v>
      </c>
      <c r="E57" s="50">
        <v>45580</v>
      </c>
      <c r="F57" s="51">
        <v>4</v>
      </c>
      <c r="G57" s="52">
        <v>0.02</v>
      </c>
      <c r="H57" s="53">
        <f>PRESTAMOS[[#This Row],[MONTO AMORTIZACION]]*PRESTAMOS[[#This Row],[INTERES]]*PRESTAMOS[[#This Row],[CUOTAS]]</f>
        <v>20</v>
      </c>
      <c r="I57" s="53">
        <f>PRESTAMOS[[#This Row],[MONTO AMORTIZACION]]+PRESTAMOS[[#This Row],[T. INT]]</f>
        <v>270</v>
      </c>
      <c r="J57" s="214" t="s">
        <v>200</v>
      </c>
      <c r="K57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14">
        <v>53</v>
      </c>
      <c r="B58" s="48">
        <v>14</v>
      </c>
      <c r="C58" s="39" t="s">
        <v>21</v>
      </c>
      <c r="D58" s="49">
        <v>500</v>
      </c>
      <c r="E58" s="50">
        <v>45580</v>
      </c>
      <c r="F58" s="51">
        <v>4</v>
      </c>
      <c r="G58" s="52">
        <v>0.02</v>
      </c>
      <c r="H58" s="53">
        <f>PRESTAMOS[[#This Row],[MONTO AMORTIZACION]]*PRESTAMOS[[#This Row],[INTERES]]*PRESTAMOS[[#This Row],[CUOTAS]]</f>
        <v>40</v>
      </c>
      <c r="I58" s="53">
        <f>PRESTAMOS[[#This Row],[MONTO AMORTIZACION]]+PRESTAMOS[[#This Row],[T. INT]]</f>
        <v>540</v>
      </c>
      <c r="J58" s="214" t="s">
        <v>200</v>
      </c>
      <c r="K58" s="196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14">
        <v>54</v>
      </c>
      <c r="B59" s="48">
        <v>3</v>
      </c>
      <c r="C59" s="39" t="s">
        <v>13</v>
      </c>
      <c r="D59" s="49">
        <v>500</v>
      </c>
      <c r="E59" s="50">
        <v>45611</v>
      </c>
      <c r="F59" s="51">
        <v>3</v>
      </c>
      <c r="G59" s="52">
        <v>0.02</v>
      </c>
      <c r="H59" s="53">
        <f>PRESTAMOS[[#This Row],[MONTO AMORTIZACION]]*PRESTAMOS[[#This Row],[INTERES]]*PRESTAMOS[[#This Row],[CUOTAS]]</f>
        <v>30</v>
      </c>
      <c r="I59" s="53">
        <f>PRESTAMOS[[#This Row],[MONTO AMORTIZACION]]+PRESTAMOS[[#This Row],[T. INT]]</f>
        <v>530</v>
      </c>
      <c r="J59" s="216" t="s">
        <v>269</v>
      </c>
      <c r="K59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14">
        <v>55</v>
      </c>
      <c r="B60" s="48">
        <v>12</v>
      </c>
      <c r="C60" s="39" t="s">
        <v>20</v>
      </c>
      <c r="D60" s="49">
        <v>1000</v>
      </c>
      <c r="E60" s="50">
        <v>45611</v>
      </c>
      <c r="F60" s="51">
        <v>10</v>
      </c>
      <c r="G60" s="52">
        <v>0.02</v>
      </c>
      <c r="H60" s="53">
        <f>PRESTAMOS[[#This Row],[MONTO AMORTIZACION]]*PRESTAMOS[[#This Row],[INTERES]]*PRESTAMOS[[#This Row],[CUOTAS]]</f>
        <v>200</v>
      </c>
      <c r="I60" s="53">
        <f>PRESTAMOS[[#This Row],[MONTO AMORTIZACION]]+PRESTAMOS[[#This Row],[T. INT]]</f>
        <v>1200</v>
      </c>
      <c r="J60" s="216" t="s">
        <v>271</v>
      </c>
      <c r="K60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6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61" spans="1:12" x14ac:dyDescent="0.3">
      <c r="A61" s="314">
        <v>56</v>
      </c>
      <c r="B61" s="48">
        <v>10</v>
      </c>
      <c r="C61" s="39" t="s">
        <v>18</v>
      </c>
      <c r="D61" s="49">
        <v>200</v>
      </c>
      <c r="E61" s="50">
        <v>45611</v>
      </c>
      <c r="F61" s="51">
        <v>5</v>
      </c>
      <c r="G61" s="52">
        <v>0.02</v>
      </c>
      <c r="H61" s="53">
        <f>PRESTAMOS[[#This Row],[MONTO AMORTIZACION]]*PRESTAMOS[[#This Row],[INTERES]]*PRESTAMOS[[#This Row],[CUOTAS]]</f>
        <v>20</v>
      </c>
      <c r="I61" s="53">
        <f>PRESTAMOS[[#This Row],[MONTO AMORTIZACION]]+PRESTAMOS[[#This Row],[T. INT]]</f>
        <v>220</v>
      </c>
      <c r="J61" s="216" t="s">
        <v>271</v>
      </c>
      <c r="K61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14">
        <v>57</v>
      </c>
      <c r="B62" s="48">
        <v>6</v>
      </c>
      <c r="C62" s="39" t="s">
        <v>24</v>
      </c>
      <c r="D62" s="49">
        <v>1000</v>
      </c>
      <c r="E62" s="50">
        <v>45641</v>
      </c>
      <c r="F62" s="51">
        <v>10</v>
      </c>
      <c r="G62" s="52">
        <v>0.02</v>
      </c>
      <c r="H62" s="53">
        <f>PRESTAMOS[[#This Row],[MONTO AMORTIZACION]]*PRESTAMOS[[#This Row],[INTERES]]*PRESTAMOS[[#This Row],[CUOTAS]]</f>
        <v>200</v>
      </c>
      <c r="I62" s="53">
        <f>PRESTAMOS[[#This Row],[MONTO AMORTIZACION]]+PRESTAMOS[[#This Row],[T. INT]]</f>
        <v>1200</v>
      </c>
      <c r="J62" s="216" t="s">
        <v>291</v>
      </c>
      <c r="K62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6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63" spans="1:12" x14ac:dyDescent="0.3">
      <c r="A63" s="314">
        <v>58</v>
      </c>
      <c r="B63" s="48">
        <v>11</v>
      </c>
      <c r="C63" s="39" t="s">
        <v>19</v>
      </c>
      <c r="D63" s="49">
        <v>500</v>
      </c>
      <c r="E63" s="50">
        <v>45641</v>
      </c>
      <c r="F63" s="51">
        <v>5</v>
      </c>
      <c r="G63" s="52">
        <v>0.02</v>
      </c>
      <c r="H63" s="53">
        <f>PRESTAMOS[[#This Row],[MONTO AMORTIZACION]]*PRESTAMOS[[#This Row],[INTERES]]*PRESTAMOS[[#This Row],[CUOTAS]]</f>
        <v>50</v>
      </c>
      <c r="I63" s="53">
        <f>PRESTAMOS[[#This Row],[MONTO AMORTIZACION]]+PRESTAMOS[[#This Row],[T. INT]]</f>
        <v>550</v>
      </c>
      <c r="J63" s="216" t="s">
        <v>295</v>
      </c>
      <c r="K63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14">
        <v>59</v>
      </c>
      <c r="B64" s="48">
        <v>16</v>
      </c>
      <c r="C64" s="39" t="s">
        <v>23</v>
      </c>
      <c r="D64" s="49">
        <v>80</v>
      </c>
      <c r="E64" s="50">
        <v>45643</v>
      </c>
      <c r="F64" s="51">
        <v>1</v>
      </c>
      <c r="G64" s="52">
        <v>0.02</v>
      </c>
      <c r="H64" s="53">
        <f>PRESTAMOS[[#This Row],[MONTO AMORTIZACION]]*PRESTAMOS[[#This Row],[INTERES]]*PRESTAMOS[[#This Row],[CUOTAS]]</f>
        <v>1.6</v>
      </c>
      <c r="I64" s="53">
        <f>PRESTAMOS[[#This Row],[MONTO AMORTIZACION]]+PRESTAMOS[[#This Row],[T. INT]]</f>
        <v>81.599999999999994</v>
      </c>
      <c r="J64" s="216" t="s">
        <v>301</v>
      </c>
      <c r="K64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14">
        <v>60</v>
      </c>
      <c r="B65" s="40">
        <v>9</v>
      </c>
      <c r="C65" s="39" t="s">
        <v>17</v>
      </c>
      <c r="D65" s="49">
        <v>700</v>
      </c>
      <c r="E65" s="50">
        <v>45672</v>
      </c>
      <c r="F65" s="51">
        <v>7</v>
      </c>
      <c r="G65" s="52">
        <v>0.02</v>
      </c>
      <c r="H65" s="53">
        <f>PRESTAMOS[[#This Row],[MONTO AMORTIZACION]]*PRESTAMOS[[#This Row],[INTERES]]*PRESTAMOS[[#This Row],[CUOTAS]]</f>
        <v>98</v>
      </c>
      <c r="I65" s="53">
        <f>PRESTAMOS[[#This Row],[MONTO AMORTIZACION]]+PRESTAMOS[[#This Row],[T. INT]]</f>
        <v>798</v>
      </c>
      <c r="J65" s="216" t="s">
        <v>313</v>
      </c>
      <c r="K65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6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66" spans="1:12" x14ac:dyDescent="0.3">
      <c r="A66" s="314">
        <v>61</v>
      </c>
      <c r="B66" s="48">
        <v>14</v>
      </c>
      <c r="C66" s="39" t="s">
        <v>21</v>
      </c>
      <c r="D66" s="49">
        <v>700</v>
      </c>
      <c r="E66" s="50">
        <v>45672</v>
      </c>
      <c r="F66" s="51">
        <v>7</v>
      </c>
      <c r="G66" s="52">
        <v>0.02</v>
      </c>
      <c r="H66" s="53">
        <f>PRESTAMOS[[#This Row],[MONTO AMORTIZACION]]*PRESTAMOS[[#This Row],[INTERES]]*PRESTAMOS[[#This Row],[CUOTAS]]</f>
        <v>98</v>
      </c>
      <c r="I66" s="53">
        <f>PRESTAMOS[[#This Row],[MONTO AMORTIZACION]]+PRESTAMOS[[#This Row],[T. INT]]</f>
        <v>798</v>
      </c>
      <c r="J66" s="216" t="s">
        <v>315</v>
      </c>
      <c r="K66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6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67" spans="1:12" ht="28.8" x14ac:dyDescent="0.3">
      <c r="A67" s="314">
        <v>62</v>
      </c>
      <c r="B67" s="48">
        <v>16</v>
      </c>
      <c r="C67" s="39" t="s">
        <v>23</v>
      </c>
      <c r="D67" s="49">
        <v>150</v>
      </c>
      <c r="E67" s="50">
        <v>45676</v>
      </c>
      <c r="F67" s="51">
        <v>2</v>
      </c>
      <c r="G67" s="52">
        <v>0.02</v>
      </c>
      <c r="H67" s="53">
        <f>PRESTAMOS[[#This Row],[MONTO AMORTIZACION]]*PRESTAMOS[[#This Row],[INTERES]]*PRESTAMOS[[#This Row],[CUOTAS]]</f>
        <v>6</v>
      </c>
      <c r="I67" s="53">
        <f>PRESTAMOS[[#This Row],[MONTO AMORTIZACION]]+PRESTAMOS[[#This Row],[T. INT]]</f>
        <v>156</v>
      </c>
      <c r="J67" s="216" t="s">
        <v>332</v>
      </c>
      <c r="K67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14">
        <v>63</v>
      </c>
      <c r="B68" s="40">
        <v>5</v>
      </c>
      <c r="C68" s="39" t="s">
        <v>14</v>
      </c>
      <c r="D68" s="49">
        <v>500</v>
      </c>
      <c r="E68" s="50">
        <v>45704</v>
      </c>
      <c r="F68" s="51">
        <v>5</v>
      </c>
      <c r="G68" s="52">
        <v>0.02</v>
      </c>
      <c r="H68" s="53">
        <f>PRESTAMOS[[#This Row],[MONTO AMORTIZACION]]*PRESTAMOS[[#This Row],[INTERES]]*PRESTAMOS[[#This Row],[CUOTAS]]</f>
        <v>50</v>
      </c>
      <c r="I68" s="53">
        <f>PRESTAMOS[[#This Row],[MONTO AMORTIZACION]]+PRESTAMOS[[#This Row],[T. INT]]</f>
        <v>550</v>
      </c>
      <c r="J68" s="216" t="s">
        <v>210</v>
      </c>
      <c r="K68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14">
        <v>64</v>
      </c>
      <c r="B69" s="48">
        <v>8</v>
      </c>
      <c r="C69" s="39" t="s">
        <v>16</v>
      </c>
      <c r="D69" s="49">
        <v>300</v>
      </c>
      <c r="E69" s="50">
        <v>45704</v>
      </c>
      <c r="F69" s="51">
        <v>3</v>
      </c>
      <c r="G69" s="52">
        <v>0.02</v>
      </c>
      <c r="H69" s="53">
        <f>PRESTAMOS[[#This Row],[MONTO AMORTIZACION]]*PRESTAMOS[[#This Row],[INTERES]]*PRESTAMOS[[#This Row],[CUOTAS]]</f>
        <v>18</v>
      </c>
      <c r="I69" s="53">
        <f>PRESTAMOS[[#This Row],[MONTO AMORTIZACION]]+PRESTAMOS[[#This Row],[T. INT]]</f>
        <v>318</v>
      </c>
      <c r="J69" s="216" t="s">
        <v>210</v>
      </c>
      <c r="K69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14">
        <v>65</v>
      </c>
      <c r="B70" s="48">
        <v>16</v>
      </c>
      <c r="C70" s="39" t="s">
        <v>23</v>
      </c>
      <c r="D70" s="49">
        <v>400</v>
      </c>
      <c r="E70" s="50">
        <v>45707</v>
      </c>
      <c r="F70" s="51">
        <v>1</v>
      </c>
      <c r="G70" s="52">
        <v>0.02</v>
      </c>
      <c r="H70" s="53">
        <f>PRESTAMOS[[#This Row],[MONTO AMORTIZACION]]*PRESTAMOS[[#This Row],[INTERES]]*PRESTAMOS[[#This Row],[CUOTAS]]</f>
        <v>8</v>
      </c>
      <c r="I70" s="53">
        <f>PRESTAMOS[[#This Row],[MONTO AMORTIZACION]]+PRESTAMOS[[#This Row],[T. INT]]</f>
        <v>408</v>
      </c>
      <c r="J70" s="216" t="s">
        <v>335</v>
      </c>
      <c r="K70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14">
        <v>66</v>
      </c>
      <c r="B71" s="48">
        <v>4</v>
      </c>
      <c r="C71" s="39" t="s">
        <v>12</v>
      </c>
      <c r="D71" s="49">
        <v>700</v>
      </c>
      <c r="E71" s="50">
        <v>45731.834143518521</v>
      </c>
      <c r="F71" s="51">
        <v>3</v>
      </c>
      <c r="G71" s="52">
        <v>0.02</v>
      </c>
      <c r="H71" s="53">
        <f>PRESTAMOS[[#This Row],[MONTO AMORTIZACION]]*PRESTAMOS[[#This Row],[INTERES]]*PRESTAMOS[[#This Row],[CUOTAS]]</f>
        <v>42</v>
      </c>
      <c r="I71" s="53">
        <f>PRESTAMOS[[#This Row],[MONTO AMORTIZACION]]+PRESTAMOS[[#This Row],[T. INT]]</f>
        <v>742</v>
      </c>
      <c r="J71" s="216" t="s">
        <v>337</v>
      </c>
      <c r="K71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14">
        <v>67</v>
      </c>
      <c r="B72" s="48">
        <v>7</v>
      </c>
      <c r="C72" s="39" t="s">
        <v>15</v>
      </c>
      <c r="D72" s="49">
        <v>1200</v>
      </c>
      <c r="E72" s="50">
        <v>45758</v>
      </c>
      <c r="F72" s="51">
        <v>1</v>
      </c>
      <c r="G72" s="52">
        <v>0.02</v>
      </c>
      <c r="H72" s="53">
        <f>PRESTAMOS[[#This Row],[MONTO AMORTIZACION]]*PRESTAMOS[[#This Row],[INTERES]]*PRESTAMOS[[#This Row],[CUOTAS]]</f>
        <v>24</v>
      </c>
      <c r="I72" s="53">
        <f>PRESTAMOS[[#This Row],[MONTO AMORTIZACION]]+PRESTAMOS[[#This Row],[T. INT]]</f>
        <v>1224</v>
      </c>
      <c r="J72" s="216" t="s">
        <v>344</v>
      </c>
      <c r="K72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14">
        <v>68</v>
      </c>
      <c r="B73" s="48">
        <v>10</v>
      </c>
      <c r="C73" s="39" t="s">
        <v>18</v>
      </c>
      <c r="D73" s="49">
        <v>200</v>
      </c>
      <c r="E73" s="50">
        <v>45762</v>
      </c>
      <c r="F73" s="51">
        <v>5</v>
      </c>
      <c r="G73" s="52">
        <v>0.02</v>
      </c>
      <c r="H73" s="53">
        <f>PRESTAMOS[[#This Row],[MONTO AMORTIZACION]]*PRESTAMOS[[#This Row],[INTERES]]*PRESTAMOS[[#This Row],[CUOTAS]]</f>
        <v>20</v>
      </c>
      <c r="I73" s="53">
        <f>PRESTAMOS[[#This Row],[MONTO AMORTIZACION]]+PRESTAMOS[[#This Row],[T. INT]]</f>
        <v>220</v>
      </c>
      <c r="J73" s="216" t="s">
        <v>345</v>
      </c>
      <c r="K73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3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74" spans="1:12" x14ac:dyDescent="0.3">
      <c r="A74" s="314">
        <v>69</v>
      </c>
      <c r="B74" s="48">
        <v>3</v>
      </c>
      <c r="C74" s="39" t="s">
        <v>13</v>
      </c>
      <c r="D74" s="49">
        <v>600</v>
      </c>
      <c r="E74" s="50">
        <v>45762</v>
      </c>
      <c r="F74" s="51">
        <v>3</v>
      </c>
      <c r="G74" s="52">
        <v>0.02</v>
      </c>
      <c r="H74" s="53">
        <f>PRESTAMOS[[#This Row],[MONTO AMORTIZACION]]*PRESTAMOS[[#This Row],[INTERES]]*PRESTAMOS[[#This Row],[CUOTAS]]</f>
        <v>36</v>
      </c>
      <c r="I74" s="53">
        <f>PRESTAMOS[[#This Row],[MONTO AMORTIZACION]]+PRESTAMOS[[#This Row],[T. INT]]</f>
        <v>636</v>
      </c>
      <c r="J74" s="216" t="s">
        <v>353</v>
      </c>
      <c r="K74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14" t="s">
        <v>355</v>
      </c>
      <c r="B75" s="48">
        <v>17</v>
      </c>
      <c r="C75" s="39" t="s">
        <v>350</v>
      </c>
      <c r="D75" s="49">
        <v>0</v>
      </c>
      <c r="E75" s="50">
        <v>45762</v>
      </c>
      <c r="F75" s="51">
        <v>0</v>
      </c>
      <c r="G75" s="52">
        <v>0</v>
      </c>
      <c r="H75" s="53">
        <f>PRESTAMOS[[#This Row],[MONTO AMORTIZACION]]*PRESTAMOS[[#This Row],[INTERES]]*PRESTAMOS[[#This Row],[CUOTAS]]</f>
        <v>0</v>
      </c>
      <c r="I75" s="53">
        <f>PRESTAMOS[[#This Row],[MONTO AMORTIZACION]]+PRESTAMOS[[#This Row],[T. INT]]</f>
        <v>0</v>
      </c>
      <c r="J75" s="216" t="s">
        <v>356</v>
      </c>
      <c r="K75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14" t="s">
        <v>357</v>
      </c>
      <c r="B76" s="48">
        <v>18</v>
      </c>
      <c r="C76" s="39" t="s">
        <v>351</v>
      </c>
      <c r="D76" s="49">
        <v>0</v>
      </c>
      <c r="E76" s="50">
        <v>45762</v>
      </c>
      <c r="F76" s="51">
        <v>0</v>
      </c>
      <c r="G76" s="52">
        <v>0</v>
      </c>
      <c r="H76" s="53">
        <f>PRESTAMOS[[#This Row],[MONTO AMORTIZACION]]*PRESTAMOS[[#This Row],[INTERES]]*PRESTAMOS[[#This Row],[CUOTAS]]</f>
        <v>0</v>
      </c>
      <c r="I76" s="53">
        <f>PRESTAMOS[[#This Row],[MONTO AMORTIZACION]]+PRESTAMOS[[#This Row],[T. INT]]</f>
        <v>0</v>
      </c>
      <c r="J76" s="216" t="s">
        <v>358</v>
      </c>
      <c r="K76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14" t="s">
        <v>359</v>
      </c>
      <c r="B77" s="48">
        <v>13</v>
      </c>
      <c r="C77" s="39" t="s">
        <v>352</v>
      </c>
      <c r="D77" s="49">
        <v>0</v>
      </c>
      <c r="E77" s="50">
        <v>45762</v>
      </c>
      <c r="F77" s="51">
        <v>0</v>
      </c>
      <c r="G77" s="52">
        <v>0</v>
      </c>
      <c r="H77" s="53">
        <f>PRESTAMOS[[#This Row],[MONTO AMORTIZACION]]*PRESTAMOS[[#This Row],[INTERES]]*PRESTAMOS[[#This Row],[CUOTAS]]</f>
        <v>0</v>
      </c>
      <c r="I77" s="53">
        <f>PRESTAMOS[[#This Row],[MONTO AMORTIZACION]]+PRESTAMOS[[#This Row],[T. INT]]</f>
        <v>0</v>
      </c>
      <c r="J77" s="216" t="s">
        <v>360</v>
      </c>
      <c r="K77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14">
        <v>70</v>
      </c>
      <c r="B78" s="48">
        <v>8</v>
      </c>
      <c r="C78" s="39" t="s">
        <v>16</v>
      </c>
      <c r="D78" s="49">
        <v>500</v>
      </c>
      <c r="E78" s="50">
        <v>45764</v>
      </c>
      <c r="F78" s="51">
        <v>5</v>
      </c>
      <c r="G78" s="52">
        <v>0.02</v>
      </c>
      <c r="H78" s="53">
        <f>PRESTAMOS[[#This Row],[MONTO AMORTIZACION]]*PRESTAMOS[[#This Row],[INTERES]]*PRESTAMOS[[#This Row],[CUOTAS]]</f>
        <v>50</v>
      </c>
      <c r="I78" s="53">
        <f>PRESTAMOS[[#This Row],[MONTO AMORTIZACION]]+PRESTAMOS[[#This Row],[T. INT]]</f>
        <v>550</v>
      </c>
      <c r="J78" s="216" t="s">
        <v>65</v>
      </c>
      <c r="K78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8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79" spans="1:12" x14ac:dyDescent="0.3">
      <c r="A79" s="314">
        <v>71</v>
      </c>
      <c r="B79" s="40">
        <v>5</v>
      </c>
      <c r="C79" s="39" t="s">
        <v>14</v>
      </c>
      <c r="D79" s="49">
        <v>1200</v>
      </c>
      <c r="E79" s="50">
        <v>45792</v>
      </c>
      <c r="F79" s="51">
        <v>12</v>
      </c>
      <c r="G79" s="261">
        <v>0.02</v>
      </c>
      <c r="H79" s="53">
        <f>PRESTAMOS[[#This Row],[MONTO AMORTIZACION]]*PRESTAMOS[[#This Row],[INTERES]]*PRESTAMOS[[#This Row],[CUOTAS]]</f>
        <v>288</v>
      </c>
      <c r="I79" s="53">
        <f>PRESTAMOS[[#This Row],[MONTO AMORTIZACION]]+PRESTAMOS[[#This Row],[T. INT]]</f>
        <v>1488</v>
      </c>
      <c r="J79" s="216" t="s">
        <v>376</v>
      </c>
      <c r="K79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80" spans="1:12" x14ac:dyDescent="0.3">
      <c r="A80" s="314">
        <v>72</v>
      </c>
      <c r="B80" s="48">
        <v>17</v>
      </c>
      <c r="C80" s="39" t="s">
        <v>350</v>
      </c>
      <c r="D80" s="49">
        <v>2000</v>
      </c>
      <c r="E80" s="50">
        <v>45792</v>
      </c>
      <c r="F80" s="51">
        <v>12</v>
      </c>
      <c r="G80" s="261">
        <v>0.02</v>
      </c>
      <c r="H80" s="53">
        <f>PRESTAMOS[[#This Row],[MONTO AMORTIZACION]]*PRESTAMOS[[#This Row],[INTERES]]*PRESTAMOS[[#This Row],[CUOTAS]]</f>
        <v>480</v>
      </c>
      <c r="I80" s="53">
        <f>PRESTAMOS[[#This Row],[MONTO AMORTIZACION]]+PRESTAMOS[[#This Row],[T. INT]]</f>
        <v>2480</v>
      </c>
      <c r="J80" s="216" t="s">
        <v>378</v>
      </c>
      <c r="K80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81" spans="1:12" x14ac:dyDescent="0.3">
      <c r="A81" s="314">
        <v>73</v>
      </c>
      <c r="B81" s="48">
        <v>11</v>
      </c>
      <c r="C81" s="39" t="s">
        <v>19</v>
      </c>
      <c r="D81" s="49">
        <v>300</v>
      </c>
      <c r="E81" s="50">
        <v>45792</v>
      </c>
      <c r="F81" s="51">
        <v>3</v>
      </c>
      <c r="G81" s="261">
        <v>0.02</v>
      </c>
      <c r="H81" s="53">
        <f>PRESTAMOS[[#This Row],[MONTO AMORTIZACION]]*PRESTAMOS[[#This Row],[INTERES]]*PRESTAMOS[[#This Row],[CUOTAS]]</f>
        <v>18</v>
      </c>
      <c r="I81" s="53">
        <f>PRESTAMOS[[#This Row],[MONTO AMORTIZACION]]+PRESTAMOS[[#This Row],[T. INT]]</f>
        <v>318</v>
      </c>
      <c r="J81" s="216" t="s">
        <v>384</v>
      </c>
      <c r="K81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1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2" spans="1:12" x14ac:dyDescent="0.3">
      <c r="A82" s="314">
        <v>74</v>
      </c>
      <c r="B82" s="48">
        <v>16</v>
      </c>
      <c r="C82" s="39" t="s">
        <v>23</v>
      </c>
      <c r="D82" s="49">
        <v>40</v>
      </c>
      <c r="E82" s="50">
        <v>45792</v>
      </c>
      <c r="F82" s="51">
        <v>1</v>
      </c>
      <c r="G82" s="261">
        <v>0.02</v>
      </c>
      <c r="H82" s="53">
        <f>PRESTAMOS[[#This Row],[MONTO AMORTIZACION]]*PRESTAMOS[[#This Row],[INTERES]]*PRESTAMOS[[#This Row],[CUOTAS]]</f>
        <v>0.8</v>
      </c>
      <c r="I82" s="53">
        <f>PRESTAMOS[[#This Row],[MONTO AMORTIZACION]]+PRESTAMOS[[#This Row],[T. INT]]</f>
        <v>40.799999999999997</v>
      </c>
      <c r="J82" s="216" t="s">
        <v>441</v>
      </c>
      <c r="K82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14">
        <v>75</v>
      </c>
      <c r="B83" s="48">
        <v>16</v>
      </c>
      <c r="C83" s="39" t="s">
        <v>23</v>
      </c>
      <c r="D83" s="49">
        <v>100</v>
      </c>
      <c r="E83" s="50">
        <v>45855</v>
      </c>
      <c r="F83" s="51">
        <v>1</v>
      </c>
      <c r="G83" s="261">
        <v>0.02</v>
      </c>
      <c r="H83" s="53">
        <f>PRESTAMOS[[#This Row],[MONTO AMORTIZACION]]*PRESTAMOS[[#This Row],[INTERES]]*PRESTAMOS[[#This Row],[CUOTAS]]</f>
        <v>2</v>
      </c>
      <c r="I83" s="53">
        <f>PRESTAMOS[[#This Row],[MONTO AMORTIZACION]]+PRESTAMOS[[#This Row],[T. INT]]</f>
        <v>102</v>
      </c>
      <c r="J83" s="216" t="s">
        <v>439</v>
      </c>
      <c r="K83" s="207" t="str">
        <f>IF(LEN(PRESTAMOS[[#This Row],[REG]])=LEN("AYUDA**"),"PAGADO",IF(SUMIF(PAGOS['#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2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</sheetData>
  <sheetProtection algorithmName="SHA-512" hashValue="ljYM1eLcDEgdQhK7oKeG8g5GRu00vTyU2YHrFH2Z9wOuADMqcPEw3ueECZ48RjbGjaYxZpq+KLwuYD8mFs5TMA==" saltValue="wm66AZWwuKCa0XQkBgd2d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K325"/>
  <sheetViews>
    <sheetView topLeftCell="A80" zoomScaleNormal="99" workbookViewId="0">
      <selection activeCell="D3" sqref="D3"/>
    </sheetView>
  </sheetViews>
  <sheetFormatPr baseColWidth="10" defaultColWidth="10.88671875" defaultRowHeight="14.4" x14ac:dyDescent="0.3"/>
  <cols>
    <col min="1" max="1" width="10.33203125" style="211" bestFit="1" customWidth="1"/>
    <col min="2" max="2" width="8.33203125" style="16" customWidth="1"/>
    <col min="3" max="3" width="24" style="16" customWidth="1"/>
    <col min="4" max="4" width="14.6640625" style="192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6384" width="10.88671875" style="18"/>
  </cols>
  <sheetData>
    <row r="1" spans="1:11" x14ac:dyDescent="0.3">
      <c r="A1" s="358" t="s">
        <v>39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</row>
    <row r="2" spans="1:11" ht="28.8" x14ac:dyDescent="0.3">
      <c r="A2" s="23" t="s">
        <v>68</v>
      </c>
      <c r="B2" s="22" t="s">
        <v>33</v>
      </c>
      <c r="C2" s="23" t="s">
        <v>34</v>
      </c>
      <c r="D2" s="23" t="s">
        <v>253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304</v>
      </c>
    </row>
    <row r="3" spans="1:11" x14ac:dyDescent="0.3">
      <c r="A3" s="28">
        <v>1</v>
      </c>
      <c r="B3" s="73">
        <v>5</v>
      </c>
      <c r="C3" s="56" t="s">
        <v>14</v>
      </c>
      <c r="D3" s="309">
        <v>2</v>
      </c>
      <c r="E3" s="34">
        <v>50</v>
      </c>
      <c r="F3" s="57">
        <v>44849</v>
      </c>
      <c r="G3" s="65">
        <v>1</v>
      </c>
      <c r="H3" s="34">
        <v>2</v>
      </c>
      <c r="I3" s="57">
        <v>44849</v>
      </c>
      <c r="J3" s="69">
        <v>1</v>
      </c>
      <c r="K3" s="41" t="s">
        <v>393</v>
      </c>
    </row>
    <row r="4" spans="1:11" x14ac:dyDescent="0.3">
      <c r="A4" s="35">
        <v>2</v>
      </c>
      <c r="B4" s="74">
        <v>9</v>
      </c>
      <c r="C4" s="58" t="s">
        <v>17</v>
      </c>
      <c r="D4" s="310">
        <v>1</v>
      </c>
      <c r="E4" s="76">
        <v>30</v>
      </c>
      <c r="F4" s="59">
        <v>44849</v>
      </c>
      <c r="G4" s="66">
        <v>1</v>
      </c>
      <c r="H4" s="76">
        <v>1.2</v>
      </c>
      <c r="I4" s="59">
        <v>44849</v>
      </c>
      <c r="J4" s="69">
        <v>1</v>
      </c>
      <c r="K4" s="60" t="s">
        <v>393</v>
      </c>
    </row>
    <row r="5" spans="1:11" x14ac:dyDescent="0.3">
      <c r="A5" s="35">
        <v>3</v>
      </c>
      <c r="B5" s="73">
        <v>5</v>
      </c>
      <c r="C5" s="56" t="s">
        <v>14</v>
      </c>
      <c r="D5" s="309">
        <v>2</v>
      </c>
      <c r="E5" s="34">
        <v>50</v>
      </c>
      <c r="F5" s="59">
        <v>44880</v>
      </c>
      <c r="G5" s="65">
        <v>2</v>
      </c>
      <c r="H5" s="34">
        <v>2</v>
      </c>
      <c r="I5" s="59">
        <v>44880</v>
      </c>
      <c r="J5" s="69">
        <v>2</v>
      </c>
      <c r="K5" s="41" t="s">
        <v>394</v>
      </c>
    </row>
    <row r="6" spans="1:11" x14ac:dyDescent="0.3">
      <c r="A6" s="35">
        <v>4</v>
      </c>
      <c r="B6" s="74">
        <v>9</v>
      </c>
      <c r="C6" s="58" t="s">
        <v>17</v>
      </c>
      <c r="D6" s="310">
        <v>1</v>
      </c>
      <c r="E6" s="76">
        <v>30</v>
      </c>
      <c r="F6" s="59">
        <v>44880</v>
      </c>
      <c r="G6" s="66">
        <v>2</v>
      </c>
      <c r="H6" s="76">
        <v>1.2</v>
      </c>
      <c r="I6" s="59">
        <v>44880</v>
      </c>
      <c r="J6" s="69">
        <v>2</v>
      </c>
      <c r="K6" s="60" t="s">
        <v>394</v>
      </c>
    </row>
    <row r="7" spans="1:11" x14ac:dyDescent="0.3">
      <c r="A7" s="28">
        <v>5</v>
      </c>
      <c r="B7" s="74">
        <v>7</v>
      </c>
      <c r="C7" s="58" t="s">
        <v>15</v>
      </c>
      <c r="D7" s="310">
        <v>3</v>
      </c>
      <c r="E7" s="76">
        <v>200</v>
      </c>
      <c r="F7" s="59">
        <v>44880</v>
      </c>
      <c r="G7" s="66">
        <v>1</v>
      </c>
      <c r="H7" s="76">
        <v>4</v>
      </c>
      <c r="I7" s="59">
        <v>44880</v>
      </c>
      <c r="J7" s="70">
        <v>1</v>
      </c>
      <c r="K7" s="60" t="s">
        <v>393</v>
      </c>
    </row>
    <row r="8" spans="1:11" x14ac:dyDescent="0.3">
      <c r="A8" s="28">
        <v>6</v>
      </c>
      <c r="B8" s="74">
        <v>16</v>
      </c>
      <c r="C8" s="58" t="s">
        <v>23</v>
      </c>
      <c r="D8" s="311">
        <v>4</v>
      </c>
      <c r="E8" s="77">
        <v>100</v>
      </c>
      <c r="F8" s="62">
        <v>44910</v>
      </c>
      <c r="G8" s="67">
        <v>1</v>
      </c>
      <c r="H8" s="77">
        <v>4</v>
      </c>
      <c r="I8" s="62">
        <v>44910</v>
      </c>
      <c r="J8" s="71">
        <v>1</v>
      </c>
      <c r="K8" s="63" t="s">
        <v>393</v>
      </c>
    </row>
    <row r="9" spans="1:11" s="17" customFormat="1" x14ac:dyDescent="0.3">
      <c r="A9" s="28">
        <v>7</v>
      </c>
      <c r="B9" s="74">
        <v>11</v>
      </c>
      <c r="C9" s="58" t="s">
        <v>19</v>
      </c>
      <c r="D9" s="310">
        <v>5</v>
      </c>
      <c r="E9" s="76">
        <v>200</v>
      </c>
      <c r="F9" s="59">
        <v>44910</v>
      </c>
      <c r="G9" s="66">
        <v>1</v>
      </c>
      <c r="H9" s="76">
        <v>4</v>
      </c>
      <c r="I9" s="59">
        <v>44910</v>
      </c>
      <c r="J9" s="70">
        <v>1</v>
      </c>
      <c r="K9" s="60" t="s">
        <v>393</v>
      </c>
    </row>
    <row r="10" spans="1:11" s="17" customFormat="1" x14ac:dyDescent="0.3">
      <c r="A10" s="255" t="s">
        <v>89</v>
      </c>
      <c r="B10" s="75">
        <v>1</v>
      </c>
      <c r="C10" s="61" t="s">
        <v>70</v>
      </c>
      <c r="D10" s="311" t="s">
        <v>366</v>
      </c>
      <c r="E10" s="77">
        <v>0</v>
      </c>
      <c r="F10" s="62">
        <v>44921</v>
      </c>
      <c r="G10" s="67" t="s">
        <v>366</v>
      </c>
      <c r="H10" s="77">
        <v>10</v>
      </c>
      <c r="I10" s="62">
        <v>44921</v>
      </c>
      <c r="J10" s="71" t="s">
        <v>366</v>
      </c>
      <c r="K10" s="63" t="s">
        <v>75</v>
      </c>
    </row>
    <row r="11" spans="1:11" s="17" customFormat="1" x14ac:dyDescent="0.3">
      <c r="A11" s="28">
        <v>8</v>
      </c>
      <c r="B11" s="74">
        <v>4</v>
      </c>
      <c r="C11" s="58" t="s">
        <v>12</v>
      </c>
      <c r="D11" s="310">
        <v>6</v>
      </c>
      <c r="E11" s="77">
        <v>25</v>
      </c>
      <c r="F11" s="62">
        <v>44941</v>
      </c>
      <c r="G11" s="67">
        <v>1</v>
      </c>
      <c r="H11" s="77">
        <v>2</v>
      </c>
      <c r="I11" s="62">
        <v>44941</v>
      </c>
      <c r="J11" s="71">
        <v>1</v>
      </c>
      <c r="K11" s="63" t="s">
        <v>393</v>
      </c>
    </row>
    <row r="12" spans="1:11" s="17" customFormat="1" x14ac:dyDescent="0.3">
      <c r="A12" s="28">
        <v>9</v>
      </c>
      <c r="B12" s="74">
        <v>12</v>
      </c>
      <c r="C12" s="58" t="s">
        <v>20</v>
      </c>
      <c r="D12" s="310">
        <v>7</v>
      </c>
      <c r="E12" s="77">
        <v>25</v>
      </c>
      <c r="F12" s="62">
        <v>44941</v>
      </c>
      <c r="G12" s="67">
        <v>1</v>
      </c>
      <c r="H12" s="77">
        <v>2</v>
      </c>
      <c r="I12" s="62">
        <v>44941</v>
      </c>
      <c r="J12" s="71">
        <v>1</v>
      </c>
      <c r="K12" s="63" t="s">
        <v>393</v>
      </c>
    </row>
    <row r="13" spans="1:11" s="17" customFormat="1" x14ac:dyDescent="0.3">
      <c r="A13" s="28">
        <v>10</v>
      </c>
      <c r="B13" s="74">
        <v>14</v>
      </c>
      <c r="C13" s="58" t="s">
        <v>21</v>
      </c>
      <c r="D13" s="310">
        <v>8</v>
      </c>
      <c r="E13" s="76">
        <v>34</v>
      </c>
      <c r="F13" s="59">
        <v>44941</v>
      </c>
      <c r="G13" s="66">
        <v>1</v>
      </c>
      <c r="H13" s="76">
        <v>3.4</v>
      </c>
      <c r="I13" s="59">
        <v>44941</v>
      </c>
      <c r="J13" s="70">
        <v>1</v>
      </c>
      <c r="K13" s="60" t="s">
        <v>393</v>
      </c>
    </row>
    <row r="14" spans="1:11" s="17" customFormat="1" x14ac:dyDescent="0.3">
      <c r="A14" s="28">
        <v>11</v>
      </c>
      <c r="B14" s="74">
        <v>16</v>
      </c>
      <c r="C14" s="58" t="s">
        <v>23</v>
      </c>
      <c r="D14" s="310">
        <v>4</v>
      </c>
      <c r="E14" s="76">
        <v>100</v>
      </c>
      <c r="F14" s="59">
        <v>44941</v>
      </c>
      <c r="G14" s="66">
        <v>2</v>
      </c>
      <c r="H14" s="76">
        <v>4</v>
      </c>
      <c r="I14" s="59">
        <v>44941</v>
      </c>
      <c r="J14" s="70">
        <v>2</v>
      </c>
      <c r="K14" s="60" t="s">
        <v>394</v>
      </c>
    </row>
    <row r="15" spans="1:11" s="17" customFormat="1" x14ac:dyDescent="0.3">
      <c r="A15" s="28">
        <v>12</v>
      </c>
      <c r="B15" s="74">
        <v>4</v>
      </c>
      <c r="C15" s="58" t="s">
        <v>12</v>
      </c>
      <c r="D15" s="310">
        <v>6</v>
      </c>
      <c r="E15" s="77">
        <v>25</v>
      </c>
      <c r="F15" s="62">
        <v>44972</v>
      </c>
      <c r="G15" s="67">
        <v>2</v>
      </c>
      <c r="H15" s="77">
        <v>2</v>
      </c>
      <c r="I15" s="62">
        <v>44972</v>
      </c>
      <c r="J15" s="71">
        <v>2</v>
      </c>
      <c r="K15" s="63" t="s">
        <v>394</v>
      </c>
    </row>
    <row r="16" spans="1:11" s="17" customFormat="1" x14ac:dyDescent="0.3">
      <c r="A16" s="28">
        <v>13</v>
      </c>
      <c r="B16" s="74">
        <v>12</v>
      </c>
      <c r="C16" s="58" t="s">
        <v>20</v>
      </c>
      <c r="D16" s="310">
        <v>7</v>
      </c>
      <c r="E16" s="77">
        <v>25</v>
      </c>
      <c r="F16" s="62">
        <v>44972</v>
      </c>
      <c r="G16" s="67">
        <v>2</v>
      </c>
      <c r="H16" s="77">
        <v>2</v>
      </c>
      <c r="I16" s="62">
        <v>44972</v>
      </c>
      <c r="J16" s="71">
        <v>2</v>
      </c>
      <c r="K16" s="63" t="s">
        <v>394</v>
      </c>
    </row>
    <row r="17" spans="1:11" s="17" customFormat="1" x14ac:dyDescent="0.3">
      <c r="A17" s="28">
        <v>14</v>
      </c>
      <c r="B17" s="74">
        <v>9</v>
      </c>
      <c r="C17" s="58" t="s">
        <v>17</v>
      </c>
      <c r="D17" s="310">
        <v>10</v>
      </c>
      <c r="E17" s="76">
        <v>25</v>
      </c>
      <c r="F17" s="59">
        <v>44972</v>
      </c>
      <c r="G17" s="66">
        <v>1</v>
      </c>
      <c r="H17" s="76">
        <v>2</v>
      </c>
      <c r="I17" s="59">
        <v>44972</v>
      </c>
      <c r="J17" s="70">
        <v>1</v>
      </c>
      <c r="K17" s="60" t="s">
        <v>76</v>
      </c>
    </row>
    <row r="18" spans="1:11" s="17" customFormat="1" x14ac:dyDescent="0.3">
      <c r="A18" s="28">
        <v>15</v>
      </c>
      <c r="B18" s="74">
        <v>15</v>
      </c>
      <c r="C18" s="58" t="s">
        <v>22</v>
      </c>
      <c r="D18" s="310">
        <v>9</v>
      </c>
      <c r="E18" s="76">
        <v>66.67</v>
      </c>
      <c r="F18" s="59">
        <v>44972</v>
      </c>
      <c r="G18" s="66">
        <v>1</v>
      </c>
      <c r="H18" s="76">
        <v>4</v>
      </c>
      <c r="I18" s="59">
        <v>44972</v>
      </c>
      <c r="J18" s="70">
        <v>1</v>
      </c>
      <c r="K18" s="60" t="s">
        <v>76</v>
      </c>
    </row>
    <row r="19" spans="1:11" s="17" customFormat="1" x14ac:dyDescent="0.3">
      <c r="A19" s="28">
        <v>16</v>
      </c>
      <c r="B19" s="74">
        <v>14</v>
      </c>
      <c r="C19" s="58" t="s">
        <v>21</v>
      </c>
      <c r="D19" s="310">
        <v>8</v>
      </c>
      <c r="E19" s="76">
        <v>34</v>
      </c>
      <c r="F19" s="59">
        <v>44972</v>
      </c>
      <c r="G19" s="66">
        <v>2</v>
      </c>
      <c r="H19" s="76">
        <v>3.4</v>
      </c>
      <c r="I19" s="59">
        <v>44972</v>
      </c>
      <c r="J19" s="70">
        <v>2</v>
      </c>
      <c r="K19" s="60" t="s">
        <v>394</v>
      </c>
    </row>
    <row r="20" spans="1:11" s="17" customFormat="1" x14ac:dyDescent="0.3">
      <c r="A20" s="28">
        <v>17</v>
      </c>
      <c r="B20" s="74">
        <v>4</v>
      </c>
      <c r="C20" s="58" t="s">
        <v>12</v>
      </c>
      <c r="D20" s="310">
        <v>6</v>
      </c>
      <c r="E20" s="77">
        <v>25</v>
      </c>
      <c r="F20" s="62">
        <v>45000</v>
      </c>
      <c r="G20" s="67">
        <v>3</v>
      </c>
      <c r="H20" s="77">
        <v>2</v>
      </c>
      <c r="I20" s="62">
        <v>45000</v>
      </c>
      <c r="J20" s="71">
        <v>3</v>
      </c>
      <c r="K20" s="63" t="s">
        <v>396</v>
      </c>
    </row>
    <row r="21" spans="1:11" s="17" customFormat="1" x14ac:dyDescent="0.3">
      <c r="A21" s="28">
        <v>18</v>
      </c>
      <c r="B21" s="74">
        <v>12</v>
      </c>
      <c r="C21" s="58" t="s">
        <v>20</v>
      </c>
      <c r="D21" s="310">
        <v>7</v>
      </c>
      <c r="E21" s="77">
        <v>25</v>
      </c>
      <c r="F21" s="62">
        <v>45000</v>
      </c>
      <c r="G21" s="67">
        <v>3</v>
      </c>
      <c r="H21" s="77">
        <v>2</v>
      </c>
      <c r="I21" s="62">
        <v>45000</v>
      </c>
      <c r="J21" s="71">
        <v>3</v>
      </c>
      <c r="K21" s="63" t="s">
        <v>396</v>
      </c>
    </row>
    <row r="22" spans="1:11" s="17" customFormat="1" x14ac:dyDescent="0.3">
      <c r="A22" s="28">
        <v>19</v>
      </c>
      <c r="B22" s="74">
        <v>10</v>
      </c>
      <c r="C22" s="58" t="s">
        <v>18</v>
      </c>
      <c r="D22" s="310">
        <v>12</v>
      </c>
      <c r="E22" s="76">
        <v>25</v>
      </c>
      <c r="F22" s="59">
        <v>45000</v>
      </c>
      <c r="G22" s="66">
        <v>1</v>
      </c>
      <c r="H22" s="76">
        <v>2</v>
      </c>
      <c r="I22" s="59">
        <v>45000</v>
      </c>
      <c r="J22" s="70">
        <v>1</v>
      </c>
      <c r="K22" s="60" t="s">
        <v>76</v>
      </c>
    </row>
    <row r="23" spans="1:11" s="17" customFormat="1" x14ac:dyDescent="0.3">
      <c r="A23" s="28">
        <v>20</v>
      </c>
      <c r="B23" s="73">
        <v>5</v>
      </c>
      <c r="C23" s="58" t="s">
        <v>14</v>
      </c>
      <c r="D23" s="310">
        <v>11</v>
      </c>
      <c r="E23" s="76">
        <v>100</v>
      </c>
      <c r="F23" s="59">
        <v>45000</v>
      </c>
      <c r="G23" s="66">
        <v>1</v>
      </c>
      <c r="H23" s="76">
        <v>6</v>
      </c>
      <c r="I23" s="59">
        <v>45000</v>
      </c>
      <c r="J23" s="70">
        <v>1</v>
      </c>
      <c r="K23" s="60" t="s">
        <v>76</v>
      </c>
    </row>
    <row r="24" spans="1:11" s="17" customFormat="1" x14ac:dyDescent="0.3">
      <c r="A24" s="28">
        <v>21</v>
      </c>
      <c r="B24" s="74">
        <v>9</v>
      </c>
      <c r="C24" s="58" t="s">
        <v>17</v>
      </c>
      <c r="D24" s="310">
        <v>10</v>
      </c>
      <c r="E24" s="76">
        <v>25</v>
      </c>
      <c r="F24" s="59">
        <v>45000</v>
      </c>
      <c r="G24" s="66">
        <v>2</v>
      </c>
      <c r="H24" s="76">
        <v>2</v>
      </c>
      <c r="I24" s="59">
        <v>45000</v>
      </c>
      <c r="J24" s="70">
        <v>2</v>
      </c>
      <c r="K24" s="60" t="s">
        <v>77</v>
      </c>
    </row>
    <row r="25" spans="1:11" s="17" customFormat="1" x14ac:dyDescent="0.3">
      <c r="A25" s="28">
        <v>22</v>
      </c>
      <c r="B25" s="74">
        <v>15</v>
      </c>
      <c r="C25" s="58" t="s">
        <v>22</v>
      </c>
      <c r="D25" s="310">
        <v>9</v>
      </c>
      <c r="E25" s="76">
        <v>66.67</v>
      </c>
      <c r="F25" s="59">
        <v>45000</v>
      </c>
      <c r="G25" s="66">
        <v>2</v>
      </c>
      <c r="H25" s="76">
        <v>4</v>
      </c>
      <c r="I25" s="59">
        <v>45000</v>
      </c>
      <c r="J25" s="70">
        <v>2</v>
      </c>
      <c r="K25" s="60" t="s">
        <v>78</v>
      </c>
    </row>
    <row r="26" spans="1:11" s="17" customFormat="1" x14ac:dyDescent="0.3">
      <c r="A26" s="28">
        <v>23</v>
      </c>
      <c r="B26" s="74">
        <v>14</v>
      </c>
      <c r="C26" s="58" t="s">
        <v>21</v>
      </c>
      <c r="D26" s="310">
        <v>8</v>
      </c>
      <c r="E26" s="76">
        <v>34</v>
      </c>
      <c r="F26" s="59">
        <v>45000</v>
      </c>
      <c r="G26" s="66">
        <v>3</v>
      </c>
      <c r="H26" s="76">
        <v>3.4</v>
      </c>
      <c r="I26" s="59">
        <v>45000</v>
      </c>
      <c r="J26" s="70">
        <v>3</v>
      </c>
      <c r="K26" s="60" t="s">
        <v>396</v>
      </c>
    </row>
    <row r="27" spans="1:11" s="17" customFormat="1" x14ac:dyDescent="0.3">
      <c r="A27" s="28">
        <v>24</v>
      </c>
      <c r="B27" s="74">
        <v>4</v>
      </c>
      <c r="C27" s="58" t="s">
        <v>12</v>
      </c>
      <c r="D27" s="310">
        <v>6</v>
      </c>
      <c r="E27" s="77">
        <v>25</v>
      </c>
      <c r="F27" s="62">
        <v>45031</v>
      </c>
      <c r="G27" s="67">
        <v>4</v>
      </c>
      <c r="H27" s="77">
        <v>2</v>
      </c>
      <c r="I27" s="62">
        <v>45031</v>
      </c>
      <c r="J27" s="71">
        <v>4</v>
      </c>
      <c r="K27" s="63" t="s">
        <v>397</v>
      </c>
    </row>
    <row r="28" spans="1:11" s="17" customFormat="1" x14ac:dyDescent="0.3">
      <c r="A28" s="28">
        <v>25</v>
      </c>
      <c r="B28" s="74">
        <v>12</v>
      </c>
      <c r="C28" s="58" t="s">
        <v>20</v>
      </c>
      <c r="D28" s="310">
        <v>7</v>
      </c>
      <c r="E28" s="77">
        <v>25</v>
      </c>
      <c r="F28" s="62">
        <v>45031</v>
      </c>
      <c r="G28" s="67">
        <v>4</v>
      </c>
      <c r="H28" s="77">
        <v>2</v>
      </c>
      <c r="I28" s="62">
        <v>45031</v>
      </c>
      <c r="J28" s="71">
        <v>4</v>
      </c>
      <c r="K28" s="63" t="s">
        <v>397</v>
      </c>
    </row>
    <row r="29" spans="1:11" s="17" customFormat="1" x14ac:dyDescent="0.3">
      <c r="A29" s="28">
        <v>26</v>
      </c>
      <c r="B29" s="74">
        <v>6</v>
      </c>
      <c r="C29" s="58" t="s">
        <v>24</v>
      </c>
      <c r="D29" s="310">
        <v>14</v>
      </c>
      <c r="E29" s="76">
        <v>80</v>
      </c>
      <c r="F29" s="59">
        <v>45031</v>
      </c>
      <c r="G29" s="66">
        <v>1</v>
      </c>
      <c r="H29" s="76">
        <v>1.6</v>
      </c>
      <c r="I29" s="59">
        <v>45031</v>
      </c>
      <c r="J29" s="70">
        <v>1</v>
      </c>
      <c r="K29" s="60" t="s">
        <v>79</v>
      </c>
    </row>
    <row r="30" spans="1:11" s="17" customFormat="1" x14ac:dyDescent="0.3">
      <c r="A30" s="28">
        <v>27</v>
      </c>
      <c r="B30" s="74">
        <v>7</v>
      </c>
      <c r="C30" s="58" t="s">
        <v>15</v>
      </c>
      <c r="D30" s="310">
        <v>13</v>
      </c>
      <c r="E30" s="76">
        <v>100</v>
      </c>
      <c r="F30" s="59">
        <v>45031</v>
      </c>
      <c r="G30" s="66">
        <v>1</v>
      </c>
      <c r="H30" s="76">
        <v>8</v>
      </c>
      <c r="I30" s="59">
        <v>45031</v>
      </c>
      <c r="J30" s="70">
        <v>1</v>
      </c>
      <c r="K30" s="60" t="s">
        <v>76</v>
      </c>
    </row>
    <row r="31" spans="1:11" s="17" customFormat="1" x14ac:dyDescent="0.3">
      <c r="A31" s="28">
        <v>28</v>
      </c>
      <c r="B31" s="74">
        <v>10</v>
      </c>
      <c r="C31" s="58" t="s">
        <v>18</v>
      </c>
      <c r="D31" s="310">
        <v>12</v>
      </c>
      <c r="E31" s="76">
        <v>25</v>
      </c>
      <c r="F31" s="59">
        <v>45031</v>
      </c>
      <c r="G31" s="66">
        <v>2</v>
      </c>
      <c r="H31" s="76">
        <v>2</v>
      </c>
      <c r="I31" s="59">
        <v>45031</v>
      </c>
      <c r="J31" s="70">
        <v>2</v>
      </c>
      <c r="K31" s="60" t="s">
        <v>77</v>
      </c>
    </row>
    <row r="32" spans="1:11" s="17" customFormat="1" x14ac:dyDescent="0.3">
      <c r="A32" s="28">
        <v>29</v>
      </c>
      <c r="B32" s="73">
        <v>5</v>
      </c>
      <c r="C32" s="58" t="s">
        <v>14</v>
      </c>
      <c r="D32" s="310">
        <v>11</v>
      </c>
      <c r="E32" s="76">
        <v>100</v>
      </c>
      <c r="F32" s="59">
        <v>45031</v>
      </c>
      <c r="G32" s="66">
        <v>2</v>
      </c>
      <c r="H32" s="76">
        <v>6</v>
      </c>
      <c r="I32" s="59">
        <v>45031</v>
      </c>
      <c r="J32" s="70">
        <v>2</v>
      </c>
      <c r="K32" s="60" t="s">
        <v>77</v>
      </c>
    </row>
    <row r="33" spans="1:11" s="17" customFormat="1" x14ac:dyDescent="0.3">
      <c r="A33" s="28">
        <v>30</v>
      </c>
      <c r="B33" s="74">
        <v>9</v>
      </c>
      <c r="C33" s="58" t="s">
        <v>17</v>
      </c>
      <c r="D33" s="310">
        <v>10</v>
      </c>
      <c r="E33" s="76">
        <v>25</v>
      </c>
      <c r="F33" s="59">
        <v>45031</v>
      </c>
      <c r="G33" s="66">
        <v>3</v>
      </c>
      <c r="H33" s="76">
        <v>2</v>
      </c>
      <c r="I33" s="59">
        <v>45031</v>
      </c>
      <c r="J33" s="70">
        <v>3</v>
      </c>
      <c r="K33" s="60" t="s">
        <v>80</v>
      </c>
    </row>
    <row r="34" spans="1:11" s="17" customFormat="1" x14ac:dyDescent="0.3">
      <c r="A34" s="28">
        <v>31</v>
      </c>
      <c r="B34" s="74">
        <v>15</v>
      </c>
      <c r="C34" s="58" t="s">
        <v>22</v>
      </c>
      <c r="D34" s="310">
        <v>9</v>
      </c>
      <c r="E34" s="76">
        <v>66.66</v>
      </c>
      <c r="F34" s="59">
        <v>45031</v>
      </c>
      <c r="G34" s="66">
        <v>3</v>
      </c>
      <c r="H34" s="76">
        <v>4</v>
      </c>
      <c r="I34" s="59">
        <v>45031</v>
      </c>
      <c r="J34" s="70">
        <v>3</v>
      </c>
      <c r="K34" s="60" t="s">
        <v>81</v>
      </c>
    </row>
    <row r="35" spans="1:11" s="17" customFormat="1" x14ac:dyDescent="0.3">
      <c r="A35" s="28">
        <v>32</v>
      </c>
      <c r="B35" s="74">
        <v>14</v>
      </c>
      <c r="C35" s="58" t="s">
        <v>21</v>
      </c>
      <c r="D35" s="310">
        <v>8</v>
      </c>
      <c r="E35" s="76">
        <v>34</v>
      </c>
      <c r="F35" s="59">
        <v>45031</v>
      </c>
      <c r="G35" s="66">
        <v>4</v>
      </c>
      <c r="H35" s="76">
        <v>3.4</v>
      </c>
      <c r="I35" s="59">
        <v>45031</v>
      </c>
      <c r="J35" s="70">
        <v>4</v>
      </c>
      <c r="K35" s="60" t="s">
        <v>397</v>
      </c>
    </row>
    <row r="36" spans="1:11" s="17" customFormat="1" x14ac:dyDescent="0.3">
      <c r="A36" s="28">
        <v>33</v>
      </c>
      <c r="B36" s="74">
        <v>4</v>
      </c>
      <c r="C36" s="58" t="s">
        <v>12</v>
      </c>
      <c r="D36" s="310">
        <v>16</v>
      </c>
      <c r="E36" s="76">
        <v>25</v>
      </c>
      <c r="F36" s="59">
        <v>45061</v>
      </c>
      <c r="G36" s="66">
        <v>1</v>
      </c>
      <c r="H36" s="76">
        <v>2</v>
      </c>
      <c r="I36" s="59">
        <v>45061</v>
      </c>
      <c r="J36" s="70">
        <v>1</v>
      </c>
      <c r="K36" s="60" t="s">
        <v>76</v>
      </c>
    </row>
    <row r="37" spans="1:11" s="17" customFormat="1" x14ac:dyDescent="0.3">
      <c r="A37" s="28">
        <v>34</v>
      </c>
      <c r="B37" s="74">
        <v>12</v>
      </c>
      <c r="C37" s="58" t="s">
        <v>20</v>
      </c>
      <c r="D37" s="310">
        <v>15</v>
      </c>
      <c r="E37" s="76">
        <v>50</v>
      </c>
      <c r="F37" s="59">
        <v>45061</v>
      </c>
      <c r="G37" s="66">
        <v>1</v>
      </c>
      <c r="H37" s="76">
        <v>4</v>
      </c>
      <c r="I37" s="59">
        <v>45061</v>
      </c>
      <c r="J37" s="70">
        <v>1</v>
      </c>
      <c r="K37" s="60" t="s">
        <v>76</v>
      </c>
    </row>
    <row r="38" spans="1:11" s="17" customFormat="1" x14ac:dyDescent="0.3">
      <c r="A38" s="28">
        <v>35</v>
      </c>
      <c r="B38" s="74">
        <v>7</v>
      </c>
      <c r="C38" s="58" t="s">
        <v>15</v>
      </c>
      <c r="D38" s="310">
        <v>13</v>
      </c>
      <c r="E38" s="76">
        <v>100</v>
      </c>
      <c r="F38" s="59">
        <v>45061</v>
      </c>
      <c r="G38" s="66">
        <v>2</v>
      </c>
      <c r="H38" s="76">
        <v>8</v>
      </c>
      <c r="I38" s="59">
        <v>45061</v>
      </c>
      <c r="J38" s="70">
        <v>2</v>
      </c>
      <c r="K38" s="60" t="s">
        <v>77</v>
      </c>
    </row>
    <row r="39" spans="1:11" s="17" customFormat="1" x14ac:dyDescent="0.3">
      <c r="A39" s="28">
        <v>36</v>
      </c>
      <c r="B39" s="74">
        <v>10</v>
      </c>
      <c r="C39" s="58" t="s">
        <v>18</v>
      </c>
      <c r="D39" s="310">
        <v>12</v>
      </c>
      <c r="E39" s="76">
        <v>25</v>
      </c>
      <c r="F39" s="59">
        <v>45061</v>
      </c>
      <c r="G39" s="66">
        <v>3</v>
      </c>
      <c r="H39" s="76">
        <v>2</v>
      </c>
      <c r="I39" s="59">
        <v>45061</v>
      </c>
      <c r="J39" s="70">
        <v>3</v>
      </c>
      <c r="K39" s="60" t="s">
        <v>80</v>
      </c>
    </row>
    <row r="40" spans="1:11" s="17" customFormat="1" x14ac:dyDescent="0.3">
      <c r="A40" s="28">
        <v>37</v>
      </c>
      <c r="B40" s="73">
        <v>5</v>
      </c>
      <c r="C40" s="58" t="s">
        <v>14</v>
      </c>
      <c r="D40" s="310">
        <v>11</v>
      </c>
      <c r="E40" s="76">
        <v>100</v>
      </c>
      <c r="F40" s="59">
        <v>45061</v>
      </c>
      <c r="G40" s="66">
        <v>3</v>
      </c>
      <c r="H40" s="76">
        <v>6</v>
      </c>
      <c r="I40" s="59">
        <v>45061</v>
      </c>
      <c r="J40" s="70">
        <v>3</v>
      </c>
      <c r="K40" s="60" t="s">
        <v>80</v>
      </c>
    </row>
    <row r="41" spans="1:11" s="17" customFormat="1" x14ac:dyDescent="0.3">
      <c r="A41" s="28">
        <v>38</v>
      </c>
      <c r="B41" s="74">
        <v>9</v>
      </c>
      <c r="C41" s="58" t="s">
        <v>17</v>
      </c>
      <c r="D41" s="310">
        <v>10</v>
      </c>
      <c r="E41" s="76">
        <v>25</v>
      </c>
      <c r="F41" s="59">
        <v>45061</v>
      </c>
      <c r="G41" s="66">
        <v>4</v>
      </c>
      <c r="H41" s="76">
        <v>2</v>
      </c>
      <c r="I41" s="59">
        <v>45061</v>
      </c>
      <c r="J41" s="70">
        <v>4</v>
      </c>
      <c r="K41" s="60" t="s">
        <v>82</v>
      </c>
    </row>
    <row r="42" spans="1:11" s="17" customFormat="1" x14ac:dyDescent="0.3">
      <c r="A42" s="28">
        <v>39</v>
      </c>
      <c r="B42" s="74">
        <v>14</v>
      </c>
      <c r="C42" s="58" t="s">
        <v>21</v>
      </c>
      <c r="D42" s="310">
        <v>8</v>
      </c>
      <c r="E42" s="76">
        <v>34</v>
      </c>
      <c r="F42" s="59">
        <v>45061</v>
      </c>
      <c r="G42" s="66">
        <v>5</v>
      </c>
      <c r="H42" s="76">
        <v>3.4</v>
      </c>
      <c r="I42" s="59">
        <v>45061</v>
      </c>
      <c r="J42" s="70">
        <v>5</v>
      </c>
      <c r="K42" s="60" t="s">
        <v>398</v>
      </c>
    </row>
    <row r="43" spans="1:11" s="17" customFormat="1" x14ac:dyDescent="0.3">
      <c r="A43" s="28">
        <v>40</v>
      </c>
      <c r="B43" s="74">
        <v>9</v>
      </c>
      <c r="C43" s="58" t="s">
        <v>17</v>
      </c>
      <c r="D43" s="310">
        <v>18</v>
      </c>
      <c r="E43" s="76">
        <v>25</v>
      </c>
      <c r="F43" s="59">
        <v>45092</v>
      </c>
      <c r="G43" s="66">
        <v>1</v>
      </c>
      <c r="H43" s="76">
        <v>2</v>
      </c>
      <c r="I43" s="59">
        <v>45092</v>
      </c>
      <c r="J43" s="70">
        <v>1</v>
      </c>
      <c r="K43" s="60" t="s">
        <v>76</v>
      </c>
    </row>
    <row r="44" spans="1:11" s="17" customFormat="1" x14ac:dyDescent="0.3">
      <c r="A44" s="28">
        <v>41</v>
      </c>
      <c r="B44" s="74">
        <v>8</v>
      </c>
      <c r="C44" s="58" t="s">
        <v>16</v>
      </c>
      <c r="D44" s="310">
        <v>17</v>
      </c>
      <c r="E44" s="76">
        <v>100</v>
      </c>
      <c r="F44" s="59">
        <v>45092</v>
      </c>
      <c r="G44" s="66">
        <v>1</v>
      </c>
      <c r="H44" s="76">
        <v>4</v>
      </c>
      <c r="I44" s="59">
        <v>45092</v>
      </c>
      <c r="J44" s="70">
        <v>1</v>
      </c>
      <c r="K44" s="60" t="s">
        <v>76</v>
      </c>
    </row>
    <row r="45" spans="1:11" s="17" customFormat="1" x14ac:dyDescent="0.3">
      <c r="A45" s="28">
        <v>42</v>
      </c>
      <c r="B45" s="74">
        <v>4</v>
      </c>
      <c r="C45" s="58" t="s">
        <v>12</v>
      </c>
      <c r="D45" s="310">
        <v>16</v>
      </c>
      <c r="E45" s="76">
        <v>25</v>
      </c>
      <c r="F45" s="59">
        <v>45092</v>
      </c>
      <c r="G45" s="66">
        <v>2</v>
      </c>
      <c r="H45" s="76">
        <v>2</v>
      </c>
      <c r="I45" s="59">
        <v>45092</v>
      </c>
      <c r="J45" s="70">
        <v>2</v>
      </c>
      <c r="K45" s="60" t="s">
        <v>77</v>
      </c>
    </row>
    <row r="46" spans="1:11" s="17" customFormat="1" x14ac:dyDescent="0.3">
      <c r="A46" s="28">
        <v>43</v>
      </c>
      <c r="B46" s="74">
        <v>12</v>
      </c>
      <c r="C46" s="58" t="s">
        <v>20</v>
      </c>
      <c r="D46" s="310">
        <v>15</v>
      </c>
      <c r="E46" s="76">
        <v>50</v>
      </c>
      <c r="F46" s="59">
        <v>45092</v>
      </c>
      <c r="G46" s="66">
        <v>2</v>
      </c>
      <c r="H46" s="76">
        <v>4</v>
      </c>
      <c r="I46" s="59">
        <v>45092</v>
      </c>
      <c r="J46" s="70">
        <v>2</v>
      </c>
      <c r="K46" s="60" t="s">
        <v>77</v>
      </c>
    </row>
    <row r="47" spans="1:11" s="17" customFormat="1" x14ac:dyDescent="0.3">
      <c r="A47" s="28">
        <v>44</v>
      </c>
      <c r="B47" s="74">
        <v>7</v>
      </c>
      <c r="C47" s="58" t="s">
        <v>15</v>
      </c>
      <c r="D47" s="310">
        <v>13</v>
      </c>
      <c r="E47" s="76">
        <v>100</v>
      </c>
      <c r="F47" s="59">
        <v>45092</v>
      </c>
      <c r="G47" s="66">
        <v>3</v>
      </c>
      <c r="H47" s="76">
        <v>8</v>
      </c>
      <c r="I47" s="59">
        <v>45092</v>
      </c>
      <c r="J47" s="70">
        <v>3</v>
      </c>
      <c r="K47" s="60" t="s">
        <v>81</v>
      </c>
    </row>
    <row r="48" spans="1:11" s="17" customFormat="1" x14ac:dyDescent="0.3">
      <c r="A48" s="28">
        <v>45</v>
      </c>
      <c r="B48" s="74">
        <v>10</v>
      </c>
      <c r="C48" s="58" t="s">
        <v>18</v>
      </c>
      <c r="D48" s="310">
        <v>12</v>
      </c>
      <c r="E48" s="76">
        <v>25</v>
      </c>
      <c r="F48" s="59">
        <v>45092</v>
      </c>
      <c r="G48" s="66">
        <v>4</v>
      </c>
      <c r="H48" s="76">
        <v>2</v>
      </c>
      <c r="I48" s="59">
        <v>45092</v>
      </c>
      <c r="J48" s="70">
        <v>4</v>
      </c>
      <c r="K48" s="60" t="s">
        <v>82</v>
      </c>
    </row>
    <row r="49" spans="1:11" s="17" customFormat="1" x14ac:dyDescent="0.3">
      <c r="A49" s="28">
        <v>46</v>
      </c>
      <c r="B49" s="73">
        <v>5</v>
      </c>
      <c r="C49" s="58" t="s">
        <v>14</v>
      </c>
      <c r="D49" s="310">
        <v>21</v>
      </c>
      <c r="E49" s="76">
        <v>0</v>
      </c>
      <c r="F49" s="59">
        <v>45122</v>
      </c>
      <c r="G49" s="66">
        <v>1</v>
      </c>
      <c r="H49" s="76">
        <v>8</v>
      </c>
      <c r="I49" s="59">
        <v>45122</v>
      </c>
      <c r="J49" s="70">
        <v>1</v>
      </c>
      <c r="K49" s="60" t="s">
        <v>83</v>
      </c>
    </row>
    <row r="50" spans="1:11" s="17" customFormat="1" x14ac:dyDescent="0.3">
      <c r="A50" s="28">
        <v>47</v>
      </c>
      <c r="B50" s="74">
        <v>15</v>
      </c>
      <c r="C50" s="58" t="s">
        <v>22</v>
      </c>
      <c r="D50" s="310">
        <v>20</v>
      </c>
      <c r="E50" s="76">
        <v>0</v>
      </c>
      <c r="F50" s="59">
        <v>45122</v>
      </c>
      <c r="G50" s="66">
        <v>1</v>
      </c>
      <c r="H50" s="76">
        <v>4</v>
      </c>
      <c r="I50" s="59">
        <v>45122</v>
      </c>
      <c r="J50" s="70">
        <v>1</v>
      </c>
      <c r="K50" s="60" t="s">
        <v>83</v>
      </c>
    </row>
    <row r="51" spans="1:11" s="17" customFormat="1" x14ac:dyDescent="0.3">
      <c r="A51" s="28">
        <v>48</v>
      </c>
      <c r="B51" s="74">
        <v>14</v>
      </c>
      <c r="C51" s="58" t="s">
        <v>21</v>
      </c>
      <c r="D51" s="310">
        <v>19</v>
      </c>
      <c r="E51" s="76">
        <v>0</v>
      </c>
      <c r="F51" s="59">
        <v>45122</v>
      </c>
      <c r="G51" s="66">
        <v>1</v>
      </c>
      <c r="H51" s="76">
        <v>8</v>
      </c>
      <c r="I51" s="59">
        <v>45122</v>
      </c>
      <c r="J51" s="70">
        <v>1</v>
      </c>
      <c r="K51" s="60" t="s">
        <v>83</v>
      </c>
    </row>
    <row r="52" spans="1:11" s="17" customFormat="1" x14ac:dyDescent="0.3">
      <c r="A52" s="28">
        <v>49</v>
      </c>
      <c r="B52" s="74">
        <v>9</v>
      </c>
      <c r="C52" s="58" t="s">
        <v>17</v>
      </c>
      <c r="D52" s="310">
        <v>18</v>
      </c>
      <c r="E52" s="76">
        <v>25</v>
      </c>
      <c r="F52" s="59">
        <v>45122</v>
      </c>
      <c r="G52" s="66">
        <v>2</v>
      </c>
      <c r="H52" s="76">
        <v>2</v>
      </c>
      <c r="I52" s="59">
        <v>45122</v>
      </c>
      <c r="J52" s="70">
        <v>2</v>
      </c>
      <c r="K52" s="60" t="s">
        <v>77</v>
      </c>
    </row>
    <row r="53" spans="1:11" s="17" customFormat="1" x14ac:dyDescent="0.3">
      <c r="A53" s="28">
        <v>50</v>
      </c>
      <c r="B53" s="74">
        <v>8</v>
      </c>
      <c r="C53" s="58" t="s">
        <v>16</v>
      </c>
      <c r="D53" s="310">
        <v>17</v>
      </c>
      <c r="E53" s="76">
        <v>100</v>
      </c>
      <c r="F53" s="59">
        <v>45122</v>
      </c>
      <c r="G53" s="66">
        <v>2</v>
      </c>
      <c r="H53" s="76">
        <v>4</v>
      </c>
      <c r="I53" s="59">
        <v>45122</v>
      </c>
      <c r="J53" s="70">
        <v>2</v>
      </c>
      <c r="K53" s="60" t="s">
        <v>77</v>
      </c>
    </row>
    <row r="54" spans="1:11" s="17" customFormat="1" x14ac:dyDescent="0.3">
      <c r="A54" s="28">
        <v>51</v>
      </c>
      <c r="B54" s="74">
        <v>4</v>
      </c>
      <c r="C54" s="58" t="s">
        <v>12</v>
      </c>
      <c r="D54" s="310">
        <v>16</v>
      </c>
      <c r="E54" s="76">
        <v>25</v>
      </c>
      <c r="F54" s="59">
        <v>45122</v>
      </c>
      <c r="G54" s="66">
        <v>3</v>
      </c>
      <c r="H54" s="76">
        <v>2</v>
      </c>
      <c r="I54" s="59">
        <v>45122</v>
      </c>
      <c r="J54" s="70">
        <v>3</v>
      </c>
      <c r="K54" s="60" t="s">
        <v>80</v>
      </c>
    </row>
    <row r="55" spans="1:11" s="17" customFormat="1" x14ac:dyDescent="0.3">
      <c r="A55" s="28">
        <v>52</v>
      </c>
      <c r="B55" s="74">
        <v>12</v>
      </c>
      <c r="C55" s="58" t="s">
        <v>20</v>
      </c>
      <c r="D55" s="310">
        <v>15</v>
      </c>
      <c r="E55" s="76">
        <v>50</v>
      </c>
      <c r="F55" s="59">
        <v>45122</v>
      </c>
      <c r="G55" s="66">
        <v>3</v>
      </c>
      <c r="H55" s="76">
        <v>4</v>
      </c>
      <c r="I55" s="59">
        <v>45122</v>
      </c>
      <c r="J55" s="70">
        <v>3</v>
      </c>
      <c r="K55" s="60" t="s">
        <v>80</v>
      </c>
    </row>
    <row r="56" spans="1:11" s="17" customFormat="1" x14ac:dyDescent="0.3">
      <c r="A56" s="28">
        <v>53</v>
      </c>
      <c r="B56" s="74">
        <v>7</v>
      </c>
      <c r="C56" s="58" t="s">
        <v>15</v>
      </c>
      <c r="D56" s="310">
        <v>13</v>
      </c>
      <c r="E56" s="76">
        <v>100</v>
      </c>
      <c r="F56" s="59">
        <v>45122</v>
      </c>
      <c r="G56" s="66">
        <v>4</v>
      </c>
      <c r="H56" s="76">
        <v>8</v>
      </c>
      <c r="I56" s="59">
        <v>45122</v>
      </c>
      <c r="J56" s="70">
        <v>4</v>
      </c>
      <c r="K56" s="60" t="s">
        <v>82</v>
      </c>
    </row>
    <row r="57" spans="1:11" s="17" customFormat="1" x14ac:dyDescent="0.3">
      <c r="A57" s="28">
        <v>54</v>
      </c>
      <c r="B57" s="74">
        <v>7</v>
      </c>
      <c r="C57" s="58" t="s">
        <v>15</v>
      </c>
      <c r="D57" s="310">
        <v>23</v>
      </c>
      <c r="E57" s="76">
        <v>200</v>
      </c>
      <c r="F57" s="59">
        <v>45153</v>
      </c>
      <c r="G57" s="66">
        <v>1</v>
      </c>
      <c r="H57" s="76">
        <v>4</v>
      </c>
      <c r="I57" s="59">
        <v>45153</v>
      </c>
      <c r="J57" s="70">
        <v>1</v>
      </c>
      <c r="K57" s="60" t="s">
        <v>79</v>
      </c>
    </row>
    <row r="58" spans="1:11" s="17" customFormat="1" x14ac:dyDescent="0.3">
      <c r="A58" s="28">
        <v>55</v>
      </c>
      <c r="B58" s="73">
        <v>5</v>
      </c>
      <c r="C58" s="58" t="s">
        <v>14</v>
      </c>
      <c r="D58" s="310">
        <v>21</v>
      </c>
      <c r="E58" s="76">
        <v>0</v>
      </c>
      <c r="F58" s="59">
        <v>45153</v>
      </c>
      <c r="G58" s="66">
        <v>2</v>
      </c>
      <c r="H58" s="76">
        <v>8</v>
      </c>
      <c r="I58" s="59">
        <v>45153</v>
      </c>
      <c r="J58" s="70">
        <v>2</v>
      </c>
      <c r="K58" s="60" t="s">
        <v>84</v>
      </c>
    </row>
    <row r="59" spans="1:11" s="17" customFormat="1" x14ac:dyDescent="0.3">
      <c r="A59" s="28">
        <v>56</v>
      </c>
      <c r="B59" s="74">
        <v>15</v>
      </c>
      <c r="C59" s="58" t="s">
        <v>22</v>
      </c>
      <c r="D59" s="310">
        <v>20</v>
      </c>
      <c r="E59" s="76">
        <v>0</v>
      </c>
      <c r="F59" s="59">
        <v>45153</v>
      </c>
      <c r="G59" s="66">
        <v>2</v>
      </c>
      <c r="H59" s="76">
        <v>4</v>
      </c>
      <c r="I59" s="59">
        <v>45153</v>
      </c>
      <c r="J59" s="70">
        <v>2</v>
      </c>
      <c r="K59" s="60" t="s">
        <v>84</v>
      </c>
    </row>
    <row r="60" spans="1:11" s="17" customFormat="1" x14ac:dyDescent="0.3">
      <c r="A60" s="28">
        <v>57</v>
      </c>
      <c r="B60" s="74">
        <v>14</v>
      </c>
      <c r="C60" s="58" t="s">
        <v>21</v>
      </c>
      <c r="D60" s="310">
        <v>19</v>
      </c>
      <c r="E60" s="76">
        <v>0</v>
      </c>
      <c r="F60" s="59">
        <v>45153</v>
      </c>
      <c r="G60" s="66">
        <v>2</v>
      </c>
      <c r="H60" s="76">
        <v>8</v>
      </c>
      <c r="I60" s="59">
        <v>45153</v>
      </c>
      <c r="J60" s="70">
        <v>2</v>
      </c>
      <c r="K60" s="60" t="s">
        <v>84</v>
      </c>
    </row>
    <row r="61" spans="1:11" x14ac:dyDescent="0.3">
      <c r="A61" s="28">
        <v>58</v>
      </c>
      <c r="B61" s="74">
        <v>9</v>
      </c>
      <c r="C61" s="58" t="s">
        <v>17</v>
      </c>
      <c r="D61" s="310">
        <v>18</v>
      </c>
      <c r="E61" s="76">
        <v>25</v>
      </c>
      <c r="F61" s="59">
        <v>45153</v>
      </c>
      <c r="G61" s="66">
        <v>3</v>
      </c>
      <c r="H61" s="76">
        <v>2</v>
      </c>
      <c r="I61" s="59">
        <v>45153</v>
      </c>
      <c r="J61" s="70">
        <v>3</v>
      </c>
      <c r="K61" s="60" t="s">
        <v>80</v>
      </c>
    </row>
    <row r="62" spans="1:11" x14ac:dyDescent="0.3">
      <c r="A62" s="28">
        <v>59</v>
      </c>
      <c r="B62" s="74">
        <v>4</v>
      </c>
      <c r="C62" s="58" t="s">
        <v>12</v>
      </c>
      <c r="D62" s="310">
        <v>16</v>
      </c>
      <c r="E62" s="76">
        <v>25</v>
      </c>
      <c r="F62" s="59">
        <v>45153</v>
      </c>
      <c r="G62" s="66">
        <v>4</v>
      </c>
      <c r="H62" s="76">
        <v>2</v>
      </c>
      <c r="I62" s="59">
        <v>45153</v>
      </c>
      <c r="J62" s="70">
        <v>4</v>
      </c>
      <c r="K62" s="60" t="s">
        <v>82</v>
      </c>
    </row>
    <row r="63" spans="1:11" x14ac:dyDescent="0.3">
      <c r="A63" s="28">
        <v>60</v>
      </c>
      <c r="B63" s="74">
        <v>12</v>
      </c>
      <c r="C63" s="58" t="s">
        <v>20</v>
      </c>
      <c r="D63" s="310">
        <v>15</v>
      </c>
      <c r="E63" s="76">
        <v>50</v>
      </c>
      <c r="F63" s="59">
        <v>45153</v>
      </c>
      <c r="G63" s="66">
        <v>4</v>
      </c>
      <c r="H63" s="76">
        <v>4</v>
      </c>
      <c r="I63" s="59">
        <v>45153</v>
      </c>
      <c r="J63" s="70">
        <v>4</v>
      </c>
      <c r="K63" s="60" t="s">
        <v>82</v>
      </c>
    </row>
    <row r="64" spans="1:11" x14ac:dyDescent="0.3">
      <c r="A64" s="257" t="s">
        <v>90</v>
      </c>
      <c r="B64" s="40">
        <v>2</v>
      </c>
      <c r="C64" s="56" t="s">
        <v>71</v>
      </c>
      <c r="D64" s="309" t="s">
        <v>371</v>
      </c>
      <c r="E64" s="263">
        <v>200</v>
      </c>
      <c r="F64" s="46">
        <v>45153</v>
      </c>
      <c r="G64" s="66" t="s">
        <v>371</v>
      </c>
      <c r="H64" s="76">
        <v>0</v>
      </c>
      <c r="I64" s="59">
        <v>45153</v>
      </c>
      <c r="J64" s="70" t="s">
        <v>371</v>
      </c>
      <c r="K64" s="47" t="s">
        <v>72</v>
      </c>
    </row>
    <row r="65" spans="1:11" x14ac:dyDescent="0.3">
      <c r="A65" s="81">
        <v>61</v>
      </c>
      <c r="B65" s="74">
        <v>4</v>
      </c>
      <c r="C65" s="61" t="s">
        <v>12</v>
      </c>
      <c r="D65" s="311">
        <v>22</v>
      </c>
      <c r="E65" s="77">
        <v>100</v>
      </c>
      <c r="F65" s="62">
        <v>45153</v>
      </c>
      <c r="G65" s="67">
        <v>1</v>
      </c>
      <c r="H65" s="77">
        <v>2</v>
      </c>
      <c r="I65" s="62">
        <v>45153</v>
      </c>
      <c r="J65" s="71">
        <v>1</v>
      </c>
      <c r="K65" s="63" t="s">
        <v>85</v>
      </c>
    </row>
    <row r="66" spans="1:11" x14ac:dyDescent="0.3">
      <c r="A66" s="28" t="s">
        <v>355</v>
      </c>
      <c r="B66" s="74">
        <v>3</v>
      </c>
      <c r="C66" s="58" t="s">
        <v>13</v>
      </c>
      <c r="D66" s="310" t="s">
        <v>97</v>
      </c>
      <c r="E66" s="76">
        <v>0</v>
      </c>
      <c r="F66" s="59">
        <v>45153</v>
      </c>
      <c r="G66" s="66" t="s">
        <v>97</v>
      </c>
      <c r="H66" s="76">
        <v>0</v>
      </c>
      <c r="I66" s="59">
        <v>45153</v>
      </c>
      <c r="J66" s="70" t="s">
        <v>97</v>
      </c>
      <c r="K66" s="60" t="s">
        <v>370</v>
      </c>
    </row>
    <row r="67" spans="1:11" x14ac:dyDescent="0.3">
      <c r="A67" s="28">
        <v>62</v>
      </c>
      <c r="B67" s="74">
        <v>8</v>
      </c>
      <c r="C67" s="61" t="s">
        <v>16</v>
      </c>
      <c r="D67" s="311">
        <v>24</v>
      </c>
      <c r="E67" s="77">
        <v>200</v>
      </c>
      <c r="F67" s="62">
        <v>45184</v>
      </c>
      <c r="G67" s="67">
        <v>1</v>
      </c>
      <c r="H67" s="77">
        <v>4</v>
      </c>
      <c r="I67" s="62">
        <v>45184</v>
      </c>
      <c r="J67" s="71">
        <v>1</v>
      </c>
      <c r="K67" s="63" t="s">
        <v>86</v>
      </c>
    </row>
    <row r="68" spans="1:11" x14ac:dyDescent="0.3">
      <c r="A68" s="28">
        <v>63</v>
      </c>
      <c r="B68" s="74">
        <v>14</v>
      </c>
      <c r="C68" s="61" t="s">
        <v>21</v>
      </c>
      <c r="D68" s="311">
        <v>19</v>
      </c>
      <c r="E68" s="77">
        <v>0</v>
      </c>
      <c r="F68" s="62">
        <v>45184</v>
      </c>
      <c r="G68" s="67">
        <v>3</v>
      </c>
      <c r="H68" s="77">
        <v>8</v>
      </c>
      <c r="I68" s="62">
        <v>45184</v>
      </c>
      <c r="J68" s="71">
        <v>3</v>
      </c>
      <c r="K68" s="63" t="s">
        <v>87</v>
      </c>
    </row>
    <row r="69" spans="1:11" x14ac:dyDescent="0.3">
      <c r="A69" s="28">
        <v>64</v>
      </c>
      <c r="B69" s="74">
        <v>9</v>
      </c>
      <c r="C69" s="61" t="s">
        <v>17</v>
      </c>
      <c r="D69" s="311">
        <v>18</v>
      </c>
      <c r="E69" s="77">
        <v>25</v>
      </c>
      <c r="F69" s="62">
        <v>45184</v>
      </c>
      <c r="G69" s="67">
        <v>4</v>
      </c>
      <c r="H69" s="77">
        <v>2</v>
      </c>
      <c r="I69" s="62">
        <v>45184</v>
      </c>
      <c r="J69" s="71">
        <v>4</v>
      </c>
      <c r="K69" s="63" t="s">
        <v>82</v>
      </c>
    </row>
    <row r="70" spans="1:11" x14ac:dyDescent="0.3">
      <c r="A70" s="28">
        <v>65</v>
      </c>
      <c r="B70" s="74">
        <v>15</v>
      </c>
      <c r="C70" s="64" t="s">
        <v>22</v>
      </c>
      <c r="D70" s="312">
        <v>20</v>
      </c>
      <c r="E70" s="78">
        <v>0</v>
      </c>
      <c r="F70" s="62">
        <v>45184</v>
      </c>
      <c r="G70" s="68">
        <v>3</v>
      </c>
      <c r="H70" s="78">
        <v>4</v>
      </c>
      <c r="I70" s="62">
        <v>45184</v>
      </c>
      <c r="J70" s="72">
        <v>3</v>
      </c>
      <c r="K70" s="79" t="s">
        <v>88</v>
      </c>
    </row>
    <row r="71" spans="1:11" x14ac:dyDescent="0.3">
      <c r="A71" s="28">
        <v>66</v>
      </c>
      <c r="B71" s="73">
        <v>5</v>
      </c>
      <c r="C71" s="249" t="s">
        <v>14</v>
      </c>
      <c r="D71" s="313">
        <v>21</v>
      </c>
      <c r="E71" s="250">
        <v>0</v>
      </c>
      <c r="F71" s="251">
        <v>45184</v>
      </c>
      <c r="G71" s="252">
        <v>3</v>
      </c>
      <c r="H71" s="250">
        <v>8</v>
      </c>
      <c r="I71" s="251">
        <v>45184</v>
      </c>
      <c r="J71" s="253">
        <v>3</v>
      </c>
      <c r="K71" s="254" t="s">
        <v>125</v>
      </c>
    </row>
    <row r="72" spans="1:11" x14ac:dyDescent="0.3">
      <c r="A72" s="28">
        <v>67</v>
      </c>
      <c r="B72" s="73">
        <v>5</v>
      </c>
      <c r="C72" s="80" t="s">
        <v>14</v>
      </c>
      <c r="D72" s="314">
        <v>21</v>
      </c>
      <c r="E72" s="37">
        <v>400</v>
      </c>
      <c r="F72" s="38">
        <v>45214</v>
      </c>
      <c r="G72" s="84">
        <v>4</v>
      </c>
      <c r="H72" s="37">
        <v>8</v>
      </c>
      <c r="I72" s="38">
        <v>45214</v>
      </c>
      <c r="J72" s="85">
        <v>4</v>
      </c>
      <c r="K72" s="39" t="s">
        <v>254</v>
      </c>
    </row>
    <row r="73" spans="1:11" x14ac:dyDescent="0.3">
      <c r="A73" s="28">
        <v>68</v>
      </c>
      <c r="B73" s="74">
        <v>6</v>
      </c>
      <c r="C73" s="80" t="s">
        <v>24</v>
      </c>
      <c r="D73" s="314">
        <v>25</v>
      </c>
      <c r="E73" s="37">
        <v>0</v>
      </c>
      <c r="F73" s="38">
        <v>45214</v>
      </c>
      <c r="G73" s="84">
        <v>1</v>
      </c>
      <c r="H73" s="37">
        <v>10</v>
      </c>
      <c r="I73" s="38">
        <v>45214</v>
      </c>
      <c r="J73" s="85">
        <v>1</v>
      </c>
      <c r="K73" s="39" t="s">
        <v>107</v>
      </c>
    </row>
    <row r="74" spans="1:11" x14ac:dyDescent="0.3">
      <c r="A74" s="28">
        <v>69</v>
      </c>
      <c r="B74" s="74">
        <v>7</v>
      </c>
      <c r="C74" s="80" t="s">
        <v>15</v>
      </c>
      <c r="D74" s="314">
        <v>26</v>
      </c>
      <c r="E74" s="37">
        <v>100</v>
      </c>
      <c r="F74" s="38">
        <v>45214</v>
      </c>
      <c r="G74" s="84">
        <v>1</v>
      </c>
      <c r="H74" s="37">
        <v>2</v>
      </c>
      <c r="I74" s="38">
        <v>45214</v>
      </c>
      <c r="J74" s="85">
        <v>1</v>
      </c>
      <c r="K74" s="39" t="s">
        <v>108</v>
      </c>
    </row>
    <row r="75" spans="1:11" x14ac:dyDescent="0.3">
      <c r="A75" s="28">
        <v>70</v>
      </c>
      <c r="B75" s="74">
        <v>14</v>
      </c>
      <c r="C75" s="80" t="s">
        <v>21</v>
      </c>
      <c r="D75" s="314">
        <v>19</v>
      </c>
      <c r="E75" s="37">
        <v>400</v>
      </c>
      <c r="F75" s="38">
        <v>45214</v>
      </c>
      <c r="G75" s="84">
        <v>4</v>
      </c>
      <c r="H75" s="37">
        <v>8</v>
      </c>
      <c r="I75" s="38">
        <v>45214</v>
      </c>
      <c r="J75" s="85">
        <v>4</v>
      </c>
      <c r="K75" s="39" t="s">
        <v>109</v>
      </c>
    </row>
    <row r="76" spans="1:11" x14ac:dyDescent="0.3">
      <c r="A76" s="28">
        <v>71</v>
      </c>
      <c r="B76" s="74">
        <v>3</v>
      </c>
      <c r="C76" s="80" t="s">
        <v>13</v>
      </c>
      <c r="D76" s="314">
        <v>27</v>
      </c>
      <c r="E76" s="37">
        <v>25</v>
      </c>
      <c r="F76" s="38">
        <v>45214</v>
      </c>
      <c r="G76" s="84">
        <v>1</v>
      </c>
      <c r="H76" s="37">
        <v>2</v>
      </c>
      <c r="I76" s="38">
        <v>45214</v>
      </c>
      <c r="J76" s="85">
        <v>1</v>
      </c>
      <c r="K76" s="39" t="s">
        <v>110</v>
      </c>
    </row>
    <row r="77" spans="1:11" x14ac:dyDescent="0.3">
      <c r="A77" s="28">
        <v>72</v>
      </c>
      <c r="B77" s="74">
        <v>15</v>
      </c>
      <c r="C77" s="80" t="s">
        <v>22</v>
      </c>
      <c r="D77" s="314">
        <v>20</v>
      </c>
      <c r="E77" s="37">
        <v>200</v>
      </c>
      <c r="F77" s="38">
        <v>45214</v>
      </c>
      <c r="G77" s="84">
        <v>4</v>
      </c>
      <c r="H77" s="37">
        <v>4</v>
      </c>
      <c r="I77" s="38">
        <v>45214</v>
      </c>
      <c r="J77" s="85">
        <v>4</v>
      </c>
      <c r="K77" s="39" t="s">
        <v>111</v>
      </c>
    </row>
    <row r="78" spans="1:11" x14ac:dyDescent="0.3">
      <c r="A78" s="28">
        <v>73</v>
      </c>
      <c r="B78" s="74">
        <v>3</v>
      </c>
      <c r="C78" s="80" t="s">
        <v>13</v>
      </c>
      <c r="D78" s="314">
        <v>27</v>
      </c>
      <c r="E78" s="37">
        <v>25</v>
      </c>
      <c r="F78" s="38">
        <v>45245</v>
      </c>
      <c r="G78" s="84">
        <v>2</v>
      </c>
      <c r="H78" s="37">
        <v>2</v>
      </c>
      <c r="I78" s="38">
        <v>45245</v>
      </c>
      <c r="J78" s="85">
        <v>2</v>
      </c>
      <c r="K78" s="39" t="s">
        <v>118</v>
      </c>
    </row>
    <row r="79" spans="1:11" x14ac:dyDescent="0.3">
      <c r="A79" s="28">
        <v>74</v>
      </c>
      <c r="B79" s="74">
        <v>9</v>
      </c>
      <c r="C79" s="80" t="s">
        <v>17</v>
      </c>
      <c r="D79" s="314">
        <v>28</v>
      </c>
      <c r="E79" s="37">
        <v>0</v>
      </c>
      <c r="F79" s="38">
        <v>45245</v>
      </c>
      <c r="G79" s="84">
        <v>1</v>
      </c>
      <c r="H79" s="37">
        <v>12</v>
      </c>
      <c r="I79" s="38">
        <v>45245</v>
      </c>
      <c r="J79" s="85">
        <v>1</v>
      </c>
      <c r="K79" s="39" t="s">
        <v>119</v>
      </c>
    </row>
    <row r="80" spans="1:11" x14ac:dyDescent="0.3">
      <c r="A80" s="28">
        <v>75</v>
      </c>
      <c r="B80" s="74">
        <v>12</v>
      </c>
      <c r="C80" s="80" t="s">
        <v>20</v>
      </c>
      <c r="D80" s="314">
        <v>30</v>
      </c>
      <c r="E80" s="37">
        <v>57.16</v>
      </c>
      <c r="F80" s="38">
        <v>45245</v>
      </c>
      <c r="G80" s="84">
        <v>1</v>
      </c>
      <c r="H80" s="37">
        <v>8</v>
      </c>
      <c r="I80" s="38">
        <v>45245</v>
      </c>
      <c r="J80" s="85">
        <v>1</v>
      </c>
      <c r="K80" s="39" t="s">
        <v>120</v>
      </c>
    </row>
    <row r="81" spans="1:11" x14ac:dyDescent="0.3">
      <c r="A81" s="28">
        <v>76</v>
      </c>
      <c r="B81" s="74">
        <v>16</v>
      </c>
      <c r="C81" s="80" t="s">
        <v>23</v>
      </c>
      <c r="D81" s="314">
        <v>29</v>
      </c>
      <c r="E81" s="37">
        <v>50</v>
      </c>
      <c r="F81" s="38">
        <v>45245</v>
      </c>
      <c r="G81" s="84">
        <v>1</v>
      </c>
      <c r="H81" s="37">
        <v>4</v>
      </c>
      <c r="I81" s="38">
        <v>45245</v>
      </c>
      <c r="J81" s="85">
        <v>1</v>
      </c>
      <c r="K81" s="39" t="s">
        <v>121</v>
      </c>
    </row>
    <row r="82" spans="1:11" x14ac:dyDescent="0.3">
      <c r="A82" s="28">
        <v>77</v>
      </c>
      <c r="B82" s="74">
        <v>6</v>
      </c>
      <c r="C82" s="80" t="s">
        <v>24</v>
      </c>
      <c r="D82" s="314">
        <v>25</v>
      </c>
      <c r="E82" s="37">
        <v>0</v>
      </c>
      <c r="F82" s="38">
        <v>45245</v>
      </c>
      <c r="G82" s="84">
        <v>2</v>
      </c>
      <c r="H82" s="37">
        <v>10</v>
      </c>
      <c r="I82" s="38">
        <v>45245</v>
      </c>
      <c r="J82" s="85">
        <v>2</v>
      </c>
      <c r="K82" s="39" t="s">
        <v>84</v>
      </c>
    </row>
    <row r="83" spans="1:11" x14ac:dyDescent="0.3">
      <c r="A83" s="256" t="s">
        <v>124</v>
      </c>
      <c r="B83" s="75">
        <v>1</v>
      </c>
      <c r="C83" s="80" t="s">
        <v>70</v>
      </c>
      <c r="D83" s="314" t="s">
        <v>366</v>
      </c>
      <c r="E83" s="37">
        <v>0</v>
      </c>
      <c r="F83" s="38">
        <v>45245</v>
      </c>
      <c r="G83" s="84" t="s">
        <v>366</v>
      </c>
      <c r="H83" s="37">
        <v>1.5</v>
      </c>
      <c r="I83" s="38">
        <v>45245</v>
      </c>
      <c r="J83" s="85" t="s">
        <v>366</v>
      </c>
      <c r="K83" s="39" t="s">
        <v>123</v>
      </c>
    </row>
    <row r="84" spans="1:11" x14ac:dyDescent="0.3">
      <c r="A84" s="35">
        <v>78</v>
      </c>
      <c r="B84" s="73">
        <v>5</v>
      </c>
      <c r="C84" s="80" t="s">
        <v>14</v>
      </c>
      <c r="D84" s="314">
        <v>31</v>
      </c>
      <c r="E84" s="37">
        <v>0</v>
      </c>
      <c r="F84" s="38">
        <v>45275</v>
      </c>
      <c r="G84" s="84">
        <v>2</v>
      </c>
      <c r="H84" s="37">
        <v>4</v>
      </c>
      <c r="I84" s="38">
        <v>45275</v>
      </c>
      <c r="J84" s="85">
        <v>2</v>
      </c>
      <c r="K84" s="39" t="s">
        <v>255</v>
      </c>
    </row>
    <row r="85" spans="1:11" x14ac:dyDescent="0.3">
      <c r="A85" s="35">
        <v>79</v>
      </c>
      <c r="B85" s="74">
        <v>6</v>
      </c>
      <c r="C85" s="80" t="s">
        <v>24</v>
      </c>
      <c r="D85" s="314">
        <v>25</v>
      </c>
      <c r="E85" s="37">
        <v>0</v>
      </c>
      <c r="F85" s="38">
        <v>45275</v>
      </c>
      <c r="G85" s="84">
        <v>2</v>
      </c>
      <c r="H85" s="37">
        <v>10</v>
      </c>
      <c r="I85" s="38">
        <v>45275</v>
      </c>
      <c r="J85" s="85">
        <v>2</v>
      </c>
      <c r="K85" s="39" t="s">
        <v>256</v>
      </c>
    </row>
    <row r="86" spans="1:11" x14ac:dyDescent="0.3">
      <c r="A86" s="35">
        <v>80</v>
      </c>
      <c r="B86" s="74">
        <v>12</v>
      </c>
      <c r="C86" s="80" t="s">
        <v>20</v>
      </c>
      <c r="D86" s="314">
        <v>30</v>
      </c>
      <c r="E86" s="37">
        <v>57.14</v>
      </c>
      <c r="F86" s="38">
        <v>45275</v>
      </c>
      <c r="G86" s="84">
        <v>2</v>
      </c>
      <c r="H86" s="37">
        <v>8</v>
      </c>
      <c r="I86" s="38">
        <v>45275</v>
      </c>
      <c r="J86" s="85">
        <v>2</v>
      </c>
      <c r="K86" s="39" t="s">
        <v>77</v>
      </c>
    </row>
    <row r="87" spans="1:11" x14ac:dyDescent="0.3">
      <c r="A87" s="35">
        <v>81</v>
      </c>
      <c r="B87" s="74">
        <v>16</v>
      </c>
      <c r="C87" s="80" t="s">
        <v>23</v>
      </c>
      <c r="D87" s="314">
        <v>29</v>
      </c>
      <c r="E87" s="37">
        <v>50</v>
      </c>
      <c r="F87" s="38">
        <v>45275</v>
      </c>
      <c r="G87" s="84">
        <v>2</v>
      </c>
      <c r="H87" s="37">
        <v>4</v>
      </c>
      <c r="I87" s="38">
        <v>45275</v>
      </c>
      <c r="J87" s="85">
        <v>2</v>
      </c>
      <c r="K87" s="39" t="s">
        <v>77</v>
      </c>
    </row>
    <row r="88" spans="1:11" x14ac:dyDescent="0.3">
      <c r="A88" s="35">
        <v>82</v>
      </c>
      <c r="B88" s="74">
        <v>9</v>
      </c>
      <c r="C88" s="80" t="s">
        <v>17</v>
      </c>
      <c r="D88" s="314">
        <v>28</v>
      </c>
      <c r="E88" s="37">
        <v>0</v>
      </c>
      <c r="F88" s="38">
        <v>45275</v>
      </c>
      <c r="G88" s="84">
        <v>2</v>
      </c>
      <c r="H88" s="37">
        <v>12</v>
      </c>
      <c r="I88" s="38">
        <v>45275</v>
      </c>
      <c r="J88" s="85">
        <v>2</v>
      </c>
      <c r="K88" s="39" t="s">
        <v>84</v>
      </c>
    </row>
    <row r="89" spans="1:11" x14ac:dyDescent="0.3">
      <c r="A89" s="35">
        <v>83</v>
      </c>
      <c r="B89" s="74">
        <v>14</v>
      </c>
      <c r="C89" s="80" t="s">
        <v>21</v>
      </c>
      <c r="D89" s="314">
        <v>32</v>
      </c>
      <c r="E89" s="37">
        <v>0</v>
      </c>
      <c r="F89" s="38">
        <v>45275</v>
      </c>
      <c r="G89" s="84">
        <v>1</v>
      </c>
      <c r="H89" s="37">
        <v>5</v>
      </c>
      <c r="I89" s="38">
        <v>45275</v>
      </c>
      <c r="J89" s="85">
        <v>2</v>
      </c>
      <c r="K89" s="39" t="s">
        <v>83</v>
      </c>
    </row>
    <row r="90" spans="1:11" x14ac:dyDescent="0.3">
      <c r="A90" s="35">
        <v>84</v>
      </c>
      <c r="B90" s="74">
        <v>3</v>
      </c>
      <c r="C90" s="80" t="s">
        <v>13</v>
      </c>
      <c r="D90" s="314">
        <v>27</v>
      </c>
      <c r="E90" s="37">
        <v>25</v>
      </c>
      <c r="F90" s="38">
        <v>45275</v>
      </c>
      <c r="G90" s="84">
        <v>2</v>
      </c>
      <c r="H90" s="37">
        <v>2</v>
      </c>
      <c r="I90" s="38">
        <v>45275</v>
      </c>
      <c r="J90" s="85">
        <v>2</v>
      </c>
      <c r="K90" s="39" t="s">
        <v>77</v>
      </c>
    </row>
    <row r="91" spans="1:11" x14ac:dyDescent="0.3">
      <c r="A91" s="35">
        <v>85</v>
      </c>
      <c r="B91" s="73">
        <v>5</v>
      </c>
      <c r="C91" s="80" t="s">
        <v>14</v>
      </c>
      <c r="D91" s="314">
        <v>31</v>
      </c>
      <c r="E91" s="37">
        <v>0</v>
      </c>
      <c r="F91" s="38">
        <v>45306</v>
      </c>
      <c r="G91" s="84">
        <v>3</v>
      </c>
      <c r="H91" s="37">
        <v>4</v>
      </c>
      <c r="I91" s="38">
        <v>45306</v>
      </c>
      <c r="J91" s="85">
        <v>3</v>
      </c>
      <c r="K91" s="39" t="s">
        <v>84</v>
      </c>
    </row>
    <row r="92" spans="1:11" x14ac:dyDescent="0.3">
      <c r="A92" s="35">
        <v>86</v>
      </c>
      <c r="B92" s="74">
        <v>6</v>
      </c>
      <c r="C92" s="80" t="s">
        <v>24</v>
      </c>
      <c r="D92" s="314">
        <v>25</v>
      </c>
      <c r="E92" s="37">
        <v>0</v>
      </c>
      <c r="F92" s="38">
        <v>45306</v>
      </c>
      <c r="G92" s="84">
        <v>3</v>
      </c>
      <c r="H92" s="37">
        <v>10</v>
      </c>
      <c r="I92" s="38">
        <v>45306</v>
      </c>
      <c r="J92" s="85">
        <v>3</v>
      </c>
      <c r="K92" s="39" t="s">
        <v>156</v>
      </c>
    </row>
    <row r="93" spans="1:11" x14ac:dyDescent="0.3">
      <c r="A93" s="35">
        <v>87</v>
      </c>
      <c r="B93" s="74">
        <v>12</v>
      </c>
      <c r="C93" s="80" t="s">
        <v>20</v>
      </c>
      <c r="D93" s="314">
        <v>30</v>
      </c>
      <c r="E93" s="37">
        <v>57.14</v>
      </c>
      <c r="F93" s="38">
        <v>45306</v>
      </c>
      <c r="G93" s="84">
        <v>3</v>
      </c>
      <c r="H93" s="37">
        <v>8</v>
      </c>
      <c r="I93" s="38">
        <v>45306</v>
      </c>
      <c r="J93" s="85">
        <v>3</v>
      </c>
      <c r="K93" s="39" t="s">
        <v>80</v>
      </c>
    </row>
    <row r="94" spans="1:11" x14ac:dyDescent="0.3">
      <c r="A94" s="35">
        <v>88</v>
      </c>
      <c r="B94" s="74">
        <v>16</v>
      </c>
      <c r="C94" s="80" t="s">
        <v>23</v>
      </c>
      <c r="D94" s="314">
        <v>29</v>
      </c>
      <c r="E94" s="37">
        <v>100</v>
      </c>
      <c r="F94" s="38">
        <v>45306</v>
      </c>
      <c r="G94" s="84">
        <v>4</v>
      </c>
      <c r="H94" s="37">
        <v>8</v>
      </c>
      <c r="I94" s="38">
        <v>45306</v>
      </c>
      <c r="J94" s="85">
        <v>4</v>
      </c>
      <c r="K94" s="39" t="s">
        <v>126</v>
      </c>
    </row>
    <row r="95" spans="1:11" x14ac:dyDescent="0.3">
      <c r="A95" s="35">
        <v>89</v>
      </c>
      <c r="B95" s="74">
        <v>9</v>
      </c>
      <c r="C95" s="80" t="s">
        <v>17</v>
      </c>
      <c r="D95" s="314">
        <v>28</v>
      </c>
      <c r="E95" s="37">
        <v>0</v>
      </c>
      <c r="F95" s="38">
        <v>45306</v>
      </c>
      <c r="G95" s="84">
        <v>3</v>
      </c>
      <c r="H95" s="37">
        <v>12</v>
      </c>
      <c r="I95" s="38">
        <v>45306</v>
      </c>
      <c r="J95" s="85">
        <v>3</v>
      </c>
      <c r="K95" s="39" t="s">
        <v>80</v>
      </c>
    </row>
    <row r="96" spans="1:11" x14ac:dyDescent="0.3">
      <c r="A96" s="35">
        <v>90</v>
      </c>
      <c r="B96" s="74">
        <v>14</v>
      </c>
      <c r="C96" s="80" t="s">
        <v>21</v>
      </c>
      <c r="D96" s="314">
        <v>32</v>
      </c>
      <c r="E96" s="37">
        <v>0</v>
      </c>
      <c r="F96" s="38">
        <v>45306</v>
      </c>
      <c r="G96" s="84">
        <v>2</v>
      </c>
      <c r="H96" s="37">
        <v>5</v>
      </c>
      <c r="I96" s="38">
        <v>45306</v>
      </c>
      <c r="J96" s="85">
        <v>3</v>
      </c>
      <c r="K96" s="39" t="s">
        <v>402</v>
      </c>
    </row>
    <row r="97" spans="1:11" x14ac:dyDescent="0.3">
      <c r="A97" s="35">
        <v>91</v>
      </c>
      <c r="B97" s="74">
        <v>3</v>
      </c>
      <c r="C97" s="80" t="s">
        <v>13</v>
      </c>
      <c r="D97" s="314">
        <v>27</v>
      </c>
      <c r="E97" s="37">
        <v>25</v>
      </c>
      <c r="F97" s="38">
        <v>45306</v>
      </c>
      <c r="G97" s="84">
        <v>3</v>
      </c>
      <c r="H97" s="37">
        <v>2</v>
      </c>
      <c r="I97" s="38">
        <v>45306</v>
      </c>
      <c r="J97" s="85">
        <v>3</v>
      </c>
      <c r="K97" s="39" t="s">
        <v>80</v>
      </c>
    </row>
    <row r="98" spans="1:11" x14ac:dyDescent="0.3">
      <c r="A98" s="248" t="s">
        <v>129</v>
      </c>
      <c r="B98" s="74">
        <v>14</v>
      </c>
      <c r="C98" s="80" t="s">
        <v>21</v>
      </c>
      <c r="D98" s="314">
        <v>32</v>
      </c>
      <c r="E98" s="37">
        <v>0</v>
      </c>
      <c r="F98" s="38">
        <v>45306</v>
      </c>
      <c r="G98" s="84">
        <v>4</v>
      </c>
      <c r="H98" s="37">
        <v>10</v>
      </c>
      <c r="I98" s="38">
        <v>45306</v>
      </c>
      <c r="J98" s="85">
        <v>4</v>
      </c>
      <c r="K98" s="39" t="s">
        <v>130</v>
      </c>
    </row>
    <row r="99" spans="1:11" x14ac:dyDescent="0.3">
      <c r="A99" s="247" t="s">
        <v>203</v>
      </c>
      <c r="B99" s="74">
        <v>14</v>
      </c>
      <c r="C99" s="56" t="s">
        <v>21</v>
      </c>
      <c r="D99" s="314">
        <v>32</v>
      </c>
      <c r="E99" s="37">
        <v>250</v>
      </c>
      <c r="F99" s="38">
        <v>45306</v>
      </c>
      <c r="G99" s="84">
        <v>4</v>
      </c>
      <c r="H99" s="37">
        <v>0</v>
      </c>
      <c r="I99" s="38">
        <v>45306</v>
      </c>
      <c r="J99" s="85">
        <v>4</v>
      </c>
      <c r="K99" s="39" t="s">
        <v>403</v>
      </c>
    </row>
    <row r="100" spans="1:11" x14ac:dyDescent="0.3">
      <c r="A100" s="35">
        <v>92</v>
      </c>
      <c r="B100" s="73">
        <v>5</v>
      </c>
      <c r="C100" s="80" t="s">
        <v>14</v>
      </c>
      <c r="D100" s="314">
        <v>31</v>
      </c>
      <c r="E100" s="37">
        <v>0</v>
      </c>
      <c r="F100" s="38">
        <v>45337</v>
      </c>
      <c r="G100" s="84">
        <v>4</v>
      </c>
      <c r="H100" s="37">
        <v>4</v>
      </c>
      <c r="I100" s="38">
        <v>45337</v>
      </c>
      <c r="J100" s="85">
        <v>4</v>
      </c>
      <c r="K100" s="39" t="s">
        <v>125</v>
      </c>
    </row>
    <row r="101" spans="1:11" x14ac:dyDescent="0.3">
      <c r="A101" s="35">
        <v>93</v>
      </c>
      <c r="B101" s="74">
        <v>6</v>
      </c>
      <c r="C101" s="80" t="s">
        <v>24</v>
      </c>
      <c r="D101" s="314">
        <v>25</v>
      </c>
      <c r="E101" s="37">
        <v>0</v>
      </c>
      <c r="F101" s="38">
        <v>45337</v>
      </c>
      <c r="G101" s="84">
        <v>5</v>
      </c>
      <c r="H101" s="37">
        <v>10</v>
      </c>
      <c r="I101" s="38">
        <v>45337</v>
      </c>
      <c r="J101" s="85">
        <v>5</v>
      </c>
      <c r="K101" s="39" t="s">
        <v>157</v>
      </c>
    </row>
    <row r="102" spans="1:11" x14ac:dyDescent="0.3">
      <c r="A102" s="35">
        <v>94</v>
      </c>
      <c r="B102" s="74">
        <v>12</v>
      </c>
      <c r="C102" s="80" t="s">
        <v>20</v>
      </c>
      <c r="D102" s="314">
        <v>30</v>
      </c>
      <c r="E102" s="37">
        <v>57.14</v>
      </c>
      <c r="F102" s="38">
        <v>45337</v>
      </c>
      <c r="G102" s="84">
        <v>4</v>
      </c>
      <c r="H102" s="37">
        <v>8</v>
      </c>
      <c r="I102" s="38">
        <v>45337</v>
      </c>
      <c r="J102" s="85">
        <v>4</v>
      </c>
      <c r="K102" s="39" t="s">
        <v>82</v>
      </c>
    </row>
    <row r="103" spans="1:11" x14ac:dyDescent="0.3">
      <c r="A103" s="35">
        <v>95</v>
      </c>
      <c r="B103" s="74">
        <v>15</v>
      </c>
      <c r="C103" s="80" t="s">
        <v>22</v>
      </c>
      <c r="D103" s="314">
        <v>34</v>
      </c>
      <c r="E103" s="37">
        <v>0</v>
      </c>
      <c r="F103" s="38">
        <v>45337</v>
      </c>
      <c r="G103" s="84">
        <v>1</v>
      </c>
      <c r="H103" s="37">
        <v>2</v>
      </c>
      <c r="I103" s="38">
        <v>45337</v>
      </c>
      <c r="J103" s="85">
        <v>1</v>
      </c>
      <c r="K103" s="39" t="s">
        <v>83</v>
      </c>
    </row>
    <row r="104" spans="1:11" x14ac:dyDescent="0.3">
      <c r="A104" s="35">
        <v>96</v>
      </c>
      <c r="B104" s="74">
        <v>9</v>
      </c>
      <c r="C104" s="80" t="s">
        <v>17</v>
      </c>
      <c r="D104" s="314">
        <v>28</v>
      </c>
      <c r="E104" s="37">
        <v>0</v>
      </c>
      <c r="F104" s="38">
        <v>45337</v>
      </c>
      <c r="G104" s="84">
        <v>4</v>
      </c>
      <c r="H104" s="37">
        <v>12</v>
      </c>
      <c r="I104" s="38">
        <v>45337</v>
      </c>
      <c r="J104" s="85">
        <v>4</v>
      </c>
      <c r="K104" s="39" t="s">
        <v>158</v>
      </c>
    </row>
    <row r="105" spans="1:11" x14ac:dyDescent="0.3">
      <c r="A105" s="247" t="s">
        <v>214</v>
      </c>
      <c r="B105" s="74">
        <v>9</v>
      </c>
      <c r="C105" s="80" t="s">
        <v>17</v>
      </c>
      <c r="D105" s="314">
        <v>28</v>
      </c>
      <c r="E105" s="37">
        <v>600</v>
      </c>
      <c r="F105" s="38">
        <v>45337</v>
      </c>
      <c r="G105" s="84">
        <v>4</v>
      </c>
      <c r="H105" s="37">
        <v>0</v>
      </c>
      <c r="I105" s="38">
        <v>45337</v>
      </c>
      <c r="J105" s="85">
        <v>4</v>
      </c>
      <c r="K105" s="39" t="s">
        <v>400</v>
      </c>
    </row>
    <row r="106" spans="1:11" x14ac:dyDescent="0.3">
      <c r="A106" s="35">
        <v>97</v>
      </c>
      <c r="B106" s="74">
        <v>14</v>
      </c>
      <c r="C106" s="80" t="s">
        <v>21</v>
      </c>
      <c r="D106" s="314">
        <v>33</v>
      </c>
      <c r="E106" s="37">
        <v>0</v>
      </c>
      <c r="F106" s="38">
        <v>45337</v>
      </c>
      <c r="G106" s="84">
        <v>1</v>
      </c>
      <c r="H106" s="37">
        <v>10</v>
      </c>
      <c r="I106" s="38">
        <v>45337</v>
      </c>
      <c r="J106" s="85">
        <v>1</v>
      </c>
      <c r="K106" s="39" t="s">
        <v>159</v>
      </c>
    </row>
    <row r="107" spans="1:11" x14ac:dyDescent="0.3">
      <c r="A107" s="256" t="s">
        <v>160</v>
      </c>
      <c r="B107" s="36">
        <v>1</v>
      </c>
      <c r="C107" s="80" t="s">
        <v>442</v>
      </c>
      <c r="D107" s="314" t="s">
        <v>366</v>
      </c>
      <c r="E107" s="37">
        <v>0</v>
      </c>
      <c r="F107" s="38">
        <v>45337</v>
      </c>
      <c r="G107" s="84" t="s">
        <v>366</v>
      </c>
      <c r="H107" s="37">
        <v>4</v>
      </c>
      <c r="I107" s="38">
        <v>45337</v>
      </c>
      <c r="J107" s="85" t="s">
        <v>366</v>
      </c>
      <c r="K107" s="39" t="s">
        <v>161</v>
      </c>
    </row>
    <row r="108" spans="1:11" x14ac:dyDescent="0.3">
      <c r="A108" s="256" t="s">
        <v>162</v>
      </c>
      <c r="B108" s="36">
        <v>1</v>
      </c>
      <c r="C108" s="80" t="s">
        <v>443</v>
      </c>
      <c r="D108" s="314" t="s">
        <v>366</v>
      </c>
      <c r="E108" s="37">
        <v>0</v>
      </c>
      <c r="F108" s="38">
        <v>45337</v>
      </c>
      <c r="G108" s="84" t="s">
        <v>366</v>
      </c>
      <c r="H108" s="37">
        <v>4</v>
      </c>
      <c r="I108" s="38">
        <v>45337</v>
      </c>
      <c r="J108" s="85" t="s">
        <v>366</v>
      </c>
      <c r="K108" s="39" t="s">
        <v>161</v>
      </c>
    </row>
    <row r="109" spans="1:11" x14ac:dyDescent="0.3">
      <c r="A109" s="35">
        <v>98</v>
      </c>
      <c r="B109" s="74">
        <v>12</v>
      </c>
      <c r="C109" s="80" t="s">
        <v>20</v>
      </c>
      <c r="D109" s="314">
        <v>30</v>
      </c>
      <c r="E109" s="37">
        <v>57.14</v>
      </c>
      <c r="F109" s="38">
        <v>45366</v>
      </c>
      <c r="G109" s="84">
        <v>5</v>
      </c>
      <c r="H109" s="37">
        <v>8</v>
      </c>
      <c r="I109" s="38">
        <v>45366</v>
      </c>
      <c r="J109" s="85">
        <v>5</v>
      </c>
      <c r="K109" s="39" t="s">
        <v>194</v>
      </c>
    </row>
    <row r="110" spans="1:11" x14ac:dyDescent="0.3">
      <c r="A110" s="35">
        <v>99</v>
      </c>
      <c r="B110" s="73">
        <v>5</v>
      </c>
      <c r="C110" s="80" t="s">
        <v>14</v>
      </c>
      <c r="D110" s="314">
        <v>31</v>
      </c>
      <c r="E110" s="37">
        <v>200</v>
      </c>
      <c r="F110" s="38">
        <v>45366</v>
      </c>
      <c r="G110" s="84">
        <v>4</v>
      </c>
      <c r="H110" s="37">
        <v>4</v>
      </c>
      <c r="I110" s="38">
        <v>45366</v>
      </c>
      <c r="J110" s="85">
        <v>4</v>
      </c>
      <c r="K110" s="39" t="s">
        <v>254</v>
      </c>
    </row>
    <row r="111" spans="1:11" x14ac:dyDescent="0.3">
      <c r="A111" s="35">
        <v>100</v>
      </c>
      <c r="B111" s="74">
        <v>6</v>
      </c>
      <c r="C111" s="80" t="s">
        <v>24</v>
      </c>
      <c r="D111" s="314">
        <v>25</v>
      </c>
      <c r="E111" s="37">
        <v>0</v>
      </c>
      <c r="F111" s="38">
        <v>45366</v>
      </c>
      <c r="G111" s="84">
        <v>6</v>
      </c>
      <c r="H111" s="37">
        <v>10</v>
      </c>
      <c r="I111" s="38">
        <v>45366</v>
      </c>
      <c r="J111" s="85">
        <v>6</v>
      </c>
      <c r="K111" s="39" t="s">
        <v>196</v>
      </c>
    </row>
    <row r="112" spans="1:11" x14ac:dyDescent="0.3">
      <c r="A112" s="248" t="s">
        <v>244</v>
      </c>
      <c r="B112" s="74">
        <v>6</v>
      </c>
      <c r="C112" s="80" t="s">
        <v>24</v>
      </c>
      <c r="D112" s="314">
        <v>25</v>
      </c>
      <c r="E112" s="37">
        <v>500</v>
      </c>
      <c r="F112" s="38">
        <v>45366</v>
      </c>
      <c r="G112" s="84">
        <v>6</v>
      </c>
      <c r="H112" s="37">
        <v>0</v>
      </c>
      <c r="I112" s="38">
        <v>45366</v>
      </c>
      <c r="J112" s="85">
        <v>6</v>
      </c>
      <c r="K112" s="39" t="s">
        <v>401</v>
      </c>
    </row>
    <row r="113" spans="1:11" x14ac:dyDescent="0.3">
      <c r="A113" s="35">
        <v>101</v>
      </c>
      <c r="B113" s="74">
        <v>15</v>
      </c>
      <c r="C113" s="80" t="s">
        <v>22</v>
      </c>
      <c r="D113" s="314">
        <v>34</v>
      </c>
      <c r="E113" s="37">
        <v>0</v>
      </c>
      <c r="F113" s="38">
        <v>45366</v>
      </c>
      <c r="G113" s="84">
        <v>3</v>
      </c>
      <c r="H113" s="37">
        <v>2</v>
      </c>
      <c r="I113" s="38">
        <v>45366</v>
      </c>
      <c r="J113" s="85">
        <v>3</v>
      </c>
      <c r="K113" s="39" t="s">
        <v>406</v>
      </c>
    </row>
    <row r="114" spans="1:11" x14ac:dyDescent="0.3">
      <c r="A114" s="35">
        <v>102</v>
      </c>
      <c r="B114" s="74">
        <v>9</v>
      </c>
      <c r="C114" s="80" t="s">
        <v>17</v>
      </c>
      <c r="D114" s="314">
        <v>35</v>
      </c>
      <c r="E114" s="37">
        <v>120</v>
      </c>
      <c r="F114" s="38">
        <v>45366</v>
      </c>
      <c r="G114" s="84">
        <v>1</v>
      </c>
      <c r="H114" s="37">
        <v>12</v>
      </c>
      <c r="I114" s="38">
        <v>45366</v>
      </c>
      <c r="J114" s="85">
        <v>1</v>
      </c>
      <c r="K114" s="39" t="s">
        <v>195</v>
      </c>
    </row>
    <row r="115" spans="1:11" x14ac:dyDescent="0.3">
      <c r="A115" s="35">
        <v>103</v>
      </c>
      <c r="B115" s="74">
        <v>14</v>
      </c>
      <c r="C115" s="80" t="s">
        <v>21</v>
      </c>
      <c r="D115" s="314">
        <v>33</v>
      </c>
      <c r="E115" s="37">
        <v>0</v>
      </c>
      <c r="F115" s="38">
        <v>45366</v>
      </c>
      <c r="G115" s="84">
        <v>2</v>
      </c>
      <c r="H115" s="37">
        <v>10</v>
      </c>
      <c r="I115" s="38">
        <v>45366</v>
      </c>
      <c r="J115" s="85">
        <v>2</v>
      </c>
      <c r="K115" s="39" t="s">
        <v>84</v>
      </c>
    </row>
    <row r="116" spans="1:11" x14ac:dyDescent="0.3">
      <c r="A116" s="248" t="s">
        <v>248</v>
      </c>
      <c r="B116" s="74">
        <v>14</v>
      </c>
      <c r="C116" s="80" t="s">
        <v>21</v>
      </c>
      <c r="D116" s="314">
        <v>33</v>
      </c>
      <c r="E116" s="37">
        <v>500</v>
      </c>
      <c r="F116" s="38">
        <v>45366</v>
      </c>
      <c r="G116" s="84">
        <v>2</v>
      </c>
      <c r="H116" s="37">
        <v>0</v>
      </c>
      <c r="I116" s="38">
        <v>45366</v>
      </c>
      <c r="J116" s="85">
        <v>2</v>
      </c>
      <c r="K116" s="39" t="s">
        <v>404</v>
      </c>
    </row>
    <row r="117" spans="1:11" x14ac:dyDescent="0.3">
      <c r="A117" s="35">
        <v>104</v>
      </c>
      <c r="B117" s="74">
        <v>4</v>
      </c>
      <c r="C117" s="80" t="s">
        <v>12</v>
      </c>
      <c r="D117" s="314">
        <v>36</v>
      </c>
      <c r="E117" s="37">
        <v>25</v>
      </c>
      <c r="F117" s="38">
        <v>45366</v>
      </c>
      <c r="G117" s="84">
        <v>1</v>
      </c>
      <c r="H117" s="37">
        <v>2</v>
      </c>
      <c r="I117" s="38">
        <v>45366</v>
      </c>
      <c r="J117" s="85">
        <v>1</v>
      </c>
      <c r="K117" s="39" t="s">
        <v>76</v>
      </c>
    </row>
    <row r="118" spans="1:11" x14ac:dyDescent="0.3">
      <c r="A118" s="248" t="s">
        <v>274</v>
      </c>
      <c r="B118" s="74">
        <v>15</v>
      </c>
      <c r="C118" s="80" t="s">
        <v>22</v>
      </c>
      <c r="D118" s="314">
        <v>34</v>
      </c>
      <c r="E118" s="37">
        <v>0</v>
      </c>
      <c r="F118" s="38">
        <v>45366</v>
      </c>
      <c r="G118" s="84">
        <v>3</v>
      </c>
      <c r="H118" s="37">
        <v>6</v>
      </c>
      <c r="I118" s="38">
        <v>45366</v>
      </c>
      <c r="J118" s="85">
        <v>3</v>
      </c>
      <c r="K118" s="39" t="s">
        <v>407</v>
      </c>
    </row>
    <row r="119" spans="1:11" x14ac:dyDescent="0.3">
      <c r="A119" s="248" t="s">
        <v>310</v>
      </c>
      <c r="B119" s="74">
        <v>15</v>
      </c>
      <c r="C119" s="80" t="s">
        <v>22</v>
      </c>
      <c r="D119" s="314">
        <v>34</v>
      </c>
      <c r="E119" s="37">
        <v>100</v>
      </c>
      <c r="F119" s="38">
        <v>45366</v>
      </c>
      <c r="G119" s="84">
        <v>3</v>
      </c>
      <c r="H119" s="37">
        <v>0</v>
      </c>
      <c r="I119" s="38">
        <v>45366</v>
      </c>
      <c r="J119" s="85">
        <v>3</v>
      </c>
      <c r="K119" s="39" t="s">
        <v>405</v>
      </c>
    </row>
    <row r="120" spans="1:11" x14ac:dyDescent="0.3">
      <c r="A120" s="35">
        <v>105</v>
      </c>
      <c r="B120" s="74">
        <v>4</v>
      </c>
      <c r="C120" s="80" t="s">
        <v>12</v>
      </c>
      <c r="D120" s="314">
        <v>36</v>
      </c>
      <c r="E120" s="37">
        <v>25</v>
      </c>
      <c r="F120" s="38">
        <v>45397</v>
      </c>
      <c r="G120" s="84">
        <v>2</v>
      </c>
      <c r="H120" s="37">
        <v>2</v>
      </c>
      <c r="I120" s="38">
        <v>45397</v>
      </c>
      <c r="J120" s="85">
        <v>2</v>
      </c>
      <c r="K120" s="39" t="s">
        <v>77</v>
      </c>
    </row>
    <row r="121" spans="1:11" x14ac:dyDescent="0.3">
      <c r="A121" s="35">
        <v>106</v>
      </c>
      <c r="B121" s="73">
        <v>5</v>
      </c>
      <c r="C121" s="80" t="s">
        <v>14</v>
      </c>
      <c r="D121" s="314">
        <v>37</v>
      </c>
      <c r="E121" s="37">
        <v>100</v>
      </c>
      <c r="F121" s="38">
        <v>45397</v>
      </c>
      <c r="G121" s="84">
        <v>1</v>
      </c>
      <c r="H121" s="37">
        <v>20</v>
      </c>
      <c r="I121" s="38">
        <v>45397</v>
      </c>
      <c r="J121" s="85">
        <v>1</v>
      </c>
      <c r="K121" s="39" t="s">
        <v>76</v>
      </c>
    </row>
    <row r="122" spans="1:11" x14ac:dyDescent="0.3">
      <c r="A122" s="35">
        <v>107</v>
      </c>
      <c r="B122" s="74">
        <v>9</v>
      </c>
      <c r="C122" s="80" t="s">
        <v>17</v>
      </c>
      <c r="D122" s="314">
        <v>35</v>
      </c>
      <c r="E122" s="37">
        <v>120</v>
      </c>
      <c r="F122" s="38">
        <v>45397</v>
      </c>
      <c r="G122" s="84">
        <v>1</v>
      </c>
      <c r="H122" s="37">
        <v>12</v>
      </c>
      <c r="I122" s="38">
        <v>45397</v>
      </c>
      <c r="J122" s="85">
        <v>1</v>
      </c>
      <c r="K122" s="39" t="s">
        <v>76</v>
      </c>
    </row>
    <row r="123" spans="1:11" x14ac:dyDescent="0.3">
      <c r="A123" s="35">
        <v>108</v>
      </c>
      <c r="B123" s="74">
        <v>10</v>
      </c>
      <c r="C123" s="80" t="s">
        <v>18</v>
      </c>
      <c r="D123" s="314">
        <v>40</v>
      </c>
      <c r="E123" s="37">
        <v>20</v>
      </c>
      <c r="F123" s="38">
        <v>45397</v>
      </c>
      <c r="G123" s="84">
        <v>1</v>
      </c>
      <c r="H123" s="37">
        <v>2</v>
      </c>
      <c r="I123" s="38">
        <v>45397</v>
      </c>
      <c r="J123" s="85">
        <v>1</v>
      </c>
      <c r="K123" s="39" t="s">
        <v>76</v>
      </c>
    </row>
    <row r="124" spans="1:11" x14ac:dyDescent="0.3">
      <c r="A124" s="35">
        <v>109</v>
      </c>
      <c r="B124" s="74">
        <v>12</v>
      </c>
      <c r="C124" s="80" t="s">
        <v>20</v>
      </c>
      <c r="D124" s="314">
        <v>30</v>
      </c>
      <c r="E124" s="37">
        <v>57.14</v>
      </c>
      <c r="F124" s="38">
        <v>45397</v>
      </c>
      <c r="G124" s="84">
        <v>6</v>
      </c>
      <c r="H124" s="37">
        <v>8</v>
      </c>
      <c r="I124" s="38">
        <v>45397</v>
      </c>
      <c r="J124" s="85">
        <v>6</v>
      </c>
      <c r="K124" s="39" t="s">
        <v>205</v>
      </c>
    </row>
    <row r="125" spans="1:11" x14ac:dyDescent="0.3">
      <c r="A125" s="35">
        <v>110</v>
      </c>
      <c r="B125" s="74">
        <v>14</v>
      </c>
      <c r="C125" s="80" t="s">
        <v>21</v>
      </c>
      <c r="D125" s="314">
        <v>39</v>
      </c>
      <c r="E125" s="37">
        <v>100</v>
      </c>
      <c r="F125" s="38">
        <v>45397</v>
      </c>
      <c r="G125" s="84">
        <v>1</v>
      </c>
      <c r="H125" s="37">
        <v>8</v>
      </c>
      <c r="I125" s="38">
        <v>45397</v>
      </c>
      <c r="J125" s="85">
        <v>1</v>
      </c>
      <c r="K125" s="39" t="s">
        <v>76</v>
      </c>
    </row>
    <row r="126" spans="1:11" x14ac:dyDescent="0.3">
      <c r="A126" s="35">
        <v>111</v>
      </c>
      <c r="B126" s="74">
        <v>15</v>
      </c>
      <c r="C126" s="80" t="s">
        <v>22</v>
      </c>
      <c r="D126" s="314">
        <v>38</v>
      </c>
      <c r="E126" s="37">
        <v>50</v>
      </c>
      <c r="F126" s="38">
        <v>45397</v>
      </c>
      <c r="G126" s="84">
        <v>1</v>
      </c>
      <c r="H126" s="37">
        <v>12</v>
      </c>
      <c r="I126" s="38">
        <v>45397</v>
      </c>
      <c r="J126" s="85">
        <v>1</v>
      </c>
      <c r="K126" s="39" t="s">
        <v>76</v>
      </c>
    </row>
    <row r="127" spans="1:11" x14ac:dyDescent="0.3">
      <c r="A127" s="35">
        <v>112</v>
      </c>
      <c r="B127" s="73">
        <v>5</v>
      </c>
      <c r="C127" s="80" t="s">
        <v>14</v>
      </c>
      <c r="D127" s="314">
        <v>37</v>
      </c>
      <c r="E127" s="37">
        <v>100</v>
      </c>
      <c r="F127" s="38">
        <v>45427</v>
      </c>
      <c r="G127" s="84">
        <v>2</v>
      </c>
      <c r="H127" s="37">
        <v>20</v>
      </c>
      <c r="I127" s="38">
        <v>45427</v>
      </c>
      <c r="J127" s="85">
        <v>2</v>
      </c>
      <c r="K127" s="39" t="s">
        <v>77</v>
      </c>
    </row>
    <row r="128" spans="1:11" x14ac:dyDescent="0.3">
      <c r="A128" s="35">
        <v>113</v>
      </c>
      <c r="B128" s="74">
        <v>4</v>
      </c>
      <c r="C128" s="80" t="s">
        <v>12</v>
      </c>
      <c r="D128" s="314">
        <v>36</v>
      </c>
      <c r="E128" s="37">
        <v>25</v>
      </c>
      <c r="F128" s="38">
        <v>45427</v>
      </c>
      <c r="G128" s="84">
        <v>3</v>
      </c>
      <c r="H128" s="37">
        <v>2</v>
      </c>
      <c r="I128" s="38">
        <v>45427</v>
      </c>
      <c r="J128" s="85">
        <v>3</v>
      </c>
      <c r="K128" s="39" t="s">
        <v>80</v>
      </c>
    </row>
    <row r="129" spans="1:11" x14ac:dyDescent="0.3">
      <c r="A129" s="35">
        <v>114</v>
      </c>
      <c r="B129" s="74">
        <v>12</v>
      </c>
      <c r="C129" s="80" t="s">
        <v>20</v>
      </c>
      <c r="D129" s="314">
        <v>30</v>
      </c>
      <c r="E129" s="37">
        <v>57.14</v>
      </c>
      <c r="F129" s="38">
        <v>45427</v>
      </c>
      <c r="G129" s="84">
        <v>7</v>
      </c>
      <c r="H129" s="37">
        <v>8</v>
      </c>
      <c r="I129" s="38">
        <v>45427</v>
      </c>
      <c r="J129" s="85">
        <v>7</v>
      </c>
      <c r="K129" s="39" t="s">
        <v>209</v>
      </c>
    </row>
    <row r="130" spans="1:11" x14ac:dyDescent="0.3">
      <c r="A130" s="35">
        <v>115</v>
      </c>
      <c r="B130" s="74">
        <v>15</v>
      </c>
      <c r="C130" s="80" t="s">
        <v>22</v>
      </c>
      <c r="D130" s="314">
        <v>38</v>
      </c>
      <c r="E130" s="37">
        <v>50</v>
      </c>
      <c r="F130" s="38">
        <v>45427</v>
      </c>
      <c r="G130" s="84">
        <v>2</v>
      </c>
      <c r="H130" s="37">
        <v>12</v>
      </c>
      <c r="I130" s="38">
        <v>45427</v>
      </c>
      <c r="J130" s="85">
        <v>2</v>
      </c>
      <c r="K130" s="39" t="s">
        <v>77</v>
      </c>
    </row>
    <row r="131" spans="1:11" x14ac:dyDescent="0.3">
      <c r="A131" s="35">
        <v>116</v>
      </c>
      <c r="B131" s="74">
        <v>10</v>
      </c>
      <c r="C131" s="80" t="s">
        <v>18</v>
      </c>
      <c r="D131" s="314">
        <v>40</v>
      </c>
      <c r="E131" s="37">
        <v>20</v>
      </c>
      <c r="F131" s="38">
        <v>45427</v>
      </c>
      <c r="G131" s="84">
        <v>2</v>
      </c>
      <c r="H131" s="37">
        <v>2</v>
      </c>
      <c r="I131" s="38">
        <v>45427</v>
      </c>
      <c r="J131" s="85">
        <v>2</v>
      </c>
      <c r="K131" s="39" t="s">
        <v>77</v>
      </c>
    </row>
    <row r="132" spans="1:11" x14ac:dyDescent="0.3">
      <c r="A132" s="35">
        <v>117</v>
      </c>
      <c r="B132" s="74">
        <v>9</v>
      </c>
      <c r="C132" s="80" t="s">
        <v>17</v>
      </c>
      <c r="D132" s="314">
        <v>35</v>
      </c>
      <c r="E132" s="37">
        <v>120</v>
      </c>
      <c r="F132" s="38">
        <v>45427</v>
      </c>
      <c r="G132" s="84">
        <v>3</v>
      </c>
      <c r="H132" s="37">
        <v>12</v>
      </c>
      <c r="I132" s="38">
        <v>45427</v>
      </c>
      <c r="J132" s="85">
        <v>3</v>
      </c>
      <c r="K132" s="39" t="s">
        <v>80</v>
      </c>
    </row>
    <row r="133" spans="1:11" x14ac:dyDescent="0.3">
      <c r="A133" s="35">
        <v>118</v>
      </c>
      <c r="B133" s="74">
        <v>14</v>
      </c>
      <c r="C133" s="80" t="s">
        <v>21</v>
      </c>
      <c r="D133" s="314">
        <v>39</v>
      </c>
      <c r="E133" s="37">
        <v>100</v>
      </c>
      <c r="F133" s="38">
        <v>45427</v>
      </c>
      <c r="G133" s="84">
        <v>2</v>
      </c>
      <c r="H133" s="37">
        <v>8</v>
      </c>
      <c r="I133" s="38">
        <v>45427</v>
      </c>
      <c r="J133" s="85">
        <v>2</v>
      </c>
      <c r="K133" s="39" t="s">
        <v>77</v>
      </c>
    </row>
    <row r="134" spans="1:11" x14ac:dyDescent="0.3">
      <c r="A134" s="256" t="s">
        <v>212</v>
      </c>
      <c r="B134" s="73">
        <v>1</v>
      </c>
      <c r="C134" s="56" t="s">
        <v>19</v>
      </c>
      <c r="D134" s="309" t="s">
        <v>366</v>
      </c>
      <c r="E134" s="34">
        <v>0</v>
      </c>
      <c r="F134" s="38">
        <v>45427</v>
      </c>
      <c r="G134" s="65" t="s">
        <v>366</v>
      </c>
      <c r="H134" s="34">
        <v>4</v>
      </c>
      <c r="I134" s="38">
        <v>45427</v>
      </c>
      <c r="J134" s="69" t="s">
        <v>366</v>
      </c>
      <c r="K134" s="41" t="s">
        <v>161</v>
      </c>
    </row>
    <row r="135" spans="1:11" x14ac:dyDescent="0.3">
      <c r="A135" s="35">
        <v>119</v>
      </c>
      <c r="B135" s="73">
        <v>5</v>
      </c>
      <c r="C135" s="80" t="s">
        <v>14</v>
      </c>
      <c r="D135" s="314">
        <v>37</v>
      </c>
      <c r="E135" s="37">
        <v>100</v>
      </c>
      <c r="F135" s="38">
        <v>45458</v>
      </c>
      <c r="G135" s="84">
        <v>3</v>
      </c>
      <c r="H135" s="37">
        <v>20</v>
      </c>
      <c r="I135" s="38">
        <v>45458</v>
      </c>
      <c r="J135" s="85">
        <v>3</v>
      </c>
      <c r="K135" s="39" t="s">
        <v>80</v>
      </c>
    </row>
    <row r="136" spans="1:11" x14ac:dyDescent="0.3">
      <c r="A136" s="35">
        <v>120</v>
      </c>
      <c r="B136" s="74">
        <v>4</v>
      </c>
      <c r="C136" s="80" t="s">
        <v>12</v>
      </c>
      <c r="D136" s="314">
        <v>36</v>
      </c>
      <c r="E136" s="37">
        <v>25</v>
      </c>
      <c r="F136" s="38">
        <v>45458</v>
      </c>
      <c r="G136" s="84">
        <v>4</v>
      </c>
      <c r="H136" s="37">
        <v>2</v>
      </c>
      <c r="I136" s="38">
        <v>45458</v>
      </c>
      <c r="J136" s="85">
        <v>4</v>
      </c>
      <c r="K136" s="39" t="s">
        <v>82</v>
      </c>
    </row>
    <row r="137" spans="1:11" x14ac:dyDescent="0.3">
      <c r="A137" s="35">
        <v>121</v>
      </c>
      <c r="B137" s="74">
        <v>12</v>
      </c>
      <c r="C137" s="80" t="s">
        <v>20</v>
      </c>
      <c r="D137" s="314">
        <v>42</v>
      </c>
      <c r="E137" s="37">
        <v>85.74</v>
      </c>
      <c r="F137" s="38">
        <v>45458</v>
      </c>
      <c r="G137" s="84">
        <v>1</v>
      </c>
      <c r="H137" s="37">
        <v>12</v>
      </c>
      <c r="I137" s="38">
        <v>45458</v>
      </c>
      <c r="J137" s="85">
        <v>1</v>
      </c>
      <c r="K137" s="39" t="s">
        <v>76</v>
      </c>
    </row>
    <row r="138" spans="1:11" x14ac:dyDescent="0.3">
      <c r="A138" s="35">
        <v>122</v>
      </c>
      <c r="B138" s="74">
        <v>15</v>
      </c>
      <c r="C138" s="80" t="s">
        <v>22</v>
      </c>
      <c r="D138" s="314">
        <v>38</v>
      </c>
      <c r="E138" s="37">
        <v>50</v>
      </c>
      <c r="F138" s="38">
        <v>45458</v>
      </c>
      <c r="G138" s="84">
        <v>3</v>
      </c>
      <c r="H138" s="37">
        <v>12</v>
      </c>
      <c r="I138" s="38">
        <v>45458</v>
      </c>
      <c r="J138" s="85">
        <v>3</v>
      </c>
      <c r="K138" s="39" t="s">
        <v>80</v>
      </c>
    </row>
    <row r="139" spans="1:11" x14ac:dyDescent="0.3">
      <c r="A139" s="35">
        <v>123</v>
      </c>
      <c r="B139" s="74">
        <v>10</v>
      </c>
      <c r="C139" s="80" t="s">
        <v>18</v>
      </c>
      <c r="D139" s="314">
        <v>40</v>
      </c>
      <c r="E139" s="37">
        <v>20</v>
      </c>
      <c r="F139" s="38">
        <v>45458</v>
      </c>
      <c r="G139" s="84">
        <v>3</v>
      </c>
      <c r="H139" s="37">
        <v>2</v>
      </c>
      <c r="I139" s="38">
        <v>45458</v>
      </c>
      <c r="J139" s="85">
        <v>3</v>
      </c>
      <c r="K139" s="39" t="s">
        <v>80</v>
      </c>
    </row>
    <row r="140" spans="1:11" x14ac:dyDescent="0.3">
      <c r="A140" s="35">
        <v>124</v>
      </c>
      <c r="B140" s="36">
        <v>7</v>
      </c>
      <c r="C140" s="80" t="s">
        <v>15</v>
      </c>
      <c r="D140" s="314">
        <v>43</v>
      </c>
      <c r="E140" s="37">
        <v>100</v>
      </c>
      <c r="F140" s="38">
        <v>45458</v>
      </c>
      <c r="G140" s="84">
        <v>1</v>
      </c>
      <c r="H140" s="37">
        <v>8</v>
      </c>
      <c r="I140" s="38">
        <v>45458</v>
      </c>
      <c r="J140" s="85">
        <v>1</v>
      </c>
      <c r="K140" s="39" t="s">
        <v>76</v>
      </c>
    </row>
    <row r="141" spans="1:11" x14ac:dyDescent="0.3">
      <c r="A141" s="35">
        <v>125</v>
      </c>
      <c r="B141" s="74">
        <v>9</v>
      </c>
      <c r="C141" s="80" t="s">
        <v>17</v>
      </c>
      <c r="D141" s="314">
        <v>35</v>
      </c>
      <c r="E141" s="37">
        <v>120</v>
      </c>
      <c r="F141" s="38">
        <v>45458</v>
      </c>
      <c r="G141" s="84">
        <v>4</v>
      </c>
      <c r="H141" s="37">
        <v>12</v>
      </c>
      <c r="I141" s="38">
        <v>45458</v>
      </c>
      <c r="J141" s="85">
        <v>4</v>
      </c>
      <c r="K141" s="39" t="s">
        <v>82</v>
      </c>
    </row>
    <row r="142" spans="1:11" x14ac:dyDescent="0.3">
      <c r="A142" s="35">
        <v>126</v>
      </c>
      <c r="B142" s="74">
        <v>14</v>
      </c>
      <c r="C142" s="80" t="s">
        <v>21</v>
      </c>
      <c r="D142" s="314">
        <v>39</v>
      </c>
      <c r="E142" s="37">
        <v>0</v>
      </c>
      <c r="F142" s="38">
        <v>45458</v>
      </c>
      <c r="G142" s="84">
        <v>3</v>
      </c>
      <c r="H142" s="37">
        <v>8</v>
      </c>
      <c r="I142" s="38">
        <v>45458</v>
      </c>
      <c r="J142" s="85">
        <v>3</v>
      </c>
      <c r="K142" s="39" t="s">
        <v>217</v>
      </c>
    </row>
    <row r="143" spans="1:11" x14ac:dyDescent="0.3">
      <c r="A143" s="248" t="s">
        <v>314</v>
      </c>
      <c r="B143" s="74">
        <v>14</v>
      </c>
      <c r="C143" s="80" t="s">
        <v>21</v>
      </c>
      <c r="D143" s="314">
        <v>39</v>
      </c>
      <c r="E143" s="37">
        <v>200</v>
      </c>
      <c r="F143" s="38">
        <v>45458</v>
      </c>
      <c r="G143" s="84">
        <v>4</v>
      </c>
      <c r="H143" s="37">
        <v>8</v>
      </c>
      <c r="I143" s="38">
        <v>45458</v>
      </c>
      <c r="J143" s="85">
        <v>4</v>
      </c>
      <c r="K143" s="39" t="s">
        <v>215</v>
      </c>
    </row>
    <row r="144" spans="1:11" x14ac:dyDescent="0.3">
      <c r="A144" s="35">
        <v>127</v>
      </c>
      <c r="B144" s="73">
        <v>5</v>
      </c>
      <c r="C144" s="80" t="s">
        <v>14</v>
      </c>
      <c r="D144" s="314">
        <v>37</v>
      </c>
      <c r="E144" s="37">
        <v>100</v>
      </c>
      <c r="F144" s="38">
        <v>45488</v>
      </c>
      <c r="G144" s="84">
        <v>4</v>
      </c>
      <c r="H144" s="37">
        <v>20</v>
      </c>
      <c r="I144" s="38">
        <v>45488</v>
      </c>
      <c r="J144" s="85">
        <v>4</v>
      </c>
      <c r="K144" s="39" t="s">
        <v>82</v>
      </c>
    </row>
    <row r="145" spans="1:11" x14ac:dyDescent="0.3">
      <c r="A145" s="35">
        <v>128</v>
      </c>
      <c r="B145" s="74">
        <v>12</v>
      </c>
      <c r="C145" s="80" t="s">
        <v>20</v>
      </c>
      <c r="D145" s="314">
        <v>42</v>
      </c>
      <c r="E145" s="37">
        <v>85.71</v>
      </c>
      <c r="F145" s="38">
        <v>45488</v>
      </c>
      <c r="G145" s="84">
        <v>2</v>
      </c>
      <c r="H145" s="37">
        <v>12</v>
      </c>
      <c r="I145" s="38">
        <v>45488</v>
      </c>
      <c r="J145" s="85">
        <v>2</v>
      </c>
      <c r="K145" s="39" t="s">
        <v>77</v>
      </c>
    </row>
    <row r="146" spans="1:11" x14ac:dyDescent="0.3">
      <c r="A146" s="35">
        <v>129</v>
      </c>
      <c r="B146" s="74">
        <v>15</v>
      </c>
      <c r="C146" s="80" t="s">
        <v>22</v>
      </c>
      <c r="D146" s="314">
        <v>38</v>
      </c>
      <c r="E146" s="37">
        <v>50</v>
      </c>
      <c r="F146" s="38">
        <v>45488</v>
      </c>
      <c r="G146" s="84">
        <v>4</v>
      </c>
      <c r="H146" s="37">
        <v>12</v>
      </c>
      <c r="I146" s="38">
        <v>45488</v>
      </c>
      <c r="J146" s="85">
        <v>4</v>
      </c>
      <c r="K146" s="39" t="s">
        <v>82</v>
      </c>
    </row>
    <row r="147" spans="1:11" x14ac:dyDescent="0.3">
      <c r="A147" s="35">
        <v>130</v>
      </c>
      <c r="B147" s="74">
        <v>16</v>
      </c>
      <c r="C147" s="80" t="s">
        <v>23</v>
      </c>
      <c r="D147" s="314">
        <v>41</v>
      </c>
      <c r="E147" s="37">
        <v>150</v>
      </c>
      <c r="F147" s="38">
        <v>45488</v>
      </c>
      <c r="G147" s="84">
        <v>3</v>
      </c>
      <c r="H147" s="37">
        <v>9</v>
      </c>
      <c r="I147" s="38">
        <v>45488</v>
      </c>
      <c r="J147" s="85">
        <v>3</v>
      </c>
      <c r="K147" s="39" t="s">
        <v>218</v>
      </c>
    </row>
    <row r="148" spans="1:11" x14ac:dyDescent="0.3">
      <c r="A148" s="35">
        <v>131</v>
      </c>
      <c r="B148" s="74">
        <v>10</v>
      </c>
      <c r="C148" s="80" t="s">
        <v>18</v>
      </c>
      <c r="D148" s="314">
        <v>40</v>
      </c>
      <c r="E148" s="37">
        <v>20</v>
      </c>
      <c r="F148" s="38">
        <v>45488</v>
      </c>
      <c r="G148" s="84">
        <v>4</v>
      </c>
      <c r="H148" s="37">
        <v>2</v>
      </c>
      <c r="I148" s="38">
        <v>45488</v>
      </c>
      <c r="J148" s="85">
        <v>4</v>
      </c>
      <c r="K148" s="39" t="s">
        <v>82</v>
      </c>
    </row>
    <row r="149" spans="1:11" x14ac:dyDescent="0.3">
      <c r="A149" s="35">
        <v>132</v>
      </c>
      <c r="B149" s="36">
        <v>7</v>
      </c>
      <c r="C149" s="80" t="s">
        <v>15</v>
      </c>
      <c r="D149" s="314">
        <v>43</v>
      </c>
      <c r="E149" s="37">
        <v>100</v>
      </c>
      <c r="F149" s="38">
        <v>45488</v>
      </c>
      <c r="G149" s="84">
        <v>2</v>
      </c>
      <c r="H149" s="37">
        <v>8</v>
      </c>
      <c r="I149" s="38">
        <v>45488</v>
      </c>
      <c r="J149" s="85">
        <v>2</v>
      </c>
      <c r="K149" s="39" t="s">
        <v>77</v>
      </c>
    </row>
    <row r="150" spans="1:11" x14ac:dyDescent="0.3">
      <c r="A150" s="35">
        <v>133</v>
      </c>
      <c r="B150" s="36">
        <v>8</v>
      </c>
      <c r="C150" s="80" t="s">
        <v>16</v>
      </c>
      <c r="D150" s="314">
        <v>45</v>
      </c>
      <c r="E150" s="37">
        <v>100</v>
      </c>
      <c r="F150" s="38">
        <v>45488</v>
      </c>
      <c r="G150" s="84">
        <v>1</v>
      </c>
      <c r="H150" s="37">
        <v>6</v>
      </c>
      <c r="I150" s="38">
        <v>45488</v>
      </c>
      <c r="J150" s="85">
        <v>1</v>
      </c>
      <c r="K150" s="39" t="s">
        <v>76</v>
      </c>
    </row>
    <row r="151" spans="1:11" x14ac:dyDescent="0.3">
      <c r="A151" s="35">
        <v>134</v>
      </c>
      <c r="B151" s="74">
        <v>9</v>
      </c>
      <c r="C151" s="80" t="s">
        <v>17</v>
      </c>
      <c r="D151" s="314">
        <v>35</v>
      </c>
      <c r="E151" s="37">
        <v>120</v>
      </c>
      <c r="F151" s="38">
        <v>45488</v>
      </c>
      <c r="G151" s="84">
        <v>5</v>
      </c>
      <c r="H151" s="37">
        <v>12</v>
      </c>
      <c r="I151" s="38">
        <v>45488</v>
      </c>
      <c r="J151" s="85">
        <v>5</v>
      </c>
      <c r="K151" s="39" t="s">
        <v>219</v>
      </c>
    </row>
    <row r="152" spans="1:11" x14ac:dyDescent="0.3">
      <c r="A152" s="35">
        <v>135</v>
      </c>
      <c r="B152" s="74">
        <v>14</v>
      </c>
      <c r="C152" s="80" t="s">
        <v>21</v>
      </c>
      <c r="D152" s="314">
        <v>44</v>
      </c>
      <c r="E152" s="37">
        <v>140</v>
      </c>
      <c r="F152" s="38">
        <v>45488</v>
      </c>
      <c r="G152" s="84">
        <v>1</v>
      </c>
      <c r="H152" s="37">
        <v>14</v>
      </c>
      <c r="I152" s="38">
        <v>45488</v>
      </c>
      <c r="J152" s="85">
        <v>1</v>
      </c>
      <c r="K152" s="39" t="s">
        <v>76</v>
      </c>
    </row>
    <row r="153" spans="1:11" x14ac:dyDescent="0.3">
      <c r="A153" s="35">
        <v>136</v>
      </c>
      <c r="B153" s="73">
        <v>5</v>
      </c>
      <c r="C153" s="80" t="s">
        <v>14</v>
      </c>
      <c r="D153" s="314">
        <v>37</v>
      </c>
      <c r="E153" s="37">
        <v>100</v>
      </c>
      <c r="F153" s="38">
        <v>45519</v>
      </c>
      <c r="G153" s="84">
        <v>5</v>
      </c>
      <c r="H153" s="37">
        <v>20</v>
      </c>
      <c r="I153" s="38">
        <v>45519</v>
      </c>
      <c r="J153" s="85">
        <v>5</v>
      </c>
      <c r="K153" s="39" t="s">
        <v>194</v>
      </c>
    </row>
    <row r="154" spans="1:11" x14ac:dyDescent="0.3">
      <c r="A154" s="35">
        <v>137</v>
      </c>
      <c r="B154" s="74">
        <v>6</v>
      </c>
      <c r="C154" s="80" t="s">
        <v>24</v>
      </c>
      <c r="D154" s="314">
        <v>46</v>
      </c>
      <c r="E154" s="37">
        <v>100</v>
      </c>
      <c r="F154" s="38">
        <v>45519</v>
      </c>
      <c r="G154" s="84">
        <v>1</v>
      </c>
      <c r="H154" s="37">
        <v>10</v>
      </c>
      <c r="I154" s="38">
        <v>45519</v>
      </c>
      <c r="J154" s="85">
        <v>1</v>
      </c>
      <c r="K154" s="39" t="s">
        <v>76</v>
      </c>
    </row>
    <row r="155" spans="1:11" x14ac:dyDescent="0.3">
      <c r="A155" s="35">
        <v>138</v>
      </c>
      <c r="B155" s="74">
        <v>12</v>
      </c>
      <c r="C155" s="80" t="s">
        <v>20</v>
      </c>
      <c r="D155" s="314">
        <v>42</v>
      </c>
      <c r="E155" s="37">
        <v>85.71</v>
      </c>
      <c r="F155" s="38">
        <v>45519</v>
      </c>
      <c r="G155" s="84">
        <v>3</v>
      </c>
      <c r="H155" s="37">
        <v>12</v>
      </c>
      <c r="I155" s="38">
        <v>45519</v>
      </c>
      <c r="J155" s="85">
        <v>3</v>
      </c>
      <c r="K155" s="39" t="s">
        <v>80</v>
      </c>
    </row>
    <row r="156" spans="1:11" x14ac:dyDescent="0.3">
      <c r="A156" s="35">
        <v>139</v>
      </c>
      <c r="B156" s="74">
        <v>15</v>
      </c>
      <c r="C156" s="80" t="s">
        <v>22</v>
      </c>
      <c r="D156" s="314">
        <v>38</v>
      </c>
      <c r="E156" s="37">
        <v>50</v>
      </c>
      <c r="F156" s="38">
        <v>45519</v>
      </c>
      <c r="G156" s="84">
        <v>5</v>
      </c>
      <c r="H156" s="37">
        <v>12</v>
      </c>
      <c r="I156" s="38">
        <v>45519</v>
      </c>
      <c r="J156" s="85">
        <v>5</v>
      </c>
      <c r="K156" s="39" t="s">
        <v>194</v>
      </c>
    </row>
    <row r="157" spans="1:11" x14ac:dyDescent="0.3">
      <c r="A157" s="35">
        <v>140</v>
      </c>
      <c r="B157" s="74">
        <v>16</v>
      </c>
      <c r="C157" s="80" t="s">
        <v>23</v>
      </c>
      <c r="D157" s="314">
        <v>47</v>
      </c>
      <c r="E157" s="37">
        <v>41.67</v>
      </c>
      <c r="F157" s="38">
        <v>45519</v>
      </c>
      <c r="G157" s="84">
        <v>1</v>
      </c>
      <c r="H157" s="37">
        <v>10</v>
      </c>
      <c r="I157" s="38">
        <v>45519</v>
      </c>
      <c r="J157" s="85">
        <v>1</v>
      </c>
      <c r="K157" s="39" t="s">
        <v>76</v>
      </c>
    </row>
    <row r="158" spans="1:11" x14ac:dyDescent="0.3">
      <c r="A158" s="35">
        <v>141</v>
      </c>
      <c r="B158" s="74">
        <v>10</v>
      </c>
      <c r="C158" s="80" t="s">
        <v>18</v>
      </c>
      <c r="D158" s="314">
        <v>40</v>
      </c>
      <c r="E158" s="37">
        <v>20</v>
      </c>
      <c r="F158" s="38">
        <v>45519</v>
      </c>
      <c r="G158" s="84">
        <v>5</v>
      </c>
      <c r="H158" s="37">
        <v>2</v>
      </c>
      <c r="I158" s="38">
        <v>45519</v>
      </c>
      <c r="J158" s="85">
        <v>5</v>
      </c>
      <c r="K158" s="39" t="s">
        <v>194</v>
      </c>
    </row>
    <row r="159" spans="1:11" x14ac:dyDescent="0.3">
      <c r="A159" s="35">
        <v>142</v>
      </c>
      <c r="B159" s="36">
        <v>7</v>
      </c>
      <c r="C159" s="80" t="s">
        <v>15</v>
      </c>
      <c r="D159" s="314">
        <v>43</v>
      </c>
      <c r="E159" s="37">
        <v>100</v>
      </c>
      <c r="F159" s="38">
        <v>45519</v>
      </c>
      <c r="G159" s="84">
        <v>3</v>
      </c>
      <c r="H159" s="37">
        <v>8</v>
      </c>
      <c r="I159" s="38">
        <v>45519</v>
      </c>
      <c r="J159" s="85">
        <v>3</v>
      </c>
      <c r="K159" s="39" t="s">
        <v>80</v>
      </c>
    </row>
    <row r="160" spans="1:11" x14ac:dyDescent="0.3">
      <c r="A160" s="35">
        <v>143</v>
      </c>
      <c r="B160" s="74">
        <v>14</v>
      </c>
      <c r="C160" s="80" t="s">
        <v>21</v>
      </c>
      <c r="D160" s="314">
        <v>44</v>
      </c>
      <c r="E160" s="37">
        <v>140</v>
      </c>
      <c r="F160" s="38">
        <v>45519</v>
      </c>
      <c r="G160" s="84">
        <v>2</v>
      </c>
      <c r="H160" s="37">
        <v>14</v>
      </c>
      <c r="I160" s="38">
        <v>45519</v>
      </c>
      <c r="J160" s="85">
        <v>2</v>
      </c>
      <c r="K160" s="39" t="s">
        <v>77</v>
      </c>
    </row>
    <row r="161" spans="1:11" x14ac:dyDescent="0.3">
      <c r="A161" s="35">
        <v>144</v>
      </c>
      <c r="B161" s="36">
        <v>8</v>
      </c>
      <c r="C161" s="80" t="s">
        <v>16</v>
      </c>
      <c r="D161" s="314">
        <v>45</v>
      </c>
      <c r="E161" s="37">
        <v>100</v>
      </c>
      <c r="F161" s="38">
        <v>45519</v>
      </c>
      <c r="G161" s="84">
        <v>2</v>
      </c>
      <c r="H161" s="37">
        <v>6</v>
      </c>
      <c r="I161" s="38">
        <v>45519</v>
      </c>
      <c r="J161" s="85">
        <v>2</v>
      </c>
      <c r="K161" s="39" t="s">
        <v>77</v>
      </c>
    </row>
    <row r="162" spans="1:11" x14ac:dyDescent="0.3">
      <c r="A162" s="35">
        <v>145</v>
      </c>
      <c r="B162" s="74">
        <v>4</v>
      </c>
      <c r="C162" s="80" t="s">
        <v>12</v>
      </c>
      <c r="D162" s="314">
        <v>49</v>
      </c>
      <c r="E162" s="37">
        <v>50</v>
      </c>
      <c r="F162" s="38">
        <v>45550</v>
      </c>
      <c r="G162" s="84">
        <v>1</v>
      </c>
      <c r="H162" s="37">
        <v>6</v>
      </c>
      <c r="I162" s="38">
        <v>45550</v>
      </c>
      <c r="J162" s="85">
        <v>1</v>
      </c>
      <c r="K162" s="39" t="s">
        <v>232</v>
      </c>
    </row>
    <row r="163" spans="1:11" x14ac:dyDescent="0.3">
      <c r="A163" s="35">
        <v>146</v>
      </c>
      <c r="B163" s="73">
        <v>5</v>
      </c>
      <c r="C163" s="80" t="s">
        <v>14</v>
      </c>
      <c r="D163" s="314">
        <v>37</v>
      </c>
      <c r="E163" s="37">
        <v>100</v>
      </c>
      <c r="F163" s="38">
        <v>45550</v>
      </c>
      <c r="G163" s="84">
        <v>6</v>
      </c>
      <c r="H163" s="37">
        <v>20</v>
      </c>
      <c r="I163" s="38">
        <v>45550</v>
      </c>
      <c r="J163" s="85">
        <v>6</v>
      </c>
      <c r="K163" s="39" t="s">
        <v>233</v>
      </c>
    </row>
    <row r="164" spans="1:11" x14ac:dyDescent="0.3">
      <c r="A164" s="35">
        <v>147</v>
      </c>
      <c r="B164" s="36">
        <v>7</v>
      </c>
      <c r="C164" s="80" t="s">
        <v>15</v>
      </c>
      <c r="D164" s="314">
        <v>43</v>
      </c>
      <c r="E164" s="37">
        <v>100</v>
      </c>
      <c r="F164" s="38">
        <v>45550</v>
      </c>
      <c r="G164" s="84">
        <v>4</v>
      </c>
      <c r="H164" s="37">
        <v>8</v>
      </c>
      <c r="I164" s="38">
        <v>45550</v>
      </c>
      <c r="J164" s="85">
        <v>4</v>
      </c>
      <c r="K164" s="39" t="s">
        <v>234</v>
      </c>
    </row>
    <row r="165" spans="1:11" x14ac:dyDescent="0.3">
      <c r="A165" s="35">
        <v>148</v>
      </c>
      <c r="B165" s="36">
        <v>8</v>
      </c>
      <c r="C165" s="80" t="s">
        <v>16</v>
      </c>
      <c r="D165" s="314">
        <v>45</v>
      </c>
      <c r="E165" s="37">
        <v>100</v>
      </c>
      <c r="F165" s="38">
        <v>45550</v>
      </c>
      <c r="G165" s="84">
        <v>3</v>
      </c>
      <c r="H165" s="37">
        <v>6</v>
      </c>
      <c r="I165" s="38">
        <v>45550</v>
      </c>
      <c r="J165" s="85">
        <v>3</v>
      </c>
      <c r="K165" s="39" t="s">
        <v>235</v>
      </c>
    </row>
    <row r="166" spans="1:11" x14ac:dyDescent="0.3">
      <c r="A166" s="35">
        <v>149</v>
      </c>
      <c r="B166" s="74">
        <v>9</v>
      </c>
      <c r="C166" s="80" t="s">
        <v>17</v>
      </c>
      <c r="D166" s="314">
        <v>48</v>
      </c>
      <c r="E166" s="37">
        <v>100</v>
      </c>
      <c r="F166" s="38">
        <v>45550</v>
      </c>
      <c r="G166" s="84">
        <v>1</v>
      </c>
      <c r="H166" s="37">
        <v>12</v>
      </c>
      <c r="I166" s="38">
        <v>45550</v>
      </c>
      <c r="J166" s="85">
        <v>1</v>
      </c>
      <c r="K166" s="39" t="s">
        <v>232</v>
      </c>
    </row>
    <row r="167" spans="1:11" x14ac:dyDescent="0.3">
      <c r="A167" s="35">
        <v>150</v>
      </c>
      <c r="B167" s="74">
        <v>12</v>
      </c>
      <c r="C167" s="80" t="s">
        <v>20</v>
      </c>
      <c r="D167" s="314">
        <v>42</v>
      </c>
      <c r="E167" s="37">
        <v>85.71</v>
      </c>
      <c r="F167" s="38">
        <v>45550</v>
      </c>
      <c r="G167" s="84">
        <v>4</v>
      </c>
      <c r="H167" s="37">
        <v>12</v>
      </c>
      <c r="I167" s="38">
        <v>45550</v>
      </c>
      <c r="J167" s="85">
        <v>4</v>
      </c>
      <c r="K167" s="39" t="s">
        <v>234</v>
      </c>
    </row>
    <row r="168" spans="1:11" x14ac:dyDescent="0.3">
      <c r="A168" s="35">
        <v>151</v>
      </c>
      <c r="B168" s="74">
        <v>14</v>
      </c>
      <c r="C168" s="80" t="s">
        <v>21</v>
      </c>
      <c r="D168" s="314">
        <v>44</v>
      </c>
      <c r="E168" s="37">
        <v>140</v>
      </c>
      <c r="F168" s="38">
        <v>45550</v>
      </c>
      <c r="G168" s="84">
        <v>3</v>
      </c>
      <c r="H168" s="37">
        <v>14</v>
      </c>
      <c r="I168" s="38">
        <v>45550</v>
      </c>
      <c r="J168" s="85">
        <v>3</v>
      </c>
      <c r="K168" s="39" t="s">
        <v>235</v>
      </c>
    </row>
    <row r="169" spans="1:11" x14ac:dyDescent="0.3">
      <c r="A169" s="35">
        <v>152</v>
      </c>
      <c r="B169" s="74">
        <v>15</v>
      </c>
      <c r="C169" s="80" t="s">
        <v>22</v>
      </c>
      <c r="D169" s="314">
        <v>38</v>
      </c>
      <c r="E169" s="37">
        <v>50</v>
      </c>
      <c r="F169" s="38">
        <v>45550</v>
      </c>
      <c r="G169" s="84">
        <v>6</v>
      </c>
      <c r="H169" s="37">
        <v>12</v>
      </c>
      <c r="I169" s="38">
        <v>45550</v>
      </c>
      <c r="J169" s="85">
        <v>6</v>
      </c>
      <c r="K169" s="39" t="s">
        <v>233</v>
      </c>
    </row>
    <row r="170" spans="1:11" x14ac:dyDescent="0.3">
      <c r="A170" s="35">
        <v>153</v>
      </c>
      <c r="B170" s="74">
        <v>16</v>
      </c>
      <c r="C170" s="80" t="s">
        <v>23</v>
      </c>
      <c r="D170" s="314">
        <v>47</v>
      </c>
      <c r="E170" s="37">
        <v>41.67</v>
      </c>
      <c r="F170" s="38">
        <v>45550</v>
      </c>
      <c r="G170" s="84">
        <v>2</v>
      </c>
      <c r="H170" s="37">
        <v>10</v>
      </c>
      <c r="I170" s="38">
        <v>45550</v>
      </c>
      <c r="J170" s="85">
        <v>2</v>
      </c>
      <c r="K170" s="39" t="s">
        <v>236</v>
      </c>
    </row>
    <row r="171" spans="1:11" x14ac:dyDescent="0.3">
      <c r="A171" s="35">
        <v>154</v>
      </c>
      <c r="B171" s="74">
        <v>6</v>
      </c>
      <c r="C171" s="80" t="s">
        <v>24</v>
      </c>
      <c r="D171" s="314">
        <v>46</v>
      </c>
      <c r="E171" s="37">
        <v>100</v>
      </c>
      <c r="F171" s="38">
        <v>45550</v>
      </c>
      <c r="G171" s="84">
        <v>2</v>
      </c>
      <c r="H171" s="37">
        <v>10</v>
      </c>
      <c r="I171" s="38">
        <v>45550</v>
      </c>
      <c r="J171" s="85">
        <v>2</v>
      </c>
      <c r="K171" s="39" t="s">
        <v>236</v>
      </c>
    </row>
    <row r="172" spans="1:11" x14ac:dyDescent="0.3">
      <c r="A172" s="35">
        <v>155</v>
      </c>
      <c r="B172" s="73">
        <v>5</v>
      </c>
      <c r="C172" s="80" t="s">
        <v>14</v>
      </c>
      <c r="D172" s="314">
        <v>37</v>
      </c>
      <c r="E172" s="37">
        <v>100</v>
      </c>
      <c r="F172" s="38">
        <v>45580</v>
      </c>
      <c r="G172" s="84">
        <v>7</v>
      </c>
      <c r="H172" s="37">
        <v>20</v>
      </c>
      <c r="I172" s="38">
        <v>45580</v>
      </c>
      <c r="J172" s="85">
        <v>7</v>
      </c>
      <c r="K172" s="39" t="s">
        <v>239</v>
      </c>
    </row>
    <row r="173" spans="1:11" x14ac:dyDescent="0.3">
      <c r="A173" s="35">
        <v>156</v>
      </c>
      <c r="B173" s="74">
        <v>4</v>
      </c>
      <c r="C173" s="80" t="s">
        <v>12</v>
      </c>
      <c r="D173" s="314">
        <v>49</v>
      </c>
      <c r="E173" s="37">
        <v>50</v>
      </c>
      <c r="F173" s="38">
        <v>45580</v>
      </c>
      <c r="G173" s="84">
        <v>2</v>
      </c>
      <c r="H173" s="37">
        <v>6</v>
      </c>
      <c r="I173" s="38">
        <v>45580</v>
      </c>
      <c r="J173" s="85">
        <v>2</v>
      </c>
      <c r="K173" s="39" t="s">
        <v>236</v>
      </c>
    </row>
    <row r="174" spans="1:11" x14ac:dyDescent="0.3">
      <c r="A174" s="35">
        <v>157</v>
      </c>
      <c r="B174" s="74">
        <v>6</v>
      </c>
      <c r="C174" s="80" t="s">
        <v>24</v>
      </c>
      <c r="D174" s="314">
        <v>46</v>
      </c>
      <c r="E174" s="37">
        <v>100</v>
      </c>
      <c r="F174" s="38">
        <v>45580</v>
      </c>
      <c r="G174" s="84">
        <v>3</v>
      </c>
      <c r="H174" s="37">
        <v>10</v>
      </c>
      <c r="I174" s="38">
        <v>45580</v>
      </c>
      <c r="J174" s="85">
        <v>3</v>
      </c>
      <c r="K174" s="39" t="s">
        <v>235</v>
      </c>
    </row>
    <row r="175" spans="1:11" x14ac:dyDescent="0.3">
      <c r="A175" s="35">
        <v>158</v>
      </c>
      <c r="B175" s="74">
        <v>12</v>
      </c>
      <c r="C175" s="80" t="s">
        <v>20</v>
      </c>
      <c r="D175" s="314">
        <v>42</v>
      </c>
      <c r="E175" s="37">
        <v>85.71</v>
      </c>
      <c r="F175" s="38">
        <v>45580</v>
      </c>
      <c r="G175" s="84">
        <v>5</v>
      </c>
      <c r="H175" s="37">
        <v>12</v>
      </c>
      <c r="I175" s="38">
        <v>45580</v>
      </c>
      <c r="J175" s="85">
        <v>5</v>
      </c>
      <c r="K175" s="39" t="s">
        <v>240</v>
      </c>
    </row>
    <row r="176" spans="1:11" x14ac:dyDescent="0.3">
      <c r="A176" s="35">
        <v>159</v>
      </c>
      <c r="B176" s="74">
        <v>15</v>
      </c>
      <c r="C176" s="80" t="s">
        <v>22</v>
      </c>
      <c r="D176" s="314">
        <v>38</v>
      </c>
      <c r="E176" s="37">
        <v>50</v>
      </c>
      <c r="F176" s="38">
        <v>45580</v>
      </c>
      <c r="G176" s="84">
        <v>7</v>
      </c>
      <c r="H176" s="37">
        <v>12</v>
      </c>
      <c r="I176" s="38">
        <v>45580</v>
      </c>
      <c r="J176" s="85">
        <v>7</v>
      </c>
      <c r="K176" s="39" t="s">
        <v>239</v>
      </c>
    </row>
    <row r="177" spans="1:11" x14ac:dyDescent="0.3">
      <c r="A177" s="35">
        <v>160</v>
      </c>
      <c r="B177" s="74">
        <v>16</v>
      </c>
      <c r="C177" s="80" t="s">
        <v>23</v>
      </c>
      <c r="D177" s="314">
        <v>47</v>
      </c>
      <c r="E177" s="37">
        <v>41.67</v>
      </c>
      <c r="F177" s="38">
        <v>45580</v>
      </c>
      <c r="G177" s="84">
        <v>3</v>
      </c>
      <c r="H177" s="37">
        <v>10</v>
      </c>
      <c r="I177" s="38">
        <v>45580</v>
      </c>
      <c r="J177" s="85">
        <v>3</v>
      </c>
      <c r="K177" s="39" t="s">
        <v>235</v>
      </c>
    </row>
    <row r="178" spans="1:11" x14ac:dyDescent="0.3">
      <c r="A178" s="35">
        <v>161</v>
      </c>
      <c r="B178" s="36">
        <v>11</v>
      </c>
      <c r="C178" s="80" t="s">
        <v>19</v>
      </c>
      <c r="D178" s="314">
        <v>50</v>
      </c>
      <c r="E178" s="37">
        <v>100</v>
      </c>
      <c r="F178" s="38">
        <v>45580</v>
      </c>
      <c r="G178" s="84">
        <v>1</v>
      </c>
      <c r="H178" s="37">
        <v>8</v>
      </c>
      <c r="I178" s="38">
        <v>45580</v>
      </c>
      <c r="J178" s="85">
        <v>1</v>
      </c>
      <c r="K178" s="39" t="s">
        <v>232</v>
      </c>
    </row>
    <row r="179" spans="1:11" x14ac:dyDescent="0.3">
      <c r="A179" s="35">
        <v>162</v>
      </c>
      <c r="B179" s="74">
        <v>9</v>
      </c>
      <c r="C179" s="80" t="s">
        <v>17</v>
      </c>
      <c r="D179" s="314">
        <v>48</v>
      </c>
      <c r="E179" s="37">
        <v>100</v>
      </c>
      <c r="F179" s="38">
        <v>45580</v>
      </c>
      <c r="G179" s="84">
        <v>2</v>
      </c>
      <c r="H179" s="37">
        <v>12</v>
      </c>
      <c r="I179" s="38">
        <v>45580</v>
      </c>
      <c r="J179" s="85">
        <v>2</v>
      </c>
      <c r="K179" s="39" t="s">
        <v>236</v>
      </c>
    </row>
    <row r="180" spans="1:11" x14ac:dyDescent="0.3">
      <c r="A180" s="35">
        <v>163</v>
      </c>
      <c r="B180" s="74">
        <v>14</v>
      </c>
      <c r="C180" s="80" t="s">
        <v>21</v>
      </c>
      <c r="D180" s="314">
        <v>44</v>
      </c>
      <c r="E180" s="37">
        <v>280</v>
      </c>
      <c r="F180" s="38">
        <v>45580</v>
      </c>
      <c r="G180" s="84">
        <v>4</v>
      </c>
      <c r="H180" s="37">
        <v>14</v>
      </c>
      <c r="I180" s="38">
        <v>45580</v>
      </c>
      <c r="J180" s="85">
        <v>4</v>
      </c>
      <c r="K180" s="39" t="s">
        <v>243</v>
      </c>
    </row>
    <row r="181" spans="1:11" x14ac:dyDescent="0.3">
      <c r="A181" s="256" t="s">
        <v>278</v>
      </c>
      <c r="B181" s="36">
        <v>1</v>
      </c>
      <c r="C181" s="80" t="s">
        <v>14</v>
      </c>
      <c r="D181" s="314" t="s">
        <v>367</v>
      </c>
      <c r="E181" s="37">
        <v>13.35</v>
      </c>
      <c r="F181" s="38">
        <v>45580</v>
      </c>
      <c r="G181" s="84" t="s">
        <v>367</v>
      </c>
      <c r="H181" s="37">
        <v>0</v>
      </c>
      <c r="I181" s="38">
        <v>45580</v>
      </c>
      <c r="J181" s="85" t="s">
        <v>367</v>
      </c>
      <c r="K181" s="39" t="s">
        <v>277</v>
      </c>
    </row>
    <row r="182" spans="1:11" x14ac:dyDescent="0.3">
      <c r="A182" s="256" t="s">
        <v>279</v>
      </c>
      <c r="B182" s="36">
        <v>1</v>
      </c>
      <c r="C182" s="80" t="s">
        <v>442</v>
      </c>
      <c r="D182" s="314" t="s">
        <v>367</v>
      </c>
      <c r="E182" s="37">
        <v>13.35</v>
      </c>
      <c r="F182" s="38">
        <v>45580</v>
      </c>
      <c r="G182" s="84" t="s">
        <v>367</v>
      </c>
      <c r="H182" s="37">
        <v>0</v>
      </c>
      <c r="I182" s="38">
        <v>45580</v>
      </c>
      <c r="J182" s="85" t="s">
        <v>367</v>
      </c>
      <c r="K182" s="39" t="s">
        <v>277</v>
      </c>
    </row>
    <row r="183" spans="1:11" x14ac:dyDescent="0.3">
      <c r="A183" s="248" t="s">
        <v>294</v>
      </c>
      <c r="B183" s="74">
        <v>14</v>
      </c>
      <c r="C183" s="80" t="s">
        <v>21</v>
      </c>
      <c r="D183" s="314">
        <v>44</v>
      </c>
      <c r="E183" s="37">
        <v>0</v>
      </c>
      <c r="F183" s="38">
        <v>45580</v>
      </c>
      <c r="G183" s="84">
        <v>5</v>
      </c>
      <c r="H183" s="37">
        <v>14</v>
      </c>
      <c r="I183" s="38">
        <v>45580</v>
      </c>
      <c r="J183" s="85">
        <v>5</v>
      </c>
      <c r="K183" s="39" t="s">
        <v>265</v>
      </c>
    </row>
    <row r="184" spans="1:11" x14ac:dyDescent="0.3">
      <c r="A184" s="248" t="s">
        <v>428</v>
      </c>
      <c r="B184" s="36">
        <v>2</v>
      </c>
      <c r="C184" s="80" t="s">
        <v>71</v>
      </c>
      <c r="D184" s="314" t="s">
        <v>371</v>
      </c>
      <c r="E184" s="37">
        <v>200</v>
      </c>
      <c r="F184" s="38">
        <v>45580</v>
      </c>
      <c r="G184" s="84" t="s">
        <v>371</v>
      </c>
      <c r="H184" s="37">
        <v>0</v>
      </c>
      <c r="I184" s="38">
        <v>45580</v>
      </c>
      <c r="J184" s="85" t="s">
        <v>371</v>
      </c>
      <c r="K184" s="39" t="s">
        <v>249</v>
      </c>
    </row>
    <row r="185" spans="1:11" x14ac:dyDescent="0.3">
      <c r="A185" s="35">
        <v>164</v>
      </c>
      <c r="B185" s="74">
        <v>15</v>
      </c>
      <c r="C185" s="80" t="s">
        <v>22</v>
      </c>
      <c r="D185" s="314">
        <v>38</v>
      </c>
      <c r="E185" s="37">
        <v>50</v>
      </c>
      <c r="F185" s="38">
        <v>45611</v>
      </c>
      <c r="G185" s="84">
        <v>8</v>
      </c>
      <c r="H185" s="37">
        <v>12</v>
      </c>
      <c r="I185" s="38">
        <v>45611</v>
      </c>
      <c r="J185" s="85">
        <v>8</v>
      </c>
      <c r="K185" s="39" t="s">
        <v>267</v>
      </c>
    </row>
    <row r="186" spans="1:11" x14ac:dyDescent="0.3">
      <c r="A186" s="35">
        <v>165</v>
      </c>
      <c r="B186" s="74">
        <v>12</v>
      </c>
      <c r="C186" s="80" t="s">
        <v>20</v>
      </c>
      <c r="D186" s="314">
        <v>42</v>
      </c>
      <c r="E186" s="37">
        <v>85.71</v>
      </c>
      <c r="F186" s="38">
        <v>45611</v>
      </c>
      <c r="G186" s="84">
        <v>6</v>
      </c>
      <c r="H186" s="37">
        <v>12</v>
      </c>
      <c r="I186" s="38">
        <v>45611</v>
      </c>
      <c r="J186" s="85">
        <v>6</v>
      </c>
      <c r="K186" s="39" t="s">
        <v>233</v>
      </c>
    </row>
    <row r="187" spans="1:11" x14ac:dyDescent="0.3">
      <c r="A187" s="35">
        <v>166</v>
      </c>
      <c r="B187" s="74">
        <v>16</v>
      </c>
      <c r="C187" s="80" t="s">
        <v>23</v>
      </c>
      <c r="D187" s="314">
        <v>47</v>
      </c>
      <c r="E187" s="37">
        <v>41.67</v>
      </c>
      <c r="F187" s="38">
        <v>45611</v>
      </c>
      <c r="G187" s="84">
        <v>4</v>
      </c>
      <c r="H187" s="37">
        <v>10</v>
      </c>
      <c r="I187" s="38">
        <v>45611</v>
      </c>
      <c r="J187" s="85">
        <v>4</v>
      </c>
      <c r="K187" s="39" t="s">
        <v>234</v>
      </c>
    </row>
    <row r="188" spans="1:11" x14ac:dyDescent="0.3">
      <c r="A188" s="35">
        <v>167</v>
      </c>
      <c r="B188" s="74">
        <v>4</v>
      </c>
      <c r="C188" s="80" t="s">
        <v>12</v>
      </c>
      <c r="D188" s="314">
        <v>49</v>
      </c>
      <c r="E188" s="37">
        <v>50</v>
      </c>
      <c r="F188" s="38">
        <v>45611</v>
      </c>
      <c r="G188" s="84">
        <v>3</v>
      </c>
      <c r="H188" s="37">
        <v>6</v>
      </c>
      <c r="I188" s="38">
        <v>45611</v>
      </c>
      <c r="J188" s="85">
        <v>3</v>
      </c>
      <c r="K188" s="39" t="s">
        <v>235</v>
      </c>
    </row>
    <row r="189" spans="1:11" x14ac:dyDescent="0.3">
      <c r="A189" s="35">
        <v>168</v>
      </c>
      <c r="B189" s="36">
        <v>11</v>
      </c>
      <c r="C189" s="80" t="s">
        <v>19</v>
      </c>
      <c r="D189" s="314">
        <v>50</v>
      </c>
      <c r="E189" s="37">
        <v>100</v>
      </c>
      <c r="F189" s="38">
        <v>45611</v>
      </c>
      <c r="G189" s="84">
        <v>2</v>
      </c>
      <c r="H189" s="37">
        <v>8</v>
      </c>
      <c r="I189" s="38">
        <v>45611</v>
      </c>
      <c r="J189" s="85">
        <v>50</v>
      </c>
      <c r="K189" s="39" t="s">
        <v>236</v>
      </c>
    </row>
    <row r="190" spans="1:11" x14ac:dyDescent="0.3">
      <c r="A190" s="35">
        <v>169</v>
      </c>
      <c r="B190" s="36">
        <v>7</v>
      </c>
      <c r="C190" s="80" t="s">
        <v>15</v>
      </c>
      <c r="D190" s="314">
        <v>51</v>
      </c>
      <c r="E190" s="37">
        <v>62.5</v>
      </c>
      <c r="F190" s="38">
        <v>45611</v>
      </c>
      <c r="G190" s="84">
        <v>1</v>
      </c>
      <c r="H190" s="37">
        <v>5</v>
      </c>
      <c r="I190" s="38">
        <v>45611</v>
      </c>
      <c r="J190" s="85">
        <v>1</v>
      </c>
      <c r="K190" s="39" t="s">
        <v>232</v>
      </c>
    </row>
    <row r="191" spans="1:11" x14ac:dyDescent="0.3">
      <c r="A191" s="35">
        <v>170</v>
      </c>
      <c r="B191" s="36">
        <v>8</v>
      </c>
      <c r="C191" s="80" t="s">
        <v>16</v>
      </c>
      <c r="D191" s="314">
        <v>52</v>
      </c>
      <c r="E191" s="37">
        <v>62.5</v>
      </c>
      <c r="F191" s="38">
        <v>45611</v>
      </c>
      <c r="G191" s="84">
        <v>1</v>
      </c>
      <c r="H191" s="37">
        <v>5</v>
      </c>
      <c r="I191" s="38">
        <v>45611</v>
      </c>
      <c r="J191" s="85">
        <v>1</v>
      </c>
      <c r="K191" s="39" t="s">
        <v>232</v>
      </c>
    </row>
    <row r="192" spans="1:11" x14ac:dyDescent="0.3">
      <c r="A192" s="35">
        <v>171</v>
      </c>
      <c r="B192" s="74">
        <v>14</v>
      </c>
      <c r="C192" s="80" t="s">
        <v>21</v>
      </c>
      <c r="D192" s="314">
        <v>53</v>
      </c>
      <c r="E192" s="37">
        <v>125</v>
      </c>
      <c r="F192" s="38">
        <v>45611</v>
      </c>
      <c r="G192" s="84">
        <v>1</v>
      </c>
      <c r="H192" s="37">
        <v>10</v>
      </c>
      <c r="I192" s="38">
        <v>45611</v>
      </c>
      <c r="J192" s="85">
        <v>1</v>
      </c>
      <c r="K192" s="39" t="s">
        <v>232</v>
      </c>
    </row>
    <row r="193" spans="1:11" x14ac:dyDescent="0.3">
      <c r="A193" s="35">
        <v>172</v>
      </c>
      <c r="B193" s="36">
        <v>5</v>
      </c>
      <c r="C193" s="80" t="s">
        <v>14</v>
      </c>
      <c r="D193" s="314">
        <v>37</v>
      </c>
      <c r="E193" s="37">
        <v>100</v>
      </c>
      <c r="F193" s="38">
        <v>45611</v>
      </c>
      <c r="G193" s="84">
        <v>8</v>
      </c>
      <c r="H193" s="37">
        <v>20</v>
      </c>
      <c r="I193" s="38">
        <v>45611</v>
      </c>
      <c r="J193" s="85">
        <v>8</v>
      </c>
      <c r="K193" s="39" t="s">
        <v>268</v>
      </c>
    </row>
    <row r="194" spans="1:11" x14ac:dyDescent="0.3">
      <c r="A194" s="35">
        <v>173</v>
      </c>
      <c r="B194" s="74">
        <v>6</v>
      </c>
      <c r="C194" s="80" t="s">
        <v>24</v>
      </c>
      <c r="D194" s="314">
        <v>46</v>
      </c>
      <c r="E194" s="37">
        <v>100</v>
      </c>
      <c r="F194" s="38">
        <v>45611</v>
      </c>
      <c r="G194" s="84">
        <v>4</v>
      </c>
      <c r="H194" s="37">
        <v>10</v>
      </c>
      <c r="I194" s="38">
        <v>45611</v>
      </c>
      <c r="J194" s="85">
        <v>4</v>
      </c>
      <c r="K194" s="39" t="s">
        <v>234</v>
      </c>
    </row>
    <row r="195" spans="1:11" x14ac:dyDescent="0.3">
      <c r="A195" s="248" t="s">
        <v>348</v>
      </c>
      <c r="B195" s="74">
        <v>12</v>
      </c>
      <c r="C195" s="80" t="s">
        <v>20</v>
      </c>
      <c r="D195" s="314">
        <v>42</v>
      </c>
      <c r="E195" s="37">
        <v>85.71</v>
      </c>
      <c r="F195" s="38">
        <v>45611</v>
      </c>
      <c r="G195" s="84">
        <v>7</v>
      </c>
      <c r="H195" s="37">
        <v>0</v>
      </c>
      <c r="I195" s="38">
        <v>45611</v>
      </c>
      <c r="J195" s="85">
        <v>7</v>
      </c>
      <c r="K195" s="39" t="s">
        <v>273</v>
      </c>
    </row>
    <row r="196" spans="1:11" x14ac:dyDescent="0.3">
      <c r="A196" s="248" t="s">
        <v>364</v>
      </c>
      <c r="B196" s="74">
        <v>12</v>
      </c>
      <c r="C196" s="80" t="s">
        <v>20</v>
      </c>
      <c r="D196" s="314">
        <v>42</v>
      </c>
      <c r="E196" s="37">
        <v>0</v>
      </c>
      <c r="F196" s="38">
        <v>45611</v>
      </c>
      <c r="G196" s="84">
        <v>7</v>
      </c>
      <c r="H196" s="37">
        <v>12</v>
      </c>
      <c r="I196" s="38">
        <v>45611</v>
      </c>
      <c r="J196" s="85">
        <v>7</v>
      </c>
      <c r="K196" s="39" t="s">
        <v>275</v>
      </c>
    </row>
    <row r="197" spans="1:11" x14ac:dyDescent="0.3">
      <c r="A197" s="256" t="s">
        <v>280</v>
      </c>
      <c r="B197" s="74">
        <v>1</v>
      </c>
      <c r="C197" s="80" t="s">
        <v>13</v>
      </c>
      <c r="D197" s="309" t="s">
        <v>367</v>
      </c>
      <c r="E197" s="37">
        <v>13.35</v>
      </c>
      <c r="F197" s="38">
        <v>45611</v>
      </c>
      <c r="G197" s="84" t="s">
        <v>367</v>
      </c>
      <c r="H197" s="37">
        <v>0</v>
      </c>
      <c r="I197" s="38">
        <v>45611</v>
      </c>
      <c r="J197" s="85" t="s">
        <v>367</v>
      </c>
      <c r="K197" s="39" t="s">
        <v>277</v>
      </c>
    </row>
    <row r="198" spans="1:11" x14ac:dyDescent="0.3">
      <c r="A198" s="256" t="s">
        <v>281</v>
      </c>
      <c r="B198" s="73">
        <v>1</v>
      </c>
      <c r="C198" s="56" t="s">
        <v>17</v>
      </c>
      <c r="D198" s="309" t="s">
        <v>367</v>
      </c>
      <c r="E198" s="37">
        <v>13.35</v>
      </c>
      <c r="F198" s="38">
        <v>45611</v>
      </c>
      <c r="G198" s="65" t="s">
        <v>367</v>
      </c>
      <c r="H198" s="37">
        <v>0</v>
      </c>
      <c r="I198" s="38">
        <v>45611</v>
      </c>
      <c r="J198" s="69" t="s">
        <v>367</v>
      </c>
      <c r="K198" s="39" t="s">
        <v>277</v>
      </c>
    </row>
    <row r="199" spans="1:11" x14ac:dyDescent="0.3">
      <c r="A199" s="256" t="s">
        <v>282</v>
      </c>
      <c r="B199" s="73">
        <v>1</v>
      </c>
      <c r="C199" s="56" t="s">
        <v>18</v>
      </c>
      <c r="D199" s="309" t="s">
        <v>367</v>
      </c>
      <c r="E199" s="37">
        <v>13.35</v>
      </c>
      <c r="F199" s="38">
        <v>45611</v>
      </c>
      <c r="G199" s="65" t="s">
        <v>367</v>
      </c>
      <c r="H199" s="37">
        <v>0</v>
      </c>
      <c r="I199" s="38">
        <v>45611</v>
      </c>
      <c r="J199" s="69" t="s">
        <v>367</v>
      </c>
      <c r="K199" s="39" t="s">
        <v>277</v>
      </c>
    </row>
    <row r="200" spans="1:11" x14ac:dyDescent="0.3">
      <c r="A200" s="256" t="s">
        <v>283</v>
      </c>
      <c r="B200" s="73">
        <v>1</v>
      </c>
      <c r="C200" s="56" t="s">
        <v>19</v>
      </c>
      <c r="D200" s="309" t="s">
        <v>367</v>
      </c>
      <c r="E200" s="37">
        <v>13.35</v>
      </c>
      <c r="F200" s="38">
        <v>45611</v>
      </c>
      <c r="G200" s="65" t="s">
        <v>367</v>
      </c>
      <c r="H200" s="37">
        <v>0</v>
      </c>
      <c r="I200" s="38">
        <v>45611</v>
      </c>
      <c r="J200" s="69" t="s">
        <v>367</v>
      </c>
      <c r="K200" s="39" t="s">
        <v>277</v>
      </c>
    </row>
    <row r="201" spans="1:11" x14ac:dyDescent="0.3">
      <c r="A201" s="256" t="s">
        <v>284</v>
      </c>
      <c r="B201" s="73">
        <v>1</v>
      </c>
      <c r="C201" s="56" t="s">
        <v>20</v>
      </c>
      <c r="D201" s="309" t="s">
        <v>367</v>
      </c>
      <c r="E201" s="37">
        <v>13.35</v>
      </c>
      <c r="F201" s="38">
        <v>45611</v>
      </c>
      <c r="G201" s="65" t="s">
        <v>367</v>
      </c>
      <c r="H201" s="37">
        <v>0</v>
      </c>
      <c r="I201" s="38">
        <v>45611</v>
      </c>
      <c r="J201" s="69" t="s">
        <v>367</v>
      </c>
      <c r="K201" s="39" t="s">
        <v>277</v>
      </c>
    </row>
    <row r="202" spans="1:11" x14ac:dyDescent="0.3">
      <c r="A202" s="256" t="s">
        <v>285</v>
      </c>
      <c r="B202" s="73">
        <v>1</v>
      </c>
      <c r="C202" s="56" t="s">
        <v>21</v>
      </c>
      <c r="D202" s="309" t="s">
        <v>367</v>
      </c>
      <c r="E202" s="37">
        <v>13.35</v>
      </c>
      <c r="F202" s="38">
        <v>45611</v>
      </c>
      <c r="G202" s="65" t="s">
        <v>367</v>
      </c>
      <c r="H202" s="37">
        <v>0</v>
      </c>
      <c r="I202" s="38">
        <v>45611</v>
      </c>
      <c r="J202" s="69" t="s">
        <v>367</v>
      </c>
      <c r="K202" s="39" t="s">
        <v>277</v>
      </c>
    </row>
    <row r="203" spans="1:11" x14ac:dyDescent="0.3">
      <c r="A203" s="256" t="s">
        <v>286</v>
      </c>
      <c r="B203" s="73">
        <v>1</v>
      </c>
      <c r="C203" s="56" t="s">
        <v>22</v>
      </c>
      <c r="D203" s="309" t="s">
        <v>367</v>
      </c>
      <c r="E203" s="37">
        <v>13.35</v>
      </c>
      <c r="F203" s="38">
        <v>45611</v>
      </c>
      <c r="G203" s="65" t="s">
        <v>367</v>
      </c>
      <c r="H203" s="37">
        <v>0</v>
      </c>
      <c r="I203" s="38">
        <v>45611</v>
      </c>
      <c r="J203" s="69" t="s">
        <v>367</v>
      </c>
      <c r="K203" s="39" t="s">
        <v>277</v>
      </c>
    </row>
    <row r="204" spans="1:11" x14ac:dyDescent="0.3">
      <c r="A204" s="256" t="s">
        <v>287</v>
      </c>
      <c r="B204" s="73">
        <v>1</v>
      </c>
      <c r="C204" s="56" t="s">
        <v>23</v>
      </c>
      <c r="D204" s="309" t="s">
        <v>367</v>
      </c>
      <c r="E204" s="37">
        <v>13.35</v>
      </c>
      <c r="F204" s="38">
        <v>45611</v>
      </c>
      <c r="G204" s="65" t="s">
        <v>367</v>
      </c>
      <c r="H204" s="37">
        <v>0</v>
      </c>
      <c r="I204" s="38">
        <v>45611</v>
      </c>
      <c r="J204" s="69" t="s">
        <v>367</v>
      </c>
      <c r="K204" s="39" t="s">
        <v>277</v>
      </c>
    </row>
    <row r="205" spans="1:11" x14ac:dyDescent="0.3">
      <c r="A205" s="35">
        <v>174</v>
      </c>
      <c r="B205" s="36">
        <v>9</v>
      </c>
      <c r="C205" s="80" t="s">
        <v>17</v>
      </c>
      <c r="D205" s="314">
        <v>48</v>
      </c>
      <c r="E205" s="37">
        <v>100</v>
      </c>
      <c r="F205" s="38">
        <v>45611</v>
      </c>
      <c r="G205" s="84">
        <v>3</v>
      </c>
      <c r="H205" s="37">
        <v>12</v>
      </c>
      <c r="I205" s="38">
        <v>45611</v>
      </c>
      <c r="J205" s="85">
        <v>3</v>
      </c>
      <c r="K205" s="39" t="s">
        <v>235</v>
      </c>
    </row>
    <row r="206" spans="1:11" x14ac:dyDescent="0.3">
      <c r="A206" s="35">
        <v>175</v>
      </c>
      <c r="B206" s="36">
        <v>15</v>
      </c>
      <c r="C206" s="80" t="s">
        <v>22</v>
      </c>
      <c r="D206" s="314">
        <v>38</v>
      </c>
      <c r="E206" s="37">
        <v>50</v>
      </c>
      <c r="F206" s="38">
        <v>45641</v>
      </c>
      <c r="G206" s="84">
        <v>9</v>
      </c>
      <c r="H206" s="37">
        <v>12</v>
      </c>
      <c r="I206" s="38">
        <v>45641</v>
      </c>
      <c r="J206" s="85">
        <v>9</v>
      </c>
      <c r="K206" s="39" t="s">
        <v>288</v>
      </c>
    </row>
    <row r="207" spans="1:11" x14ac:dyDescent="0.3">
      <c r="A207" s="35">
        <v>176</v>
      </c>
      <c r="B207" s="36">
        <v>5</v>
      </c>
      <c r="C207" s="80" t="s">
        <v>14</v>
      </c>
      <c r="D207" s="314">
        <v>37</v>
      </c>
      <c r="E207" s="37">
        <v>100</v>
      </c>
      <c r="F207" s="38">
        <v>45641</v>
      </c>
      <c r="G207" s="84">
        <v>9</v>
      </c>
      <c r="H207" s="37">
        <v>20</v>
      </c>
      <c r="I207" s="38">
        <v>45641</v>
      </c>
      <c r="J207" s="85">
        <v>9</v>
      </c>
      <c r="K207" s="39" t="s">
        <v>288</v>
      </c>
    </row>
    <row r="208" spans="1:11" x14ac:dyDescent="0.3">
      <c r="A208" s="35">
        <v>177</v>
      </c>
      <c r="B208" s="36">
        <v>12</v>
      </c>
      <c r="C208" s="80" t="s">
        <v>20</v>
      </c>
      <c r="D208" s="314">
        <v>55</v>
      </c>
      <c r="E208" s="37">
        <v>100</v>
      </c>
      <c r="F208" s="38">
        <v>45641</v>
      </c>
      <c r="G208" s="84">
        <v>1</v>
      </c>
      <c r="H208" s="37">
        <v>20</v>
      </c>
      <c r="I208" s="38">
        <v>45641</v>
      </c>
      <c r="J208" s="85">
        <v>1</v>
      </c>
      <c r="K208" s="39" t="s">
        <v>232</v>
      </c>
    </row>
    <row r="209" spans="1:11" x14ac:dyDescent="0.3">
      <c r="A209" s="35">
        <v>178</v>
      </c>
      <c r="B209" s="36">
        <v>16</v>
      </c>
      <c r="C209" s="80" t="s">
        <v>23</v>
      </c>
      <c r="D209" s="314">
        <v>47</v>
      </c>
      <c r="E209" s="37">
        <v>41.67</v>
      </c>
      <c r="F209" s="38">
        <v>45641</v>
      </c>
      <c r="G209" s="84">
        <v>5</v>
      </c>
      <c r="H209" s="37">
        <v>10</v>
      </c>
      <c r="I209" s="38">
        <v>45641</v>
      </c>
      <c r="J209" s="85">
        <v>5</v>
      </c>
      <c r="K209" s="39" t="s">
        <v>240</v>
      </c>
    </row>
    <row r="210" spans="1:11" x14ac:dyDescent="0.3">
      <c r="A210" s="35">
        <v>179</v>
      </c>
      <c r="B210" s="36">
        <v>9</v>
      </c>
      <c r="C210" s="80" t="s">
        <v>17</v>
      </c>
      <c r="D210" s="314">
        <v>48</v>
      </c>
      <c r="E210" s="37">
        <v>100</v>
      </c>
      <c r="F210" s="38">
        <v>45641</v>
      </c>
      <c r="G210" s="84">
        <v>4</v>
      </c>
      <c r="H210" s="37">
        <v>12</v>
      </c>
      <c r="I210" s="38">
        <v>45641</v>
      </c>
      <c r="J210" s="85">
        <v>4</v>
      </c>
      <c r="K210" s="39" t="s">
        <v>234</v>
      </c>
    </row>
    <row r="211" spans="1:11" x14ac:dyDescent="0.3">
      <c r="A211" s="35">
        <v>180</v>
      </c>
      <c r="B211" s="74">
        <v>4</v>
      </c>
      <c r="C211" s="80" t="s">
        <v>12</v>
      </c>
      <c r="D211" s="314">
        <v>49</v>
      </c>
      <c r="E211" s="37">
        <v>50</v>
      </c>
      <c r="F211" s="38">
        <v>45641</v>
      </c>
      <c r="G211" s="84">
        <v>4</v>
      </c>
      <c r="H211" s="37">
        <v>6</v>
      </c>
      <c r="I211" s="38">
        <v>45641</v>
      </c>
      <c r="J211" s="85">
        <v>4</v>
      </c>
      <c r="K211" s="39" t="s">
        <v>234</v>
      </c>
    </row>
    <row r="212" spans="1:11" x14ac:dyDescent="0.3">
      <c r="A212" s="35">
        <v>181</v>
      </c>
      <c r="B212" s="36">
        <v>11</v>
      </c>
      <c r="C212" s="80" t="s">
        <v>19</v>
      </c>
      <c r="D212" s="314">
        <v>50</v>
      </c>
      <c r="E212" s="37">
        <v>100</v>
      </c>
      <c r="F212" s="38">
        <v>45641</v>
      </c>
      <c r="G212" s="84">
        <v>3</v>
      </c>
      <c r="H212" s="37">
        <v>8</v>
      </c>
      <c r="I212" s="38">
        <v>45641</v>
      </c>
      <c r="J212" s="85">
        <v>3</v>
      </c>
      <c r="K212" s="39" t="s">
        <v>235</v>
      </c>
    </row>
    <row r="213" spans="1:11" x14ac:dyDescent="0.3">
      <c r="A213" s="35">
        <v>182</v>
      </c>
      <c r="B213" s="36">
        <v>7</v>
      </c>
      <c r="C213" s="80" t="s">
        <v>15</v>
      </c>
      <c r="D213" s="314">
        <v>51</v>
      </c>
      <c r="E213" s="37">
        <v>62.5</v>
      </c>
      <c r="F213" s="38">
        <v>45641</v>
      </c>
      <c r="G213" s="84">
        <v>2</v>
      </c>
      <c r="H213" s="37">
        <v>5</v>
      </c>
      <c r="I213" s="38">
        <v>45641</v>
      </c>
      <c r="J213" s="85">
        <v>2</v>
      </c>
      <c r="K213" s="39" t="s">
        <v>236</v>
      </c>
    </row>
    <row r="214" spans="1:11" x14ac:dyDescent="0.3">
      <c r="A214" s="35">
        <v>183</v>
      </c>
      <c r="B214" s="36">
        <v>8</v>
      </c>
      <c r="C214" s="80" t="s">
        <v>16</v>
      </c>
      <c r="D214" s="314">
        <v>52</v>
      </c>
      <c r="E214" s="37">
        <v>62.5</v>
      </c>
      <c r="F214" s="38">
        <v>45641</v>
      </c>
      <c r="G214" s="84">
        <v>2</v>
      </c>
      <c r="H214" s="37">
        <v>5</v>
      </c>
      <c r="I214" s="38">
        <v>45641</v>
      </c>
      <c r="J214" s="85">
        <v>2</v>
      </c>
      <c r="K214" s="39" t="s">
        <v>236</v>
      </c>
    </row>
    <row r="215" spans="1:11" x14ac:dyDescent="0.3">
      <c r="A215" s="35">
        <v>184</v>
      </c>
      <c r="B215" s="36">
        <v>14</v>
      </c>
      <c r="C215" s="80" t="s">
        <v>21</v>
      </c>
      <c r="D215" s="314">
        <v>53</v>
      </c>
      <c r="E215" s="37">
        <v>125</v>
      </c>
      <c r="F215" s="38">
        <v>45641</v>
      </c>
      <c r="G215" s="84">
        <v>2</v>
      </c>
      <c r="H215" s="37">
        <v>10</v>
      </c>
      <c r="I215" s="38">
        <v>45641</v>
      </c>
      <c r="J215" s="85">
        <v>2</v>
      </c>
      <c r="K215" s="39" t="s">
        <v>236</v>
      </c>
    </row>
    <row r="216" spans="1:11" x14ac:dyDescent="0.3">
      <c r="A216" s="35">
        <v>185</v>
      </c>
      <c r="B216" s="36">
        <v>10</v>
      </c>
      <c r="C216" s="80" t="s">
        <v>18</v>
      </c>
      <c r="D216" s="314">
        <v>56</v>
      </c>
      <c r="E216" s="37">
        <v>40</v>
      </c>
      <c r="F216" s="38">
        <v>45641</v>
      </c>
      <c r="G216" s="84">
        <v>1</v>
      </c>
      <c r="H216" s="37">
        <v>4</v>
      </c>
      <c r="I216" s="38">
        <v>45641</v>
      </c>
      <c r="J216" s="85">
        <v>1</v>
      </c>
      <c r="K216" s="39" t="s">
        <v>232</v>
      </c>
    </row>
    <row r="217" spans="1:11" x14ac:dyDescent="0.3">
      <c r="A217" s="256" t="s">
        <v>289</v>
      </c>
      <c r="B217" s="36">
        <v>1</v>
      </c>
      <c r="C217" s="80" t="s">
        <v>24</v>
      </c>
      <c r="D217" s="314" t="s">
        <v>367</v>
      </c>
      <c r="E217" s="37">
        <v>13.35</v>
      </c>
      <c r="F217" s="38">
        <v>45641</v>
      </c>
      <c r="G217" s="84" t="s">
        <v>367</v>
      </c>
      <c r="H217" s="37">
        <v>0</v>
      </c>
      <c r="I217" s="38">
        <v>45641</v>
      </c>
      <c r="J217" s="85" t="s">
        <v>367</v>
      </c>
      <c r="K217" s="39" t="s">
        <v>277</v>
      </c>
    </row>
    <row r="218" spans="1:11" x14ac:dyDescent="0.3">
      <c r="A218" s="256" t="s">
        <v>290</v>
      </c>
      <c r="B218" s="36">
        <v>1</v>
      </c>
      <c r="C218" s="80" t="s">
        <v>443</v>
      </c>
      <c r="D218" s="314" t="s">
        <v>367</v>
      </c>
      <c r="E218" s="37">
        <v>13.35</v>
      </c>
      <c r="F218" s="38">
        <v>45641</v>
      </c>
      <c r="G218" s="84" t="s">
        <v>367</v>
      </c>
      <c r="H218" s="37">
        <v>0</v>
      </c>
      <c r="I218" s="38">
        <v>45641</v>
      </c>
      <c r="J218" s="85" t="s">
        <v>367</v>
      </c>
      <c r="K218" s="39" t="s">
        <v>277</v>
      </c>
    </row>
    <row r="219" spans="1:11" x14ac:dyDescent="0.3">
      <c r="A219" s="35">
        <v>186</v>
      </c>
      <c r="B219" s="74">
        <v>3</v>
      </c>
      <c r="C219" s="80" t="s">
        <v>13</v>
      </c>
      <c r="D219" s="314">
        <v>54</v>
      </c>
      <c r="E219" s="37">
        <v>166.67</v>
      </c>
      <c r="F219" s="38">
        <v>45641</v>
      </c>
      <c r="G219" s="84">
        <v>1</v>
      </c>
      <c r="H219" s="37">
        <v>10</v>
      </c>
      <c r="I219" s="38">
        <v>45641</v>
      </c>
      <c r="J219" s="85">
        <v>1</v>
      </c>
      <c r="K219" s="39" t="s">
        <v>232</v>
      </c>
    </row>
    <row r="220" spans="1:11" x14ac:dyDescent="0.3">
      <c r="A220" s="248" t="s">
        <v>408</v>
      </c>
      <c r="B220" s="36">
        <v>6</v>
      </c>
      <c r="C220" s="80" t="s">
        <v>24</v>
      </c>
      <c r="D220" s="314">
        <v>46</v>
      </c>
      <c r="E220" s="37">
        <v>100</v>
      </c>
      <c r="F220" s="38">
        <v>45641</v>
      </c>
      <c r="G220" s="84">
        <v>5</v>
      </c>
      <c r="H220" s="37">
        <v>0</v>
      </c>
      <c r="I220" s="38">
        <v>45641</v>
      </c>
      <c r="J220" s="85">
        <v>5</v>
      </c>
      <c r="K220" s="39" t="s">
        <v>293</v>
      </c>
    </row>
    <row r="221" spans="1:11" x14ac:dyDescent="0.3">
      <c r="A221" s="248" t="s">
        <v>409</v>
      </c>
      <c r="B221" s="36">
        <v>6</v>
      </c>
      <c r="C221" s="80" t="s">
        <v>24</v>
      </c>
      <c r="D221" s="314">
        <v>46</v>
      </c>
      <c r="E221" s="37">
        <v>0</v>
      </c>
      <c r="F221" s="38">
        <v>45641</v>
      </c>
      <c r="G221" s="84">
        <v>5</v>
      </c>
      <c r="H221" s="37">
        <v>10</v>
      </c>
      <c r="I221" s="38">
        <v>45641</v>
      </c>
      <c r="J221" s="85">
        <v>5</v>
      </c>
      <c r="K221" s="39" t="s">
        <v>275</v>
      </c>
    </row>
    <row r="222" spans="1:11" x14ac:dyDescent="0.3">
      <c r="A222" s="248" t="s">
        <v>410</v>
      </c>
      <c r="B222" s="36">
        <v>11</v>
      </c>
      <c r="C222" s="80" t="s">
        <v>19</v>
      </c>
      <c r="D222" s="314">
        <v>50</v>
      </c>
      <c r="E222" s="37">
        <v>100</v>
      </c>
      <c r="F222" s="38">
        <v>45641</v>
      </c>
      <c r="G222" s="84">
        <v>4</v>
      </c>
      <c r="H222" s="37">
        <v>0</v>
      </c>
      <c r="I222" s="38">
        <v>45641</v>
      </c>
      <c r="J222" s="85">
        <v>4</v>
      </c>
      <c r="K222" s="39" t="s">
        <v>297</v>
      </c>
    </row>
    <row r="223" spans="1:11" x14ac:dyDescent="0.3">
      <c r="A223" s="248" t="s">
        <v>411</v>
      </c>
      <c r="B223" s="36">
        <v>11</v>
      </c>
      <c r="C223" s="80" t="s">
        <v>19</v>
      </c>
      <c r="D223" s="314">
        <v>50</v>
      </c>
      <c r="E223" s="37">
        <v>0</v>
      </c>
      <c r="F223" s="38">
        <v>45641</v>
      </c>
      <c r="G223" s="84">
        <v>4</v>
      </c>
      <c r="H223" s="37">
        <v>8</v>
      </c>
      <c r="I223" s="38">
        <v>45641</v>
      </c>
      <c r="J223" s="85">
        <v>4</v>
      </c>
      <c r="K223" s="39" t="s">
        <v>298</v>
      </c>
    </row>
    <row r="224" spans="1:11" x14ac:dyDescent="0.3">
      <c r="A224" s="35">
        <v>187</v>
      </c>
      <c r="B224" s="36">
        <v>15</v>
      </c>
      <c r="C224" s="80" t="s">
        <v>22</v>
      </c>
      <c r="D224" s="314">
        <v>38</v>
      </c>
      <c r="E224" s="37">
        <v>50</v>
      </c>
      <c r="F224" s="38">
        <v>45672</v>
      </c>
      <c r="G224" s="84">
        <v>10</v>
      </c>
      <c r="H224" s="37">
        <v>12</v>
      </c>
      <c r="I224" s="38">
        <v>45672</v>
      </c>
      <c r="J224" s="85">
        <v>10</v>
      </c>
      <c r="K224" s="39" t="s">
        <v>433</v>
      </c>
    </row>
    <row r="225" spans="1:11" x14ac:dyDescent="0.3">
      <c r="A225" s="35">
        <v>188</v>
      </c>
      <c r="B225" s="36">
        <v>16</v>
      </c>
      <c r="C225" s="80" t="s">
        <v>23</v>
      </c>
      <c r="D225" s="314">
        <v>47</v>
      </c>
      <c r="E225" s="37">
        <v>41.67</v>
      </c>
      <c r="F225" s="38">
        <v>45672</v>
      </c>
      <c r="G225" s="84">
        <v>6</v>
      </c>
      <c r="H225" s="37">
        <v>10</v>
      </c>
      <c r="I225" s="38">
        <v>45672</v>
      </c>
      <c r="J225" s="85">
        <v>6</v>
      </c>
      <c r="K225" s="39" t="s">
        <v>205</v>
      </c>
    </row>
    <row r="226" spans="1:11" x14ac:dyDescent="0.3">
      <c r="A226" s="35">
        <v>189</v>
      </c>
      <c r="B226" s="74">
        <v>4</v>
      </c>
      <c r="C226" s="80" t="s">
        <v>12</v>
      </c>
      <c r="D226" s="314">
        <v>49</v>
      </c>
      <c r="E226" s="37">
        <v>50</v>
      </c>
      <c r="F226" s="38">
        <v>45672</v>
      </c>
      <c r="G226" s="84">
        <v>5</v>
      </c>
      <c r="H226" s="37">
        <v>6</v>
      </c>
      <c r="I226" s="38">
        <v>45672</v>
      </c>
      <c r="J226" s="85">
        <v>5</v>
      </c>
      <c r="K226" s="39" t="s">
        <v>194</v>
      </c>
    </row>
    <row r="227" spans="1:11" x14ac:dyDescent="0.3">
      <c r="A227" s="35">
        <v>190</v>
      </c>
      <c r="B227" s="36">
        <v>7</v>
      </c>
      <c r="C227" s="80" t="s">
        <v>15</v>
      </c>
      <c r="D227" s="314">
        <v>51</v>
      </c>
      <c r="E227" s="37">
        <v>62.5</v>
      </c>
      <c r="F227" s="38">
        <v>45672</v>
      </c>
      <c r="G227" s="84">
        <v>3</v>
      </c>
      <c r="H227" s="37">
        <v>5</v>
      </c>
      <c r="I227" s="38">
        <v>45672</v>
      </c>
      <c r="J227" s="85">
        <v>3</v>
      </c>
      <c r="K227" s="39" t="s">
        <v>306</v>
      </c>
    </row>
    <row r="228" spans="1:11" x14ac:dyDescent="0.3">
      <c r="A228" s="35">
        <v>191</v>
      </c>
      <c r="B228" s="36">
        <v>8</v>
      </c>
      <c r="C228" s="80" t="s">
        <v>16</v>
      </c>
      <c r="D228" s="314">
        <v>52</v>
      </c>
      <c r="E228" s="37">
        <v>62.5</v>
      </c>
      <c r="F228" s="38">
        <v>45672</v>
      </c>
      <c r="G228" s="84">
        <v>3</v>
      </c>
      <c r="H228" s="37">
        <v>5</v>
      </c>
      <c r="I228" s="38">
        <v>45672</v>
      </c>
      <c r="J228" s="85">
        <v>3</v>
      </c>
      <c r="K228" s="39" t="s">
        <v>80</v>
      </c>
    </row>
    <row r="229" spans="1:11" x14ac:dyDescent="0.3">
      <c r="A229" s="35">
        <v>192</v>
      </c>
      <c r="B229" s="36">
        <v>14</v>
      </c>
      <c r="C229" s="80" t="s">
        <v>21</v>
      </c>
      <c r="D229" s="314">
        <v>53</v>
      </c>
      <c r="E229" s="37">
        <v>125</v>
      </c>
      <c r="F229" s="38">
        <v>45672</v>
      </c>
      <c r="G229" s="84">
        <v>3</v>
      </c>
      <c r="H229" s="37">
        <v>10</v>
      </c>
      <c r="I229" s="38">
        <v>45672</v>
      </c>
      <c r="J229" s="85">
        <v>3</v>
      </c>
      <c r="K229" s="39" t="s">
        <v>80</v>
      </c>
    </row>
    <row r="230" spans="1:11" x14ac:dyDescent="0.3">
      <c r="A230" s="35">
        <v>193</v>
      </c>
      <c r="B230" s="36">
        <v>12</v>
      </c>
      <c r="C230" s="80" t="s">
        <v>20</v>
      </c>
      <c r="D230" s="314">
        <v>55</v>
      </c>
      <c r="E230" s="37">
        <v>100</v>
      </c>
      <c r="F230" s="38">
        <v>45672</v>
      </c>
      <c r="G230" s="84">
        <v>2</v>
      </c>
      <c r="H230" s="37">
        <v>20</v>
      </c>
      <c r="I230" s="38">
        <v>45672</v>
      </c>
      <c r="J230" s="85">
        <v>2</v>
      </c>
      <c r="K230" s="39" t="s">
        <v>307</v>
      </c>
    </row>
    <row r="231" spans="1:11" x14ac:dyDescent="0.3">
      <c r="A231" s="35">
        <v>194</v>
      </c>
      <c r="B231" s="36">
        <v>6</v>
      </c>
      <c r="C231" s="80" t="s">
        <v>24</v>
      </c>
      <c r="D231" s="314">
        <v>57</v>
      </c>
      <c r="E231" s="37">
        <v>100</v>
      </c>
      <c r="F231" s="38">
        <v>45672</v>
      </c>
      <c r="G231" s="84">
        <v>1</v>
      </c>
      <c r="H231" s="37">
        <v>20</v>
      </c>
      <c r="I231" s="38">
        <v>45672</v>
      </c>
      <c r="J231" s="85">
        <v>1</v>
      </c>
      <c r="K231" s="39" t="s">
        <v>232</v>
      </c>
    </row>
    <row r="232" spans="1:11" x14ac:dyDescent="0.3">
      <c r="A232" s="35">
        <v>195</v>
      </c>
      <c r="B232" s="36">
        <v>11</v>
      </c>
      <c r="C232" s="80" t="s">
        <v>19</v>
      </c>
      <c r="D232" s="314">
        <v>58</v>
      </c>
      <c r="E232" s="37">
        <v>100</v>
      </c>
      <c r="F232" s="38">
        <v>45672</v>
      </c>
      <c r="G232" s="84">
        <v>1</v>
      </c>
      <c r="H232" s="37">
        <v>10</v>
      </c>
      <c r="I232" s="38">
        <v>45672</v>
      </c>
      <c r="J232" s="85">
        <v>1</v>
      </c>
      <c r="K232" s="39" t="s">
        <v>308</v>
      </c>
    </row>
    <row r="233" spans="1:11" x14ac:dyDescent="0.3">
      <c r="A233" s="35">
        <v>196</v>
      </c>
      <c r="B233" s="36">
        <v>5</v>
      </c>
      <c r="C233" s="80" t="s">
        <v>14</v>
      </c>
      <c r="D233" s="314">
        <v>37</v>
      </c>
      <c r="E233" s="37">
        <v>100</v>
      </c>
      <c r="F233" s="38">
        <v>45672</v>
      </c>
      <c r="G233" s="84">
        <v>10</v>
      </c>
      <c r="H233" s="37">
        <v>20</v>
      </c>
      <c r="I233" s="38">
        <v>45672</v>
      </c>
      <c r="J233" s="85">
        <v>10</v>
      </c>
      <c r="K233" s="39" t="s">
        <v>309</v>
      </c>
    </row>
    <row r="234" spans="1:11" x14ac:dyDescent="0.3">
      <c r="A234" s="248" t="s">
        <v>412</v>
      </c>
      <c r="B234" s="36">
        <v>10</v>
      </c>
      <c r="C234" s="80" t="s">
        <v>18</v>
      </c>
      <c r="D234" s="314">
        <v>56</v>
      </c>
      <c r="E234" s="37">
        <v>40</v>
      </c>
      <c r="F234" s="38">
        <v>45672</v>
      </c>
      <c r="G234" s="84">
        <v>2</v>
      </c>
      <c r="H234" s="37">
        <v>4</v>
      </c>
      <c r="I234" s="38">
        <v>45672</v>
      </c>
      <c r="J234" s="85">
        <v>2</v>
      </c>
      <c r="K234" s="39" t="s">
        <v>320</v>
      </c>
    </row>
    <row r="235" spans="1:11" x14ac:dyDescent="0.3">
      <c r="A235" s="248" t="s">
        <v>413</v>
      </c>
      <c r="B235" s="36">
        <v>9</v>
      </c>
      <c r="C235" s="80" t="s">
        <v>17</v>
      </c>
      <c r="D235" s="314">
        <v>48</v>
      </c>
      <c r="E235" s="37">
        <v>100</v>
      </c>
      <c r="F235" s="38">
        <v>45672</v>
      </c>
      <c r="G235" s="84">
        <v>5</v>
      </c>
      <c r="H235" s="37">
        <v>12</v>
      </c>
      <c r="I235" s="38">
        <v>45672</v>
      </c>
      <c r="J235" s="85">
        <v>5</v>
      </c>
      <c r="K235" s="39" t="s">
        <v>321</v>
      </c>
    </row>
    <row r="236" spans="1:11" x14ac:dyDescent="0.3">
      <c r="A236" s="248" t="s">
        <v>414</v>
      </c>
      <c r="B236" s="36">
        <v>9</v>
      </c>
      <c r="C236" s="80" t="s">
        <v>17</v>
      </c>
      <c r="D236" s="314">
        <v>48</v>
      </c>
      <c r="E236" s="37">
        <v>100</v>
      </c>
      <c r="F236" s="38">
        <v>45672</v>
      </c>
      <c r="G236" s="84">
        <v>6</v>
      </c>
      <c r="H236" s="37">
        <v>0</v>
      </c>
      <c r="I236" s="38">
        <v>45672</v>
      </c>
      <c r="J236" s="85">
        <v>6</v>
      </c>
      <c r="K236" s="39" t="s">
        <v>322</v>
      </c>
    </row>
    <row r="237" spans="1:11" x14ac:dyDescent="0.3">
      <c r="A237" s="248" t="s">
        <v>415</v>
      </c>
      <c r="B237" s="36">
        <v>9</v>
      </c>
      <c r="C237" s="80" t="s">
        <v>17</v>
      </c>
      <c r="D237" s="314">
        <v>48</v>
      </c>
      <c r="E237" s="37">
        <v>0</v>
      </c>
      <c r="F237" s="38">
        <v>45672</v>
      </c>
      <c r="G237" s="84">
        <v>6</v>
      </c>
      <c r="H237" s="37">
        <v>12</v>
      </c>
      <c r="I237" s="38">
        <v>45672</v>
      </c>
      <c r="J237" s="85">
        <v>6</v>
      </c>
      <c r="K237" s="39" t="s">
        <v>215</v>
      </c>
    </row>
    <row r="238" spans="1:11" x14ac:dyDescent="0.3">
      <c r="A238" s="35">
        <v>197</v>
      </c>
      <c r="B238" s="74">
        <v>3</v>
      </c>
      <c r="C238" s="80" t="s">
        <v>13</v>
      </c>
      <c r="D238" s="314">
        <v>54</v>
      </c>
      <c r="E238" s="37">
        <v>144.57</v>
      </c>
      <c r="F238" s="38">
        <v>45672</v>
      </c>
      <c r="G238" s="84">
        <v>2</v>
      </c>
      <c r="H238" s="37">
        <v>10</v>
      </c>
      <c r="I238" s="38">
        <v>45672</v>
      </c>
      <c r="J238" s="85">
        <v>2</v>
      </c>
      <c r="K238" s="39" t="s">
        <v>311</v>
      </c>
    </row>
    <row r="239" spans="1:11" x14ac:dyDescent="0.3">
      <c r="A239" s="248" t="s">
        <v>416</v>
      </c>
      <c r="B239" s="74">
        <v>3</v>
      </c>
      <c r="C239" s="80" t="s">
        <v>13</v>
      </c>
      <c r="D239" s="314">
        <v>54</v>
      </c>
      <c r="E239" s="37">
        <v>22.1</v>
      </c>
      <c r="F239" s="38">
        <v>45672</v>
      </c>
      <c r="G239" s="84">
        <v>2</v>
      </c>
      <c r="H239" s="37">
        <v>0</v>
      </c>
      <c r="I239" s="38">
        <v>45672</v>
      </c>
      <c r="J239" s="85">
        <v>2</v>
      </c>
      <c r="K239" s="39" t="s">
        <v>431</v>
      </c>
    </row>
    <row r="240" spans="1:11" x14ac:dyDescent="0.3">
      <c r="A240" s="248" t="s">
        <v>417</v>
      </c>
      <c r="B240" s="36">
        <v>14</v>
      </c>
      <c r="C240" s="80" t="s">
        <v>21</v>
      </c>
      <c r="D240" s="314">
        <v>53</v>
      </c>
      <c r="E240" s="37">
        <v>125</v>
      </c>
      <c r="F240" s="38">
        <v>45672</v>
      </c>
      <c r="G240" s="84">
        <v>4</v>
      </c>
      <c r="H240" s="37">
        <v>0</v>
      </c>
      <c r="I240" s="38">
        <v>45672</v>
      </c>
      <c r="J240" s="85">
        <v>4</v>
      </c>
      <c r="K240" s="39" t="s">
        <v>323</v>
      </c>
    </row>
    <row r="241" spans="1:11" x14ac:dyDescent="0.3">
      <c r="A241" s="248" t="s">
        <v>418</v>
      </c>
      <c r="B241" s="36">
        <v>14</v>
      </c>
      <c r="C241" s="80" t="s">
        <v>21</v>
      </c>
      <c r="D241" s="314">
        <v>53</v>
      </c>
      <c r="E241" s="37">
        <v>0</v>
      </c>
      <c r="F241" s="38">
        <v>45672</v>
      </c>
      <c r="G241" s="84">
        <v>4</v>
      </c>
      <c r="H241" s="37">
        <v>10</v>
      </c>
      <c r="I241" s="38">
        <v>45672</v>
      </c>
      <c r="J241" s="85">
        <v>4</v>
      </c>
      <c r="K241" s="39" t="s">
        <v>215</v>
      </c>
    </row>
    <row r="242" spans="1:11" x14ac:dyDescent="0.3">
      <c r="A242" s="28">
        <v>198</v>
      </c>
      <c r="B242" s="36">
        <v>16</v>
      </c>
      <c r="C242" s="56" t="s">
        <v>23</v>
      </c>
      <c r="D242" s="309">
        <v>59</v>
      </c>
      <c r="E242" s="34">
        <v>80</v>
      </c>
      <c r="F242" s="57">
        <v>45672</v>
      </c>
      <c r="G242" s="65">
        <v>1</v>
      </c>
      <c r="H242" s="34">
        <v>1.6</v>
      </c>
      <c r="I242" s="57">
        <v>45672</v>
      </c>
      <c r="J242" s="69">
        <v>1</v>
      </c>
      <c r="K242" s="41" t="s">
        <v>317</v>
      </c>
    </row>
    <row r="243" spans="1:11" x14ac:dyDescent="0.3">
      <c r="A243" s="28">
        <v>199</v>
      </c>
      <c r="B243" s="36">
        <v>15</v>
      </c>
      <c r="C243" s="80" t="s">
        <v>22</v>
      </c>
      <c r="D243" s="314">
        <v>38</v>
      </c>
      <c r="E243" s="37">
        <v>50</v>
      </c>
      <c r="F243" s="38">
        <v>45704</v>
      </c>
      <c r="G243" s="84">
        <v>11</v>
      </c>
      <c r="H243" s="37">
        <v>12</v>
      </c>
      <c r="I243" s="38">
        <v>45704</v>
      </c>
      <c r="J243" s="85">
        <v>11</v>
      </c>
      <c r="K243" s="39" t="s">
        <v>434</v>
      </c>
    </row>
    <row r="244" spans="1:11" x14ac:dyDescent="0.3">
      <c r="A244" s="28">
        <v>200</v>
      </c>
      <c r="B244" s="36">
        <v>16</v>
      </c>
      <c r="C244" s="80" t="s">
        <v>23</v>
      </c>
      <c r="D244" s="314">
        <v>47</v>
      </c>
      <c r="E244" s="37">
        <v>41.67</v>
      </c>
      <c r="F244" s="38">
        <v>45704</v>
      </c>
      <c r="G244" s="84">
        <v>7</v>
      </c>
      <c r="H244" s="37">
        <v>10</v>
      </c>
      <c r="I244" s="38">
        <v>45704</v>
      </c>
      <c r="J244" s="85">
        <v>7</v>
      </c>
      <c r="K244" s="39" t="s">
        <v>239</v>
      </c>
    </row>
    <row r="245" spans="1:11" x14ac:dyDescent="0.3">
      <c r="A245" s="28">
        <v>201</v>
      </c>
      <c r="B245" s="74">
        <v>4</v>
      </c>
      <c r="C245" s="80" t="s">
        <v>12</v>
      </c>
      <c r="D245" s="314">
        <v>49</v>
      </c>
      <c r="E245" s="37">
        <v>50</v>
      </c>
      <c r="F245" s="38">
        <v>45704</v>
      </c>
      <c r="G245" s="84">
        <v>6</v>
      </c>
      <c r="H245" s="37">
        <v>6</v>
      </c>
      <c r="I245" s="38">
        <v>45704</v>
      </c>
      <c r="J245" s="85">
        <v>6</v>
      </c>
      <c r="K245" s="39" t="s">
        <v>324</v>
      </c>
    </row>
    <row r="246" spans="1:11" x14ac:dyDescent="0.3">
      <c r="A246" s="28">
        <v>202</v>
      </c>
      <c r="B246" s="36">
        <v>7</v>
      </c>
      <c r="C246" s="80" t="s">
        <v>15</v>
      </c>
      <c r="D246" s="314">
        <v>51</v>
      </c>
      <c r="E246" s="37">
        <v>62.5</v>
      </c>
      <c r="F246" s="38">
        <v>45704</v>
      </c>
      <c r="G246" s="84">
        <v>4</v>
      </c>
      <c r="H246" s="37">
        <v>5</v>
      </c>
      <c r="I246" s="38">
        <v>45704</v>
      </c>
      <c r="J246" s="85">
        <v>4</v>
      </c>
      <c r="K246" s="39" t="s">
        <v>325</v>
      </c>
    </row>
    <row r="247" spans="1:11" x14ac:dyDescent="0.3">
      <c r="A247" s="28">
        <v>203</v>
      </c>
      <c r="B247" s="36">
        <v>8</v>
      </c>
      <c r="C247" s="80" t="s">
        <v>16</v>
      </c>
      <c r="D247" s="314">
        <v>52</v>
      </c>
      <c r="E247" s="37">
        <v>62.5</v>
      </c>
      <c r="F247" s="38">
        <v>45704</v>
      </c>
      <c r="G247" s="84">
        <v>4</v>
      </c>
      <c r="H247" s="37">
        <v>5</v>
      </c>
      <c r="I247" s="38">
        <v>45704</v>
      </c>
      <c r="J247" s="85">
        <v>4</v>
      </c>
      <c r="K247" s="39" t="s">
        <v>326</v>
      </c>
    </row>
    <row r="248" spans="1:11" x14ac:dyDescent="0.3">
      <c r="A248" s="28">
        <v>204</v>
      </c>
      <c r="B248" s="74">
        <v>3</v>
      </c>
      <c r="C248" s="80" t="s">
        <v>13</v>
      </c>
      <c r="D248" s="314">
        <v>54</v>
      </c>
      <c r="E248" s="37">
        <v>166.67</v>
      </c>
      <c r="F248" s="38">
        <v>45704</v>
      </c>
      <c r="G248" s="84">
        <v>3</v>
      </c>
      <c r="H248" s="37">
        <v>10</v>
      </c>
      <c r="I248" s="38">
        <v>45704</v>
      </c>
      <c r="J248" s="85">
        <v>3</v>
      </c>
      <c r="K248" s="39" t="s">
        <v>327</v>
      </c>
    </row>
    <row r="249" spans="1:11" x14ac:dyDescent="0.3">
      <c r="A249" s="28">
        <v>205</v>
      </c>
      <c r="B249" s="36">
        <v>12</v>
      </c>
      <c r="C249" s="80" t="s">
        <v>20</v>
      </c>
      <c r="D249" s="314">
        <v>55</v>
      </c>
      <c r="E249" s="37">
        <v>100</v>
      </c>
      <c r="F249" s="38">
        <v>45704</v>
      </c>
      <c r="G249" s="84">
        <v>3</v>
      </c>
      <c r="H249" s="37">
        <v>20</v>
      </c>
      <c r="I249" s="38">
        <v>45704</v>
      </c>
      <c r="J249" s="85">
        <v>3</v>
      </c>
      <c r="K249" s="39" t="s">
        <v>235</v>
      </c>
    </row>
    <row r="250" spans="1:11" x14ac:dyDescent="0.3">
      <c r="A250" s="28">
        <v>206</v>
      </c>
      <c r="B250" s="36">
        <v>10</v>
      </c>
      <c r="C250" s="80" t="s">
        <v>18</v>
      </c>
      <c r="D250" s="314">
        <v>56</v>
      </c>
      <c r="E250" s="37">
        <v>40</v>
      </c>
      <c r="F250" s="38">
        <v>45704</v>
      </c>
      <c r="G250" s="84">
        <v>3</v>
      </c>
      <c r="H250" s="37">
        <v>4</v>
      </c>
      <c r="I250" s="38">
        <v>45704</v>
      </c>
      <c r="J250" s="85">
        <v>3</v>
      </c>
      <c r="K250" s="39" t="s">
        <v>235</v>
      </c>
    </row>
    <row r="251" spans="1:11" x14ac:dyDescent="0.3">
      <c r="A251" s="28">
        <v>207</v>
      </c>
      <c r="B251" s="36">
        <v>6</v>
      </c>
      <c r="C251" s="80" t="s">
        <v>24</v>
      </c>
      <c r="D251" s="314">
        <v>57</v>
      </c>
      <c r="E251" s="37">
        <v>100</v>
      </c>
      <c r="F251" s="38">
        <v>45704</v>
      </c>
      <c r="G251" s="84">
        <v>2</v>
      </c>
      <c r="H251" s="37">
        <v>20</v>
      </c>
      <c r="I251" s="38">
        <v>45704</v>
      </c>
      <c r="J251" s="85">
        <v>2</v>
      </c>
      <c r="K251" s="39" t="s">
        <v>236</v>
      </c>
    </row>
    <row r="252" spans="1:11" x14ac:dyDescent="0.3">
      <c r="A252" s="28">
        <v>208</v>
      </c>
      <c r="B252" s="36">
        <v>11</v>
      </c>
      <c r="C252" s="80" t="s">
        <v>19</v>
      </c>
      <c r="D252" s="314">
        <v>58</v>
      </c>
      <c r="E252" s="37">
        <v>100</v>
      </c>
      <c r="F252" s="38">
        <v>45704</v>
      </c>
      <c r="G252" s="84">
        <v>2</v>
      </c>
      <c r="H252" s="37">
        <v>10</v>
      </c>
      <c r="I252" s="38">
        <v>45704</v>
      </c>
      <c r="J252" s="85">
        <v>2</v>
      </c>
      <c r="K252" s="39" t="s">
        <v>236</v>
      </c>
    </row>
    <row r="253" spans="1:11" x14ac:dyDescent="0.3">
      <c r="A253" s="28">
        <v>209</v>
      </c>
      <c r="B253" s="36">
        <v>9</v>
      </c>
      <c r="C253" s="80" t="s">
        <v>17</v>
      </c>
      <c r="D253" s="314">
        <v>60</v>
      </c>
      <c r="E253" s="37">
        <v>100</v>
      </c>
      <c r="F253" s="38">
        <v>45704</v>
      </c>
      <c r="G253" s="84">
        <v>1</v>
      </c>
      <c r="H253" s="37">
        <v>14</v>
      </c>
      <c r="I253" s="38">
        <v>45704</v>
      </c>
      <c r="J253" s="85">
        <v>1</v>
      </c>
      <c r="K253" s="39" t="s">
        <v>232</v>
      </c>
    </row>
    <row r="254" spans="1:11" x14ac:dyDescent="0.3">
      <c r="A254" s="28">
        <v>210</v>
      </c>
      <c r="B254" s="36">
        <v>14</v>
      </c>
      <c r="C254" s="80" t="s">
        <v>21</v>
      </c>
      <c r="D254" s="314">
        <v>61</v>
      </c>
      <c r="E254" s="37">
        <v>100</v>
      </c>
      <c r="F254" s="38">
        <v>45704</v>
      </c>
      <c r="G254" s="84">
        <v>1</v>
      </c>
      <c r="H254" s="37">
        <v>14</v>
      </c>
      <c r="I254" s="38">
        <v>45704</v>
      </c>
      <c r="J254" s="85">
        <v>1</v>
      </c>
      <c r="K254" s="39" t="s">
        <v>232</v>
      </c>
    </row>
    <row r="255" spans="1:11" x14ac:dyDescent="0.3">
      <c r="A255" s="256" t="s">
        <v>328</v>
      </c>
      <c r="B255" s="75">
        <v>1</v>
      </c>
      <c r="C255" s="80" t="s">
        <v>70</v>
      </c>
      <c r="D255" s="314" t="s">
        <v>366</v>
      </c>
      <c r="E255" s="37">
        <v>0</v>
      </c>
      <c r="F255" s="38">
        <v>45704</v>
      </c>
      <c r="G255" s="84" t="s">
        <v>366</v>
      </c>
      <c r="H255" s="37">
        <v>1</v>
      </c>
      <c r="I255" s="38">
        <v>45704</v>
      </c>
      <c r="J255" s="85" t="s">
        <v>366</v>
      </c>
      <c r="K255" s="39" t="s">
        <v>329</v>
      </c>
    </row>
    <row r="256" spans="1:11" x14ac:dyDescent="0.3">
      <c r="A256" s="35">
        <v>211</v>
      </c>
      <c r="B256" s="36">
        <v>16</v>
      </c>
      <c r="C256" s="80" t="s">
        <v>23</v>
      </c>
      <c r="D256" s="314">
        <v>62</v>
      </c>
      <c r="E256" s="37">
        <v>75</v>
      </c>
      <c r="F256" s="38">
        <v>45708</v>
      </c>
      <c r="G256" s="84">
        <v>1</v>
      </c>
      <c r="H256" s="37">
        <v>3</v>
      </c>
      <c r="I256" s="38">
        <v>45723</v>
      </c>
      <c r="J256" s="85">
        <v>1</v>
      </c>
      <c r="K256" s="39" t="s">
        <v>76</v>
      </c>
    </row>
    <row r="257" spans="1:11" x14ac:dyDescent="0.3">
      <c r="A257" s="35">
        <v>212</v>
      </c>
      <c r="B257" s="36">
        <v>15</v>
      </c>
      <c r="C257" s="80" t="s">
        <v>22</v>
      </c>
      <c r="D257" s="314">
        <v>38</v>
      </c>
      <c r="E257" s="37">
        <v>50</v>
      </c>
      <c r="F257" s="38">
        <v>45731</v>
      </c>
      <c r="G257" s="84">
        <v>11</v>
      </c>
      <c r="H257" s="37">
        <v>12</v>
      </c>
      <c r="I257" s="38">
        <v>45731</v>
      </c>
      <c r="J257" s="85">
        <v>11</v>
      </c>
      <c r="K257" s="39" t="s">
        <v>432</v>
      </c>
    </row>
    <row r="258" spans="1:11" x14ac:dyDescent="0.3">
      <c r="A258" s="35">
        <v>213</v>
      </c>
      <c r="B258" s="36">
        <v>16</v>
      </c>
      <c r="C258" s="80" t="s">
        <v>23</v>
      </c>
      <c r="D258" s="314">
        <v>47</v>
      </c>
      <c r="E258" s="37">
        <v>41.67</v>
      </c>
      <c r="F258" s="38">
        <v>45731</v>
      </c>
      <c r="G258" s="84">
        <v>7</v>
      </c>
      <c r="H258" s="37">
        <v>10</v>
      </c>
      <c r="I258" s="38">
        <v>45731</v>
      </c>
      <c r="J258" s="85">
        <v>7</v>
      </c>
      <c r="K258" s="39" t="s">
        <v>209</v>
      </c>
    </row>
    <row r="259" spans="1:11" x14ac:dyDescent="0.3">
      <c r="A259" s="35">
        <v>214</v>
      </c>
      <c r="B259" s="36">
        <v>12</v>
      </c>
      <c r="C259" s="80" t="s">
        <v>20</v>
      </c>
      <c r="D259" s="314">
        <v>55</v>
      </c>
      <c r="E259" s="37">
        <v>100</v>
      </c>
      <c r="F259" s="38">
        <v>45731</v>
      </c>
      <c r="G259" s="84">
        <v>4</v>
      </c>
      <c r="H259" s="37">
        <v>20</v>
      </c>
      <c r="I259" s="38">
        <v>45731</v>
      </c>
      <c r="J259" s="85">
        <v>4</v>
      </c>
      <c r="K259" s="39" t="s">
        <v>234</v>
      </c>
    </row>
    <row r="260" spans="1:11" x14ac:dyDescent="0.3">
      <c r="A260" s="35">
        <v>215</v>
      </c>
      <c r="B260" s="36">
        <v>6</v>
      </c>
      <c r="C260" s="80" t="s">
        <v>24</v>
      </c>
      <c r="D260" s="314">
        <v>57</v>
      </c>
      <c r="E260" s="37">
        <v>100</v>
      </c>
      <c r="F260" s="38">
        <v>45731</v>
      </c>
      <c r="G260" s="84">
        <v>2</v>
      </c>
      <c r="H260" s="37">
        <v>20</v>
      </c>
      <c r="I260" s="38">
        <v>45731</v>
      </c>
      <c r="J260" s="85">
        <v>2</v>
      </c>
      <c r="K260" s="39" t="s">
        <v>77</v>
      </c>
    </row>
    <row r="261" spans="1:11" x14ac:dyDescent="0.3">
      <c r="A261" s="35">
        <v>216</v>
      </c>
      <c r="B261" s="36">
        <v>11</v>
      </c>
      <c r="C261" s="80" t="s">
        <v>19</v>
      </c>
      <c r="D261" s="314">
        <v>58</v>
      </c>
      <c r="E261" s="37">
        <v>100</v>
      </c>
      <c r="F261" s="38">
        <v>45731</v>
      </c>
      <c r="G261" s="84">
        <v>2</v>
      </c>
      <c r="H261" s="37">
        <v>10</v>
      </c>
      <c r="I261" s="38">
        <v>45731</v>
      </c>
      <c r="J261" s="85">
        <v>2</v>
      </c>
      <c r="K261" s="39" t="s">
        <v>77</v>
      </c>
    </row>
    <row r="262" spans="1:11" x14ac:dyDescent="0.3">
      <c r="A262" s="35">
        <v>217</v>
      </c>
      <c r="B262" s="36">
        <v>14</v>
      </c>
      <c r="C262" s="80" t="s">
        <v>21</v>
      </c>
      <c r="D262" s="314">
        <v>61</v>
      </c>
      <c r="E262" s="37">
        <v>100</v>
      </c>
      <c r="F262" s="38">
        <v>45731</v>
      </c>
      <c r="G262" s="84">
        <v>2</v>
      </c>
      <c r="H262" s="37">
        <v>14</v>
      </c>
      <c r="I262" s="38">
        <v>45731</v>
      </c>
      <c r="J262" s="85">
        <v>2</v>
      </c>
      <c r="K262" s="39" t="s">
        <v>77</v>
      </c>
    </row>
    <row r="263" spans="1:11" x14ac:dyDescent="0.3">
      <c r="A263" s="35">
        <v>218</v>
      </c>
      <c r="B263" s="36">
        <v>5</v>
      </c>
      <c r="C263" s="80" t="s">
        <v>14</v>
      </c>
      <c r="D263" s="314">
        <v>63</v>
      </c>
      <c r="E263" s="37">
        <v>100</v>
      </c>
      <c r="F263" s="38">
        <v>45731</v>
      </c>
      <c r="G263" s="84">
        <v>1</v>
      </c>
      <c r="H263" s="37">
        <v>10</v>
      </c>
      <c r="I263" s="38">
        <v>45731</v>
      </c>
      <c r="J263" s="85">
        <v>1</v>
      </c>
      <c r="K263" s="39" t="s">
        <v>232</v>
      </c>
    </row>
    <row r="264" spans="1:11" x14ac:dyDescent="0.3">
      <c r="A264" s="35">
        <v>219</v>
      </c>
      <c r="B264" s="36">
        <v>8</v>
      </c>
      <c r="C264" s="80" t="s">
        <v>16</v>
      </c>
      <c r="D264" s="314">
        <v>64</v>
      </c>
      <c r="E264" s="37">
        <v>100</v>
      </c>
      <c r="F264" s="38">
        <v>45731</v>
      </c>
      <c r="G264" s="84">
        <v>1</v>
      </c>
      <c r="H264" s="37">
        <v>6</v>
      </c>
      <c r="I264" s="38">
        <v>45731</v>
      </c>
      <c r="J264" s="85">
        <v>1</v>
      </c>
      <c r="K264" s="39" t="s">
        <v>236</v>
      </c>
    </row>
    <row r="265" spans="1:11" x14ac:dyDescent="0.3">
      <c r="A265" s="35">
        <v>220</v>
      </c>
      <c r="B265" s="36">
        <v>16</v>
      </c>
      <c r="C265" s="80" t="s">
        <v>23</v>
      </c>
      <c r="D265" s="314">
        <v>62</v>
      </c>
      <c r="E265" s="37">
        <v>75</v>
      </c>
      <c r="F265" s="38">
        <v>45736</v>
      </c>
      <c r="G265" s="84">
        <v>2</v>
      </c>
      <c r="H265" s="37">
        <v>3</v>
      </c>
      <c r="I265" s="38">
        <v>45736</v>
      </c>
      <c r="J265" s="85">
        <v>2</v>
      </c>
      <c r="K265" s="39" t="s">
        <v>77</v>
      </c>
    </row>
    <row r="266" spans="1:11" x14ac:dyDescent="0.3">
      <c r="A266" s="35">
        <v>221</v>
      </c>
      <c r="B266" s="36">
        <v>16</v>
      </c>
      <c r="C266" s="80" t="s">
        <v>23</v>
      </c>
      <c r="D266" s="314">
        <v>65</v>
      </c>
      <c r="E266" s="37">
        <v>400</v>
      </c>
      <c r="F266" s="38">
        <v>45736</v>
      </c>
      <c r="G266" s="84">
        <v>1</v>
      </c>
      <c r="H266" s="37">
        <v>8</v>
      </c>
      <c r="I266" s="38">
        <v>45736</v>
      </c>
      <c r="J266" s="85">
        <v>1</v>
      </c>
      <c r="K266" s="39" t="s">
        <v>341</v>
      </c>
    </row>
    <row r="267" spans="1:11" x14ac:dyDescent="0.3">
      <c r="A267" s="35">
        <v>222</v>
      </c>
      <c r="B267" s="36">
        <v>10</v>
      </c>
      <c r="C267" s="80" t="s">
        <v>18</v>
      </c>
      <c r="D267" s="314">
        <v>56</v>
      </c>
      <c r="E267" s="37">
        <v>40</v>
      </c>
      <c r="F267" s="38">
        <v>45746</v>
      </c>
      <c r="G267" s="84">
        <v>4</v>
      </c>
      <c r="H267" s="37">
        <v>4</v>
      </c>
      <c r="I267" s="38">
        <v>45746</v>
      </c>
      <c r="J267" s="85">
        <v>4</v>
      </c>
      <c r="K267" s="39" t="s">
        <v>80</v>
      </c>
    </row>
    <row r="268" spans="1:11" x14ac:dyDescent="0.3">
      <c r="A268" s="35">
        <v>223</v>
      </c>
      <c r="B268" s="36">
        <v>9</v>
      </c>
      <c r="C268" s="80" t="s">
        <v>17</v>
      </c>
      <c r="D268" s="314">
        <v>60</v>
      </c>
      <c r="E268" s="37">
        <v>100</v>
      </c>
      <c r="F268" s="38">
        <v>45746</v>
      </c>
      <c r="G268" s="84">
        <v>2</v>
      </c>
      <c r="H268" s="37">
        <v>14</v>
      </c>
      <c r="I268" s="38">
        <v>45746</v>
      </c>
      <c r="J268" s="85">
        <v>2</v>
      </c>
      <c r="K268" s="39" t="s">
        <v>342</v>
      </c>
    </row>
    <row r="269" spans="1:11" x14ac:dyDescent="0.3">
      <c r="A269" s="35">
        <v>224</v>
      </c>
      <c r="B269" s="36">
        <v>12</v>
      </c>
      <c r="C269" s="80" t="s">
        <v>20</v>
      </c>
      <c r="D269" s="314">
        <v>55</v>
      </c>
      <c r="E269" s="37">
        <v>100</v>
      </c>
      <c r="F269" s="38">
        <v>45762</v>
      </c>
      <c r="G269" s="84">
        <v>5</v>
      </c>
      <c r="H269" s="37">
        <v>20</v>
      </c>
      <c r="I269" s="38">
        <v>45762</v>
      </c>
      <c r="J269" s="85">
        <v>5</v>
      </c>
      <c r="K269" s="39" t="s">
        <v>240</v>
      </c>
    </row>
    <row r="270" spans="1:11" x14ac:dyDescent="0.3">
      <c r="A270" s="35">
        <v>225</v>
      </c>
      <c r="B270" s="36">
        <v>6</v>
      </c>
      <c r="C270" s="80" t="s">
        <v>24</v>
      </c>
      <c r="D270" s="314">
        <v>57</v>
      </c>
      <c r="E270" s="37">
        <v>100</v>
      </c>
      <c r="F270" s="38">
        <v>45762</v>
      </c>
      <c r="G270" s="84">
        <v>4</v>
      </c>
      <c r="H270" s="37">
        <v>20</v>
      </c>
      <c r="I270" s="38">
        <v>45762</v>
      </c>
      <c r="J270" s="85">
        <v>4</v>
      </c>
      <c r="K270" s="39" t="s">
        <v>234</v>
      </c>
    </row>
    <row r="271" spans="1:11" x14ac:dyDescent="0.3">
      <c r="A271" s="35">
        <v>226</v>
      </c>
      <c r="B271" s="36">
        <v>11</v>
      </c>
      <c r="C271" s="80" t="s">
        <v>19</v>
      </c>
      <c r="D271" s="314">
        <v>58</v>
      </c>
      <c r="E271" s="37">
        <v>100</v>
      </c>
      <c r="F271" s="38">
        <v>45762</v>
      </c>
      <c r="G271" s="84">
        <v>4</v>
      </c>
      <c r="H271" s="37">
        <v>10</v>
      </c>
      <c r="I271" s="38">
        <v>45762</v>
      </c>
      <c r="J271" s="85">
        <v>4</v>
      </c>
      <c r="K271" s="39" t="s">
        <v>234</v>
      </c>
    </row>
    <row r="272" spans="1:11" x14ac:dyDescent="0.3">
      <c r="A272" s="35">
        <v>227</v>
      </c>
      <c r="B272" s="36">
        <v>14</v>
      </c>
      <c r="C272" s="80" t="s">
        <v>21</v>
      </c>
      <c r="D272" s="314">
        <v>61</v>
      </c>
      <c r="E272" s="37">
        <v>100</v>
      </c>
      <c r="F272" s="38">
        <v>45762</v>
      </c>
      <c r="G272" s="84">
        <v>3</v>
      </c>
      <c r="H272" s="37">
        <v>14</v>
      </c>
      <c r="I272" s="38">
        <v>45762</v>
      </c>
      <c r="J272" s="85">
        <v>3</v>
      </c>
      <c r="K272" s="39" t="s">
        <v>235</v>
      </c>
    </row>
    <row r="273" spans="1:11" x14ac:dyDescent="0.3">
      <c r="A273" s="35">
        <v>228</v>
      </c>
      <c r="B273" s="36">
        <v>5</v>
      </c>
      <c r="C273" s="80" t="s">
        <v>14</v>
      </c>
      <c r="D273" s="314">
        <v>63</v>
      </c>
      <c r="E273" s="37">
        <v>100</v>
      </c>
      <c r="F273" s="38">
        <v>45762</v>
      </c>
      <c r="G273" s="84">
        <v>2</v>
      </c>
      <c r="H273" s="37">
        <v>10</v>
      </c>
      <c r="I273" s="38">
        <v>45762</v>
      </c>
      <c r="J273" s="85">
        <v>2</v>
      </c>
      <c r="K273" s="39" t="s">
        <v>236</v>
      </c>
    </row>
    <row r="274" spans="1:11" x14ac:dyDescent="0.3">
      <c r="A274" s="35">
        <v>229</v>
      </c>
      <c r="B274" s="36">
        <v>8</v>
      </c>
      <c r="C274" s="80" t="s">
        <v>16</v>
      </c>
      <c r="D274" s="314">
        <v>64</v>
      </c>
      <c r="E274" s="37">
        <v>100</v>
      </c>
      <c r="F274" s="38">
        <v>45762</v>
      </c>
      <c r="G274" s="84">
        <v>2</v>
      </c>
      <c r="H274" s="37">
        <v>6</v>
      </c>
      <c r="I274" s="38">
        <v>45762</v>
      </c>
      <c r="J274" s="85">
        <v>2</v>
      </c>
      <c r="K274" s="39" t="s">
        <v>236</v>
      </c>
    </row>
    <row r="275" spans="1:11" x14ac:dyDescent="0.3">
      <c r="A275" s="248" t="s">
        <v>419</v>
      </c>
      <c r="B275" s="36">
        <v>10</v>
      </c>
      <c r="C275" s="80" t="s">
        <v>18</v>
      </c>
      <c r="D275" s="314">
        <v>56</v>
      </c>
      <c r="E275" s="37">
        <v>40</v>
      </c>
      <c r="F275" s="38">
        <v>45762</v>
      </c>
      <c r="G275" s="84">
        <v>5</v>
      </c>
      <c r="H275" s="37">
        <v>0</v>
      </c>
      <c r="I275" s="38">
        <v>45762</v>
      </c>
      <c r="J275" s="85">
        <v>0</v>
      </c>
      <c r="K275" s="39" t="s">
        <v>346</v>
      </c>
    </row>
    <row r="276" spans="1:11" x14ac:dyDescent="0.3">
      <c r="A276" s="248" t="s">
        <v>429</v>
      </c>
      <c r="B276" s="36">
        <v>10</v>
      </c>
      <c r="C276" s="80" t="s">
        <v>18</v>
      </c>
      <c r="D276" s="314">
        <v>56</v>
      </c>
      <c r="E276" s="37">
        <v>0</v>
      </c>
      <c r="F276" s="38">
        <v>45762</v>
      </c>
      <c r="G276" s="84">
        <v>5</v>
      </c>
      <c r="H276" s="37">
        <v>4</v>
      </c>
      <c r="I276" s="38">
        <v>45762</v>
      </c>
      <c r="J276" s="85">
        <v>5</v>
      </c>
      <c r="K276" s="39" t="s">
        <v>347</v>
      </c>
    </row>
    <row r="277" spans="1:11" x14ac:dyDescent="0.3">
      <c r="A277" s="248" t="s">
        <v>420</v>
      </c>
      <c r="B277" s="36">
        <v>8</v>
      </c>
      <c r="C277" s="80" t="s">
        <v>16</v>
      </c>
      <c r="D277" s="314">
        <v>64</v>
      </c>
      <c r="E277" s="37">
        <v>100</v>
      </c>
      <c r="F277" s="38">
        <v>45764</v>
      </c>
      <c r="G277" s="84">
        <v>3</v>
      </c>
      <c r="H277" s="37">
        <v>0</v>
      </c>
      <c r="I277" s="38">
        <v>45764</v>
      </c>
      <c r="J277" s="85">
        <v>3</v>
      </c>
      <c r="K277" s="39" t="s">
        <v>362</v>
      </c>
    </row>
    <row r="278" spans="1:11" x14ac:dyDescent="0.3">
      <c r="A278" s="248" t="s">
        <v>421</v>
      </c>
      <c r="B278" s="36">
        <v>8</v>
      </c>
      <c r="C278" s="80" t="s">
        <v>16</v>
      </c>
      <c r="D278" s="314">
        <v>64</v>
      </c>
      <c r="E278" s="37">
        <v>0</v>
      </c>
      <c r="F278" s="38">
        <v>45764</v>
      </c>
      <c r="G278" s="84">
        <v>3</v>
      </c>
      <c r="H278" s="37">
        <v>6</v>
      </c>
      <c r="I278" s="38">
        <v>45764</v>
      </c>
      <c r="J278" s="85">
        <v>3</v>
      </c>
      <c r="K278" s="39" t="s">
        <v>363</v>
      </c>
    </row>
    <row r="279" spans="1:11" x14ac:dyDescent="0.3">
      <c r="A279" s="35">
        <v>230</v>
      </c>
      <c r="B279" s="36">
        <v>16</v>
      </c>
      <c r="C279" s="80" t="s">
        <v>23</v>
      </c>
      <c r="D279" s="314">
        <v>47</v>
      </c>
      <c r="E279" s="37">
        <v>41.67</v>
      </c>
      <c r="F279" s="38">
        <v>45764</v>
      </c>
      <c r="G279" s="84">
        <v>9</v>
      </c>
      <c r="H279" s="37">
        <v>10</v>
      </c>
      <c r="I279" s="38">
        <v>45764</v>
      </c>
      <c r="J279" s="85">
        <v>9</v>
      </c>
      <c r="K279" s="39" t="s">
        <v>365</v>
      </c>
    </row>
    <row r="280" spans="1:11" x14ac:dyDescent="0.3">
      <c r="A280" s="35">
        <v>231</v>
      </c>
      <c r="B280" s="36">
        <v>9</v>
      </c>
      <c r="C280" s="80" t="s">
        <v>17</v>
      </c>
      <c r="D280" s="314">
        <v>60</v>
      </c>
      <c r="E280" s="37">
        <v>100</v>
      </c>
      <c r="F280" s="38">
        <v>45764</v>
      </c>
      <c r="G280" s="84">
        <v>3</v>
      </c>
      <c r="H280" s="37">
        <v>14</v>
      </c>
      <c r="I280" s="38">
        <v>45764</v>
      </c>
      <c r="J280" s="85">
        <v>3</v>
      </c>
      <c r="K280" s="39" t="s">
        <v>235</v>
      </c>
    </row>
    <row r="281" spans="1:11" x14ac:dyDescent="0.3">
      <c r="A281" s="35" t="s">
        <v>357</v>
      </c>
      <c r="B281" s="48">
        <v>17</v>
      </c>
      <c r="C281" s="80" t="s">
        <v>350</v>
      </c>
      <c r="D281" s="314" t="s">
        <v>97</v>
      </c>
      <c r="E281" s="37">
        <v>0</v>
      </c>
      <c r="F281" s="38">
        <v>45764</v>
      </c>
      <c r="G281" s="84" t="s">
        <v>97</v>
      </c>
      <c r="H281" s="37">
        <v>0</v>
      </c>
      <c r="I281" s="38">
        <v>45764</v>
      </c>
      <c r="J281" s="85" t="s">
        <v>97</v>
      </c>
      <c r="K281" s="39" t="s">
        <v>370</v>
      </c>
    </row>
    <row r="282" spans="1:11" x14ac:dyDescent="0.3">
      <c r="A282" s="28" t="s">
        <v>359</v>
      </c>
      <c r="B282" s="48">
        <v>18</v>
      </c>
      <c r="C282" s="80" t="s">
        <v>351</v>
      </c>
      <c r="D282" s="314" t="s">
        <v>97</v>
      </c>
      <c r="E282" s="34">
        <v>0</v>
      </c>
      <c r="F282" s="38">
        <v>45764</v>
      </c>
      <c r="G282" s="84" t="s">
        <v>97</v>
      </c>
      <c r="H282" s="34">
        <v>0</v>
      </c>
      <c r="I282" s="38">
        <v>45764</v>
      </c>
      <c r="J282" s="85" t="s">
        <v>97</v>
      </c>
      <c r="K282" s="39" t="s">
        <v>370</v>
      </c>
    </row>
    <row r="283" spans="1:11" x14ac:dyDescent="0.3">
      <c r="A283" s="28" t="s">
        <v>372</v>
      </c>
      <c r="B283" s="48">
        <v>13</v>
      </c>
      <c r="C283" s="80" t="s">
        <v>352</v>
      </c>
      <c r="D283" s="314" t="s">
        <v>97</v>
      </c>
      <c r="E283" s="34">
        <v>0</v>
      </c>
      <c r="F283" s="38">
        <v>45764</v>
      </c>
      <c r="G283" s="84" t="s">
        <v>97</v>
      </c>
      <c r="H283" s="34">
        <v>0</v>
      </c>
      <c r="I283" s="38">
        <v>45764</v>
      </c>
      <c r="J283" s="85" t="s">
        <v>97</v>
      </c>
      <c r="K283" s="39" t="s">
        <v>370</v>
      </c>
    </row>
    <row r="284" spans="1:11" x14ac:dyDescent="0.3">
      <c r="A284" s="35">
        <v>232</v>
      </c>
      <c r="B284" s="36">
        <v>7</v>
      </c>
      <c r="C284" s="80" t="s">
        <v>15</v>
      </c>
      <c r="D284" s="314">
        <v>67</v>
      </c>
      <c r="E284" s="37">
        <v>1200</v>
      </c>
      <c r="F284" s="38">
        <v>45788</v>
      </c>
      <c r="G284" s="84">
        <v>1</v>
      </c>
      <c r="H284" s="37">
        <v>24</v>
      </c>
      <c r="I284" s="38">
        <v>45788</v>
      </c>
      <c r="J284" s="85">
        <v>1</v>
      </c>
      <c r="K284" s="39" t="s">
        <v>373</v>
      </c>
    </row>
    <row r="285" spans="1:11" x14ac:dyDescent="0.3">
      <c r="A285" s="35">
        <v>233</v>
      </c>
      <c r="B285" s="36">
        <v>16</v>
      </c>
      <c r="C285" s="80" t="s">
        <v>23</v>
      </c>
      <c r="D285" s="314">
        <v>47</v>
      </c>
      <c r="E285" s="37">
        <v>41.67</v>
      </c>
      <c r="F285" s="38">
        <v>45792</v>
      </c>
      <c r="G285" s="84">
        <v>10</v>
      </c>
      <c r="H285" s="37">
        <v>10</v>
      </c>
      <c r="I285" s="38">
        <v>45792</v>
      </c>
      <c r="J285" s="85">
        <v>10</v>
      </c>
      <c r="K285" s="39" t="s">
        <v>305</v>
      </c>
    </row>
    <row r="286" spans="1:11" x14ac:dyDescent="0.3">
      <c r="A286" s="35">
        <v>234</v>
      </c>
      <c r="B286" s="36">
        <v>6</v>
      </c>
      <c r="C286" s="80" t="s">
        <v>24</v>
      </c>
      <c r="D286" s="314">
        <v>57</v>
      </c>
      <c r="E286" s="37">
        <v>100</v>
      </c>
      <c r="F286" s="38">
        <v>45792</v>
      </c>
      <c r="G286" s="84">
        <v>5</v>
      </c>
      <c r="H286" s="37">
        <v>20</v>
      </c>
      <c r="I286" s="38">
        <v>45792</v>
      </c>
      <c r="J286" s="85">
        <v>5</v>
      </c>
      <c r="K286" s="39" t="s">
        <v>240</v>
      </c>
    </row>
    <row r="287" spans="1:11" x14ac:dyDescent="0.3">
      <c r="A287" s="35">
        <v>235</v>
      </c>
      <c r="B287" s="36">
        <v>11</v>
      </c>
      <c r="C287" s="80" t="s">
        <v>19</v>
      </c>
      <c r="D287" s="314">
        <v>58</v>
      </c>
      <c r="E287" s="37">
        <v>100</v>
      </c>
      <c r="F287" s="38">
        <v>45792</v>
      </c>
      <c r="G287" s="84">
        <v>5</v>
      </c>
      <c r="H287" s="37">
        <v>10</v>
      </c>
      <c r="I287" s="38">
        <v>45792</v>
      </c>
      <c r="J287" s="85">
        <v>5</v>
      </c>
      <c r="K287" s="39" t="s">
        <v>374</v>
      </c>
    </row>
    <row r="288" spans="1:11" x14ac:dyDescent="0.3">
      <c r="A288" s="35">
        <v>236</v>
      </c>
      <c r="B288" s="36">
        <v>9</v>
      </c>
      <c r="C288" s="80" t="s">
        <v>17</v>
      </c>
      <c r="D288" s="314">
        <v>60</v>
      </c>
      <c r="E288" s="37">
        <v>100</v>
      </c>
      <c r="F288" s="38">
        <v>45792</v>
      </c>
      <c r="G288" s="84">
        <v>4</v>
      </c>
      <c r="H288" s="37">
        <v>14</v>
      </c>
      <c r="I288" s="38">
        <v>45792</v>
      </c>
      <c r="J288" s="85">
        <v>4</v>
      </c>
      <c r="K288" s="39" t="s">
        <v>234</v>
      </c>
    </row>
    <row r="289" spans="1:11" x14ac:dyDescent="0.3">
      <c r="A289" s="35">
        <v>237</v>
      </c>
      <c r="B289" s="36">
        <v>14</v>
      </c>
      <c r="C289" s="80" t="s">
        <v>21</v>
      </c>
      <c r="D289" s="314">
        <v>61</v>
      </c>
      <c r="E289" s="37">
        <v>100</v>
      </c>
      <c r="F289" s="38">
        <v>45792</v>
      </c>
      <c r="G289" s="84">
        <v>4</v>
      </c>
      <c r="H289" s="37">
        <v>14</v>
      </c>
      <c r="I289" s="38">
        <v>45792</v>
      </c>
      <c r="J289" s="85">
        <v>4</v>
      </c>
      <c r="K289" s="39" t="s">
        <v>234</v>
      </c>
    </row>
    <row r="290" spans="1:11" x14ac:dyDescent="0.3">
      <c r="A290" s="35">
        <v>238</v>
      </c>
      <c r="B290" s="36">
        <v>5</v>
      </c>
      <c r="C290" s="80" t="s">
        <v>14</v>
      </c>
      <c r="D290" s="314">
        <v>63</v>
      </c>
      <c r="E290" s="37">
        <v>100</v>
      </c>
      <c r="F290" s="38">
        <v>45792</v>
      </c>
      <c r="G290" s="84">
        <v>3</v>
      </c>
      <c r="H290" s="37">
        <v>10</v>
      </c>
      <c r="I290" s="38">
        <v>45792</v>
      </c>
      <c r="J290" s="85">
        <v>3</v>
      </c>
      <c r="K290" s="39" t="s">
        <v>235</v>
      </c>
    </row>
    <row r="291" spans="1:11" x14ac:dyDescent="0.3">
      <c r="A291" s="35">
        <v>239</v>
      </c>
      <c r="B291" s="36">
        <v>10</v>
      </c>
      <c r="C291" s="80" t="s">
        <v>18</v>
      </c>
      <c r="D291" s="314">
        <v>68</v>
      </c>
      <c r="E291" s="37">
        <v>40</v>
      </c>
      <c r="F291" s="38">
        <v>45792</v>
      </c>
      <c r="G291" s="84">
        <v>1</v>
      </c>
      <c r="H291" s="37">
        <v>4</v>
      </c>
      <c r="I291" s="38">
        <v>45792</v>
      </c>
      <c r="J291" s="85">
        <v>1</v>
      </c>
      <c r="K291" s="39" t="s">
        <v>121</v>
      </c>
    </row>
    <row r="292" spans="1:11" x14ac:dyDescent="0.3">
      <c r="A292" s="35">
        <v>240</v>
      </c>
      <c r="B292" s="36">
        <v>8</v>
      </c>
      <c r="C292" s="80" t="s">
        <v>16</v>
      </c>
      <c r="D292" s="314">
        <v>70</v>
      </c>
      <c r="E292" s="37">
        <v>100</v>
      </c>
      <c r="F292" s="38">
        <v>45792</v>
      </c>
      <c r="G292" s="84">
        <v>1</v>
      </c>
      <c r="H292" s="37">
        <v>10</v>
      </c>
      <c r="I292" s="38">
        <v>45792</v>
      </c>
      <c r="J292" s="85">
        <v>1</v>
      </c>
      <c r="K292" s="39" t="s">
        <v>232</v>
      </c>
    </row>
    <row r="293" spans="1:11" x14ac:dyDescent="0.3">
      <c r="A293" s="35">
        <v>241</v>
      </c>
      <c r="B293" s="36">
        <v>12</v>
      </c>
      <c r="C293" s="80" t="s">
        <v>20</v>
      </c>
      <c r="D293" s="314">
        <v>55</v>
      </c>
      <c r="E293" s="37">
        <v>100</v>
      </c>
      <c r="F293" s="38">
        <v>45792</v>
      </c>
      <c r="G293" s="84">
        <v>6</v>
      </c>
      <c r="H293" s="37">
        <v>20</v>
      </c>
      <c r="I293" s="38">
        <v>45792</v>
      </c>
      <c r="J293" s="85">
        <v>6</v>
      </c>
      <c r="K293" s="39" t="s">
        <v>233</v>
      </c>
    </row>
    <row r="294" spans="1:11" x14ac:dyDescent="0.3">
      <c r="A294" s="35">
        <v>242</v>
      </c>
      <c r="B294" s="74">
        <v>4</v>
      </c>
      <c r="C294" s="80" t="s">
        <v>12</v>
      </c>
      <c r="D294" s="314">
        <v>66</v>
      </c>
      <c r="E294" s="37">
        <v>233.33</v>
      </c>
      <c r="F294" s="38">
        <v>45792</v>
      </c>
      <c r="G294" s="84">
        <v>1</v>
      </c>
      <c r="H294" s="37">
        <v>14</v>
      </c>
      <c r="I294" s="38">
        <v>45792</v>
      </c>
      <c r="J294" s="85">
        <v>1</v>
      </c>
      <c r="K294" s="39" t="s">
        <v>375</v>
      </c>
    </row>
    <row r="295" spans="1:11" x14ac:dyDescent="0.3">
      <c r="A295" s="35">
        <v>243</v>
      </c>
      <c r="B295" s="74">
        <v>3</v>
      </c>
      <c r="C295" s="80" t="s">
        <v>13</v>
      </c>
      <c r="D295" s="314">
        <v>69</v>
      </c>
      <c r="E295" s="37">
        <v>200</v>
      </c>
      <c r="F295" s="38">
        <v>45792</v>
      </c>
      <c r="G295" s="84">
        <v>1</v>
      </c>
      <c r="H295" s="37">
        <v>12</v>
      </c>
      <c r="I295" s="38">
        <v>45792</v>
      </c>
      <c r="J295" s="85">
        <v>1</v>
      </c>
      <c r="K295" s="39" t="s">
        <v>232</v>
      </c>
    </row>
    <row r="296" spans="1:11" x14ac:dyDescent="0.3">
      <c r="A296" s="248" t="s">
        <v>422</v>
      </c>
      <c r="B296" s="36">
        <v>5</v>
      </c>
      <c r="C296" s="80" t="s">
        <v>14</v>
      </c>
      <c r="D296" s="314">
        <v>63</v>
      </c>
      <c r="E296" s="37">
        <v>100</v>
      </c>
      <c r="F296" s="38">
        <v>45792</v>
      </c>
      <c r="G296" s="84">
        <v>4</v>
      </c>
      <c r="H296" s="37">
        <v>0</v>
      </c>
      <c r="I296" s="38">
        <v>45792</v>
      </c>
      <c r="J296" s="85">
        <v>4</v>
      </c>
      <c r="K296" s="39" t="s">
        <v>380</v>
      </c>
    </row>
    <row r="297" spans="1:11" x14ac:dyDescent="0.3">
      <c r="A297" s="248" t="s">
        <v>430</v>
      </c>
      <c r="B297" s="36">
        <v>5</v>
      </c>
      <c r="C297" s="80" t="s">
        <v>14</v>
      </c>
      <c r="D297" s="314">
        <v>63</v>
      </c>
      <c r="E297" s="37">
        <v>100</v>
      </c>
      <c r="F297" s="38">
        <v>45792</v>
      </c>
      <c r="G297" s="84">
        <v>5</v>
      </c>
      <c r="H297" s="37">
        <v>0</v>
      </c>
      <c r="I297" s="38">
        <v>45792</v>
      </c>
      <c r="J297" s="85">
        <v>5</v>
      </c>
      <c r="K297" s="39" t="s">
        <v>381</v>
      </c>
    </row>
    <row r="298" spans="1:11" x14ac:dyDescent="0.3">
      <c r="A298" s="248" t="s">
        <v>435</v>
      </c>
      <c r="B298" s="36">
        <v>5</v>
      </c>
      <c r="C298" s="80" t="s">
        <v>14</v>
      </c>
      <c r="D298" s="314">
        <v>63</v>
      </c>
      <c r="E298" s="37">
        <v>0</v>
      </c>
      <c r="F298" s="38">
        <v>45792</v>
      </c>
      <c r="G298" s="84">
        <v>4</v>
      </c>
      <c r="H298" s="37">
        <v>10</v>
      </c>
      <c r="I298" s="38">
        <v>45792</v>
      </c>
      <c r="J298" s="85">
        <v>4</v>
      </c>
      <c r="K298" s="39" t="s">
        <v>382</v>
      </c>
    </row>
    <row r="299" spans="1:11" x14ac:dyDescent="0.3">
      <c r="A299" s="248" t="s">
        <v>436</v>
      </c>
      <c r="B299" s="36">
        <v>5</v>
      </c>
      <c r="C299" s="80" t="s">
        <v>14</v>
      </c>
      <c r="D299" s="314">
        <v>63</v>
      </c>
      <c r="E299" s="37">
        <v>0</v>
      </c>
      <c r="F299" s="38">
        <v>45792</v>
      </c>
      <c r="G299" s="84">
        <v>5</v>
      </c>
      <c r="H299" s="37">
        <v>10</v>
      </c>
      <c r="I299" s="38">
        <v>45792</v>
      </c>
      <c r="J299" s="85">
        <v>5</v>
      </c>
      <c r="K299" s="39" t="s">
        <v>383</v>
      </c>
    </row>
    <row r="300" spans="1:11" x14ac:dyDescent="0.3">
      <c r="A300" s="35">
        <v>244</v>
      </c>
      <c r="B300" s="36">
        <v>16</v>
      </c>
      <c r="C300" s="80" t="s">
        <v>23</v>
      </c>
      <c r="D300" s="314">
        <v>74</v>
      </c>
      <c r="E300" s="37">
        <v>40</v>
      </c>
      <c r="F300" s="38">
        <v>45823</v>
      </c>
      <c r="G300" s="84">
        <v>1</v>
      </c>
      <c r="H300" s="37">
        <v>0.8</v>
      </c>
      <c r="I300" s="38">
        <v>45823</v>
      </c>
      <c r="J300" s="85">
        <v>1</v>
      </c>
      <c r="K300" s="39" t="s">
        <v>387</v>
      </c>
    </row>
    <row r="301" spans="1:11" x14ac:dyDescent="0.3">
      <c r="A301" s="35">
        <v>245</v>
      </c>
      <c r="B301" s="36">
        <v>12</v>
      </c>
      <c r="C301" s="80" t="s">
        <v>20</v>
      </c>
      <c r="D301" s="314">
        <v>55</v>
      </c>
      <c r="E301" s="37">
        <v>100</v>
      </c>
      <c r="F301" s="38">
        <v>45823</v>
      </c>
      <c r="G301" s="84">
        <v>6</v>
      </c>
      <c r="H301" s="37">
        <v>20</v>
      </c>
      <c r="I301" s="38">
        <v>45823</v>
      </c>
      <c r="J301" s="85">
        <v>6</v>
      </c>
      <c r="K301" s="39" t="s">
        <v>239</v>
      </c>
    </row>
    <row r="302" spans="1:11" x14ac:dyDescent="0.3">
      <c r="A302" s="35">
        <v>246</v>
      </c>
      <c r="B302" s="36">
        <v>6</v>
      </c>
      <c r="C302" s="80" t="s">
        <v>24</v>
      </c>
      <c r="D302" s="314">
        <v>57</v>
      </c>
      <c r="E302" s="37">
        <v>100</v>
      </c>
      <c r="F302" s="38">
        <v>45823</v>
      </c>
      <c r="G302" s="84">
        <v>6</v>
      </c>
      <c r="H302" s="37">
        <v>20</v>
      </c>
      <c r="I302" s="38">
        <v>45823</v>
      </c>
      <c r="J302" s="85">
        <v>6</v>
      </c>
      <c r="K302" s="39" t="s">
        <v>233</v>
      </c>
    </row>
    <row r="303" spans="1:11" x14ac:dyDescent="0.3">
      <c r="A303" s="35">
        <v>247</v>
      </c>
      <c r="B303" s="36">
        <v>9</v>
      </c>
      <c r="C303" s="80" t="s">
        <v>17</v>
      </c>
      <c r="D303" s="314">
        <v>60</v>
      </c>
      <c r="E303" s="37">
        <v>100</v>
      </c>
      <c r="F303" s="38">
        <v>45823</v>
      </c>
      <c r="G303" s="84">
        <v>5</v>
      </c>
      <c r="H303" s="37">
        <v>14</v>
      </c>
      <c r="I303" s="38">
        <v>45823</v>
      </c>
      <c r="J303" s="85">
        <v>5</v>
      </c>
      <c r="K303" s="39" t="s">
        <v>240</v>
      </c>
    </row>
    <row r="304" spans="1:11" x14ac:dyDescent="0.3">
      <c r="A304" s="35">
        <v>248</v>
      </c>
      <c r="B304" s="36">
        <v>14</v>
      </c>
      <c r="C304" s="80" t="s">
        <v>21</v>
      </c>
      <c r="D304" s="314">
        <v>61</v>
      </c>
      <c r="E304" s="37">
        <v>100</v>
      </c>
      <c r="F304" s="38">
        <v>45823</v>
      </c>
      <c r="G304" s="84">
        <v>5</v>
      </c>
      <c r="H304" s="37">
        <v>14</v>
      </c>
      <c r="I304" s="38">
        <v>45823</v>
      </c>
      <c r="J304" s="85">
        <v>5</v>
      </c>
      <c r="K304" s="39" t="s">
        <v>240</v>
      </c>
    </row>
    <row r="305" spans="1:11" x14ac:dyDescent="0.3">
      <c r="A305" s="35">
        <v>249</v>
      </c>
      <c r="B305" s="36">
        <v>10</v>
      </c>
      <c r="C305" s="80" t="s">
        <v>18</v>
      </c>
      <c r="D305" s="314">
        <v>68</v>
      </c>
      <c r="E305" s="37">
        <v>40</v>
      </c>
      <c r="F305" s="38">
        <v>45823</v>
      </c>
      <c r="G305" s="84">
        <v>2</v>
      </c>
      <c r="H305" s="37">
        <v>4</v>
      </c>
      <c r="I305" s="38">
        <v>45823</v>
      </c>
      <c r="J305" s="85">
        <v>2</v>
      </c>
      <c r="K305" s="39" t="s">
        <v>236</v>
      </c>
    </row>
    <row r="306" spans="1:11" x14ac:dyDescent="0.3">
      <c r="A306" s="35">
        <v>250</v>
      </c>
      <c r="B306" s="36">
        <v>8</v>
      </c>
      <c r="C306" s="80" t="s">
        <v>16</v>
      </c>
      <c r="D306" s="314">
        <v>70</v>
      </c>
      <c r="E306" s="37">
        <v>100</v>
      </c>
      <c r="F306" s="38">
        <v>45823</v>
      </c>
      <c r="G306" s="84">
        <v>2</v>
      </c>
      <c r="H306" s="37">
        <v>10</v>
      </c>
      <c r="I306" s="38">
        <v>45823</v>
      </c>
      <c r="J306" s="85">
        <v>2</v>
      </c>
      <c r="K306" s="39" t="s">
        <v>236</v>
      </c>
    </row>
    <row r="307" spans="1:11" x14ac:dyDescent="0.3">
      <c r="A307" s="35">
        <v>251</v>
      </c>
      <c r="B307" s="36">
        <v>5</v>
      </c>
      <c r="C307" s="80" t="s">
        <v>14</v>
      </c>
      <c r="D307" s="314">
        <v>71</v>
      </c>
      <c r="E307" s="37">
        <v>100</v>
      </c>
      <c r="F307" s="38">
        <v>45823</v>
      </c>
      <c r="G307" s="84">
        <v>1</v>
      </c>
      <c r="H307" s="37">
        <v>24</v>
      </c>
      <c r="I307" s="38">
        <v>45823</v>
      </c>
      <c r="J307" s="85">
        <v>1</v>
      </c>
      <c r="K307" s="39" t="s">
        <v>232</v>
      </c>
    </row>
    <row r="308" spans="1:11" x14ac:dyDescent="0.3">
      <c r="A308" s="35">
        <v>252</v>
      </c>
      <c r="B308" s="48">
        <v>17</v>
      </c>
      <c r="C308" s="80" t="s">
        <v>350</v>
      </c>
      <c r="D308" s="314">
        <v>72</v>
      </c>
      <c r="E308" s="37">
        <v>166.67</v>
      </c>
      <c r="F308" s="38">
        <v>45823</v>
      </c>
      <c r="G308" s="84">
        <v>1</v>
      </c>
      <c r="H308" s="37">
        <v>40</v>
      </c>
      <c r="I308" s="38">
        <v>45823</v>
      </c>
      <c r="J308" s="85">
        <v>1</v>
      </c>
      <c r="K308" s="39" t="s">
        <v>232</v>
      </c>
    </row>
    <row r="309" spans="1:11" x14ac:dyDescent="0.3">
      <c r="A309" s="35">
        <v>253</v>
      </c>
      <c r="B309" s="74">
        <v>3</v>
      </c>
      <c r="C309" s="80" t="s">
        <v>13</v>
      </c>
      <c r="D309" s="314">
        <v>69</v>
      </c>
      <c r="E309" s="37">
        <v>200</v>
      </c>
      <c r="F309" s="38">
        <v>45823</v>
      </c>
      <c r="G309" s="84">
        <v>2</v>
      </c>
      <c r="H309" s="37">
        <v>12</v>
      </c>
      <c r="I309" s="38">
        <v>45823</v>
      </c>
      <c r="J309" s="85">
        <v>2</v>
      </c>
      <c r="K309" s="39" t="s">
        <v>235</v>
      </c>
    </row>
    <row r="310" spans="1:11" x14ac:dyDescent="0.3">
      <c r="A310" s="35">
        <v>254</v>
      </c>
      <c r="B310" s="74">
        <v>4</v>
      </c>
      <c r="C310" s="80" t="s">
        <v>12</v>
      </c>
      <c r="D310" s="314">
        <v>66</v>
      </c>
      <c r="E310" s="37">
        <f>233.33</f>
        <v>233.33</v>
      </c>
      <c r="F310" s="38">
        <v>45823</v>
      </c>
      <c r="G310" s="84">
        <v>2</v>
      </c>
      <c r="H310" s="37">
        <v>14</v>
      </c>
      <c r="I310" s="38">
        <v>45823</v>
      </c>
      <c r="J310" s="85">
        <v>2</v>
      </c>
      <c r="K310" s="39" t="s">
        <v>236</v>
      </c>
    </row>
    <row r="311" spans="1:11" x14ac:dyDescent="0.3">
      <c r="A311" s="35">
        <v>255</v>
      </c>
      <c r="B311" s="36">
        <v>16</v>
      </c>
      <c r="C311" s="80" t="s">
        <v>23</v>
      </c>
      <c r="D311" s="314">
        <v>47</v>
      </c>
      <c r="E311" s="37">
        <v>41.67</v>
      </c>
      <c r="F311" s="38">
        <v>45823</v>
      </c>
      <c r="G311" s="84">
        <v>11</v>
      </c>
      <c r="H311" s="37">
        <v>10</v>
      </c>
      <c r="I311" s="38">
        <v>45823</v>
      </c>
      <c r="J311" s="85">
        <v>11</v>
      </c>
      <c r="K311" s="39" t="s">
        <v>336</v>
      </c>
    </row>
    <row r="312" spans="1:11" x14ac:dyDescent="0.3">
      <c r="A312" s="35">
        <v>256</v>
      </c>
      <c r="B312" s="36">
        <v>11</v>
      </c>
      <c r="C312" s="80" t="s">
        <v>19</v>
      </c>
      <c r="D312" s="314">
        <v>73</v>
      </c>
      <c r="E312" s="37">
        <v>100</v>
      </c>
      <c r="F312" s="38">
        <v>45823</v>
      </c>
      <c r="G312" s="84">
        <v>1</v>
      </c>
      <c r="H312" s="37">
        <v>6</v>
      </c>
      <c r="I312" s="38">
        <v>45823</v>
      </c>
      <c r="J312" s="85">
        <v>1</v>
      </c>
      <c r="K312" s="39" t="s">
        <v>232</v>
      </c>
    </row>
    <row r="313" spans="1:11" x14ac:dyDescent="0.3">
      <c r="A313" s="35">
        <v>257</v>
      </c>
      <c r="B313" s="36">
        <v>12</v>
      </c>
      <c r="C313" s="80" t="s">
        <v>20</v>
      </c>
      <c r="D313" s="314">
        <v>55</v>
      </c>
      <c r="E313" s="37">
        <v>100</v>
      </c>
      <c r="F313" s="38">
        <v>45853</v>
      </c>
      <c r="G313" s="84">
        <v>8</v>
      </c>
      <c r="H313" s="37">
        <v>20</v>
      </c>
      <c r="I313" s="38">
        <v>45853</v>
      </c>
      <c r="J313" s="85">
        <v>8</v>
      </c>
      <c r="K313" s="39" t="s">
        <v>268</v>
      </c>
    </row>
    <row r="314" spans="1:11" x14ac:dyDescent="0.3">
      <c r="A314" s="35">
        <v>258</v>
      </c>
      <c r="B314" s="36">
        <v>6</v>
      </c>
      <c r="C314" s="80" t="s">
        <v>24</v>
      </c>
      <c r="D314" s="314">
        <v>57</v>
      </c>
      <c r="E314" s="37">
        <v>100</v>
      </c>
      <c r="F314" s="38">
        <v>45853</v>
      </c>
      <c r="G314" s="84">
        <v>7</v>
      </c>
      <c r="H314" s="37">
        <v>20</v>
      </c>
      <c r="I314" s="38">
        <v>45853</v>
      </c>
      <c r="J314" s="85">
        <v>7</v>
      </c>
      <c r="K314" s="39" t="s">
        <v>239</v>
      </c>
    </row>
    <row r="315" spans="1:11" x14ac:dyDescent="0.3">
      <c r="A315" s="35">
        <v>259</v>
      </c>
      <c r="B315" s="36">
        <v>9</v>
      </c>
      <c r="C315" s="80" t="s">
        <v>17</v>
      </c>
      <c r="D315" s="314">
        <v>60</v>
      </c>
      <c r="E315" s="37">
        <v>100</v>
      </c>
      <c r="F315" s="38">
        <v>45853</v>
      </c>
      <c r="G315" s="84">
        <v>6</v>
      </c>
      <c r="H315" s="37">
        <v>14</v>
      </c>
      <c r="I315" s="38">
        <v>45853</v>
      </c>
      <c r="J315" s="85">
        <v>6</v>
      </c>
      <c r="K315" s="39" t="s">
        <v>233</v>
      </c>
    </row>
    <row r="316" spans="1:11" x14ac:dyDescent="0.3">
      <c r="A316" s="35">
        <v>260</v>
      </c>
      <c r="B316" s="36">
        <v>14</v>
      </c>
      <c r="C316" s="80" t="s">
        <v>21</v>
      </c>
      <c r="D316" s="314">
        <v>61</v>
      </c>
      <c r="E316" s="37">
        <v>100</v>
      </c>
      <c r="F316" s="38">
        <v>45853</v>
      </c>
      <c r="G316" s="84">
        <v>6</v>
      </c>
      <c r="H316" s="37">
        <v>14</v>
      </c>
      <c r="I316" s="38">
        <v>45853</v>
      </c>
      <c r="J316" s="85">
        <v>6</v>
      </c>
      <c r="K316" s="39" t="s">
        <v>233</v>
      </c>
    </row>
    <row r="317" spans="1:11" x14ac:dyDescent="0.3">
      <c r="A317" s="35">
        <v>261</v>
      </c>
      <c r="B317" s="36">
        <v>10</v>
      </c>
      <c r="C317" s="80" t="s">
        <v>18</v>
      </c>
      <c r="D317" s="314">
        <v>68</v>
      </c>
      <c r="E317" s="37">
        <v>40</v>
      </c>
      <c r="F317" s="38">
        <v>45853</v>
      </c>
      <c r="G317" s="84">
        <v>3</v>
      </c>
      <c r="H317" s="37">
        <v>4</v>
      </c>
      <c r="I317" s="38">
        <v>45853</v>
      </c>
      <c r="J317" s="85">
        <v>3</v>
      </c>
      <c r="K317" s="39" t="s">
        <v>235</v>
      </c>
    </row>
    <row r="318" spans="1:11" x14ac:dyDescent="0.3">
      <c r="A318" s="35">
        <v>262</v>
      </c>
      <c r="B318" s="36">
        <v>8</v>
      </c>
      <c r="C318" s="80" t="s">
        <v>16</v>
      </c>
      <c r="D318" s="314">
        <v>70</v>
      </c>
      <c r="E318" s="37">
        <v>100</v>
      </c>
      <c r="F318" s="38">
        <v>45853</v>
      </c>
      <c r="G318" s="84">
        <v>3</v>
      </c>
      <c r="H318" s="37">
        <v>10</v>
      </c>
      <c r="I318" s="38">
        <v>45853</v>
      </c>
      <c r="J318" s="85">
        <v>3</v>
      </c>
      <c r="K318" s="39" t="s">
        <v>235</v>
      </c>
    </row>
    <row r="319" spans="1:11" x14ac:dyDescent="0.3">
      <c r="A319" s="35">
        <v>263</v>
      </c>
      <c r="B319" s="36">
        <v>5</v>
      </c>
      <c r="C319" s="80" t="s">
        <v>14</v>
      </c>
      <c r="D319" s="314">
        <v>71</v>
      </c>
      <c r="E319" s="37">
        <v>100</v>
      </c>
      <c r="F319" s="38">
        <v>45853</v>
      </c>
      <c r="G319" s="84">
        <v>2</v>
      </c>
      <c r="H319" s="37">
        <v>24</v>
      </c>
      <c r="I319" s="38">
        <v>45853</v>
      </c>
      <c r="J319" s="85">
        <v>2</v>
      </c>
      <c r="K319" s="39" t="s">
        <v>236</v>
      </c>
    </row>
    <row r="320" spans="1:11" x14ac:dyDescent="0.3">
      <c r="A320" s="35">
        <v>264</v>
      </c>
      <c r="B320" s="48">
        <v>17</v>
      </c>
      <c r="C320" s="80" t="s">
        <v>350</v>
      </c>
      <c r="D320" s="314">
        <v>72</v>
      </c>
      <c r="E320" s="37">
        <v>166.67</v>
      </c>
      <c r="F320" s="38">
        <v>45853</v>
      </c>
      <c r="G320" s="84">
        <v>2</v>
      </c>
      <c r="H320" s="37">
        <v>40</v>
      </c>
      <c r="I320" s="38">
        <v>45853</v>
      </c>
      <c r="J320" s="85">
        <v>2</v>
      </c>
      <c r="K320" s="39" t="s">
        <v>236</v>
      </c>
    </row>
    <row r="321" spans="1:11" x14ac:dyDescent="0.3">
      <c r="A321" s="35">
        <v>265</v>
      </c>
      <c r="B321" s="74">
        <v>4</v>
      </c>
      <c r="C321" s="80" t="s">
        <v>12</v>
      </c>
      <c r="D321" s="314">
        <v>66</v>
      </c>
      <c r="E321" s="37">
        <v>233.34</v>
      </c>
      <c r="F321" s="38">
        <v>45853</v>
      </c>
      <c r="G321" s="84">
        <v>3</v>
      </c>
      <c r="H321" s="37">
        <v>14</v>
      </c>
      <c r="I321" s="38">
        <v>45853</v>
      </c>
      <c r="J321" s="85">
        <v>3</v>
      </c>
      <c r="K321" s="39" t="s">
        <v>235</v>
      </c>
    </row>
    <row r="322" spans="1:11" x14ac:dyDescent="0.3">
      <c r="A322" s="35">
        <v>266</v>
      </c>
      <c r="B322" s="74">
        <v>3</v>
      </c>
      <c r="C322" s="80" t="s">
        <v>13</v>
      </c>
      <c r="D322" s="314">
        <v>69</v>
      </c>
      <c r="E322" s="37">
        <f>200</f>
        <v>200</v>
      </c>
      <c r="F322" s="38">
        <v>45853</v>
      </c>
      <c r="G322" s="84">
        <v>3</v>
      </c>
      <c r="H322" s="37">
        <v>12</v>
      </c>
      <c r="I322" s="38">
        <v>45853</v>
      </c>
      <c r="J322" s="85">
        <v>3</v>
      </c>
      <c r="K322" s="39" t="s">
        <v>235</v>
      </c>
    </row>
    <row r="323" spans="1:11" x14ac:dyDescent="0.3">
      <c r="A323" s="35">
        <v>267</v>
      </c>
      <c r="B323" s="36">
        <v>16</v>
      </c>
      <c r="C323" s="80" t="s">
        <v>23</v>
      </c>
      <c r="D323" s="314">
        <v>47</v>
      </c>
      <c r="E323" s="37">
        <v>41.67</v>
      </c>
      <c r="F323" s="38">
        <v>45853</v>
      </c>
      <c r="G323" s="84">
        <v>12</v>
      </c>
      <c r="H323" s="37">
        <v>10</v>
      </c>
      <c r="I323" s="38">
        <v>45853</v>
      </c>
      <c r="J323" s="85">
        <v>12</v>
      </c>
      <c r="K323" s="39" t="s">
        <v>388</v>
      </c>
    </row>
    <row r="324" spans="1:11" x14ac:dyDescent="0.3">
      <c r="A324" s="35">
        <v>268</v>
      </c>
      <c r="B324" s="36">
        <v>11</v>
      </c>
      <c r="C324" s="80" t="s">
        <v>19</v>
      </c>
      <c r="D324" s="314">
        <v>73</v>
      </c>
      <c r="E324" s="37">
        <v>100</v>
      </c>
      <c r="F324" s="38">
        <v>45853</v>
      </c>
      <c r="G324" s="84">
        <v>2</v>
      </c>
      <c r="H324" s="37">
        <v>6</v>
      </c>
      <c r="I324" s="38">
        <v>45853</v>
      </c>
      <c r="J324" s="85">
        <v>2</v>
      </c>
      <c r="K324" s="39" t="s">
        <v>389</v>
      </c>
    </row>
    <row r="325" spans="1:11" x14ac:dyDescent="0.3">
      <c r="A325" s="35">
        <v>269</v>
      </c>
      <c r="B325" s="36">
        <v>16</v>
      </c>
      <c r="C325" s="80" t="s">
        <v>23</v>
      </c>
      <c r="D325" s="314">
        <v>75</v>
      </c>
      <c r="E325" s="37">
        <v>100</v>
      </c>
      <c r="F325" s="38">
        <v>45867</v>
      </c>
      <c r="G325" s="84">
        <v>1</v>
      </c>
      <c r="H325" s="37">
        <v>2</v>
      </c>
      <c r="I325" s="38">
        <v>45867</v>
      </c>
      <c r="J325" s="85">
        <v>1</v>
      </c>
      <c r="K325" s="39" t="s">
        <v>440</v>
      </c>
    </row>
  </sheetData>
  <sheetProtection algorithmName="SHA-512" hashValue="1XdsDyNTu97YTrT0fMTcWVnjXXfBym+6DxGMwwQgpCVsLRjx8cNrUpfI0V6pT6b/ry+4HBYtJk8/1+sDFPOfkg==" saltValue="7SN3l9xa6LdTdbXAS0EetA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37"/>
  <sheetViews>
    <sheetView workbookViewId="0"/>
  </sheetViews>
  <sheetFormatPr baseColWidth="10" defaultRowHeight="14.4" x14ac:dyDescent="0.3"/>
  <cols>
    <col min="1" max="1" width="12.33203125" style="240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41" t="s">
        <v>392</v>
      </c>
      <c r="B1" s="242" t="s">
        <v>48</v>
      </c>
      <c r="C1" s="242" t="s">
        <v>69</v>
      </c>
      <c r="D1" s="243" t="s">
        <v>304</v>
      </c>
    </row>
    <row r="2" spans="1:6" x14ac:dyDescent="0.3">
      <c r="A2" s="244" cm="1">
        <f t="array" ref="A2">IF(DENERO_CAJA[[#This Row],[MONTO]]&lt;&gt;"",ROW()-ROW(DENERO_CAJA[#Headers]),"")</f>
        <v>1</v>
      </c>
      <c r="B2" s="231">
        <v>44788</v>
      </c>
      <c r="C2" s="262">
        <v>130</v>
      </c>
      <c r="D2" s="238"/>
      <c r="F2" s="287"/>
    </row>
    <row r="3" spans="1:6" x14ac:dyDescent="0.3">
      <c r="A3" s="244" cm="1">
        <f t="array" ref="A3">IF(DENERO_CAJA[[#This Row],[MONTO]]&lt;&gt;"",ROW()-ROW(DENERO_CAJA[#Headers]),"")</f>
        <v>2</v>
      </c>
      <c r="B3" s="231">
        <v>44819</v>
      </c>
      <c r="C3" s="262">
        <v>100</v>
      </c>
      <c r="D3" s="238"/>
      <c r="F3" s="287"/>
    </row>
    <row r="4" spans="1:6" x14ac:dyDescent="0.3">
      <c r="A4" s="244" cm="1">
        <f t="array" ref="A4">IF(DENERO_CAJA[[#This Row],[MONTO]]&lt;&gt;"",ROW()-ROW(DENERO_CAJA[#Headers]),"")</f>
        <v>3</v>
      </c>
      <c r="B4" s="231">
        <v>44849</v>
      </c>
      <c r="C4" s="262">
        <v>113.2</v>
      </c>
      <c r="D4" s="238"/>
      <c r="F4" s="287"/>
    </row>
    <row r="5" spans="1:6" x14ac:dyDescent="0.3">
      <c r="A5" s="244" cm="1">
        <f t="array" ref="A5">IF(DENERO_CAJA[[#This Row],[MONTO]]&lt;&gt;"",ROW()-ROW(DENERO_CAJA[#Headers]),"")</f>
        <v>4</v>
      </c>
      <c r="B5" s="231">
        <v>44880</v>
      </c>
      <c r="C5" s="262">
        <v>130.4</v>
      </c>
      <c r="D5" s="238"/>
      <c r="F5" s="287"/>
    </row>
    <row r="6" spans="1:6" x14ac:dyDescent="0.3">
      <c r="A6" s="244" cm="1">
        <f t="array" ref="A6">IF(DENERO_CAJA[[#This Row],[MONTO]]&lt;&gt;"",ROW()-ROW(DENERO_CAJA[#Headers]),"")</f>
        <v>5</v>
      </c>
      <c r="B6" s="231">
        <v>44910</v>
      </c>
      <c r="C6" s="262">
        <v>108.4</v>
      </c>
      <c r="D6" s="238"/>
      <c r="F6" s="287"/>
    </row>
    <row r="7" spans="1:6" x14ac:dyDescent="0.3">
      <c r="A7" s="244" cm="1">
        <f t="array" ref="A7">IF(DENERO_CAJA[[#This Row],[MONTO]]&lt;&gt;"",ROW()-ROW(DENERO_CAJA[#Headers]),"")</f>
        <v>6</v>
      </c>
      <c r="B7" s="231">
        <v>44941</v>
      </c>
      <c r="C7" s="262">
        <v>133.80000000000001</v>
      </c>
      <c r="D7" s="238"/>
      <c r="F7" s="287"/>
    </row>
    <row r="8" spans="1:6" x14ac:dyDescent="0.3">
      <c r="A8" s="244" cm="1">
        <f t="array" ref="A8">IF(DENERO_CAJA[[#This Row],[MONTO]]&lt;&gt;"",ROW()-ROW(DENERO_CAJA[#Headers]),"")</f>
        <v>7</v>
      </c>
      <c r="B8" s="231">
        <v>44972</v>
      </c>
      <c r="C8" s="262">
        <v>52.87</v>
      </c>
      <c r="D8" s="238"/>
      <c r="F8" s="287"/>
    </row>
    <row r="9" spans="1:6" x14ac:dyDescent="0.3">
      <c r="A9" s="245" cm="1">
        <f t="array" ref="A9">IF(DENERO_CAJA[[#This Row],[MONTO]]&lt;&gt;"",ROW()-ROW(DENERO_CAJA[#Headers]),"")</f>
        <v>8</v>
      </c>
      <c r="B9" s="231">
        <v>45000</v>
      </c>
      <c r="C9" s="262">
        <v>24.94</v>
      </c>
      <c r="D9" s="246"/>
      <c r="F9" s="287"/>
    </row>
    <row r="10" spans="1:6" x14ac:dyDescent="0.3">
      <c r="A10" s="245" cm="1">
        <f t="array" ref="A10">IF(DENERO_CAJA[[#This Row],[MONTO]]&lt;&gt;"",ROW()-ROW(DENERO_CAJA[#Headers]),"")</f>
        <v>9</v>
      </c>
      <c r="B10" s="231">
        <v>45031</v>
      </c>
      <c r="C10" s="262">
        <v>366.6</v>
      </c>
      <c r="D10" s="246"/>
      <c r="F10" s="287"/>
    </row>
    <row r="11" spans="1:6" x14ac:dyDescent="0.3">
      <c r="A11" s="245" cm="1">
        <f t="array" ref="A11">IF(DENERO_CAJA[[#This Row],[MONTO]]&lt;&gt;"",ROW()-ROW(DENERO_CAJA[#Headers]),"")</f>
        <v>10</v>
      </c>
      <c r="B11" s="231">
        <v>45061</v>
      </c>
      <c r="C11" s="262">
        <v>583</v>
      </c>
      <c r="D11" s="246"/>
      <c r="F11" s="287"/>
    </row>
    <row r="12" spans="1:6" x14ac:dyDescent="0.3">
      <c r="A12" s="245" cm="1">
        <f t="array" ref="A12">IF(DENERO_CAJA[[#This Row],[MONTO]]&lt;&gt;"",ROW()-ROW(DENERO_CAJA[#Headers]),"")</f>
        <v>11</v>
      </c>
      <c r="B12" s="231">
        <v>45092</v>
      </c>
      <c r="C12" s="262">
        <v>60</v>
      </c>
      <c r="D12" s="246"/>
      <c r="F12" s="287"/>
    </row>
    <row r="13" spans="1:6" x14ac:dyDescent="0.3">
      <c r="A13" s="245" cm="1">
        <f t="array" ref="A13">IF(DENERO_CAJA[[#This Row],[MONTO]]&lt;&gt;"",ROW()-ROW(DENERO_CAJA[#Headers]),"")</f>
        <v>12</v>
      </c>
      <c r="B13" s="231">
        <v>45122</v>
      </c>
      <c r="C13" s="262">
        <v>230</v>
      </c>
      <c r="D13" s="246"/>
      <c r="F13" s="287"/>
    </row>
    <row r="14" spans="1:6" x14ac:dyDescent="0.3">
      <c r="A14" s="245" cm="1">
        <f t="array" ref="A14">IF(DENERO_CAJA[[#This Row],[MONTO]]&lt;&gt;"",ROW()-ROW(DENERO_CAJA[#Headers]),"")</f>
        <v>13</v>
      </c>
      <c r="B14" s="231">
        <v>45153</v>
      </c>
      <c r="C14" s="262">
        <v>394</v>
      </c>
      <c r="D14" s="246"/>
      <c r="F14" s="287"/>
    </row>
    <row r="15" spans="1:6" x14ac:dyDescent="0.3">
      <c r="A15" s="245" cm="1">
        <f t="array" ref="A15">IF(DENERO_CAJA[[#This Row],[MONTO]]&lt;&gt;"",ROW()-ROW(DENERO_CAJA[#Headers]),"")</f>
        <v>14</v>
      </c>
      <c r="B15" s="231">
        <v>45184</v>
      </c>
      <c r="C15" s="262">
        <v>75</v>
      </c>
      <c r="D15" s="246"/>
      <c r="F15" s="287"/>
    </row>
    <row r="16" spans="1:6" x14ac:dyDescent="0.3">
      <c r="A16" s="245" cm="1">
        <f t="array" ref="A16">IF(DENERO_CAJA[[#This Row],[MONTO]]&lt;&gt;"",ROW()-ROW(DENERO_CAJA[#Headers]),"")</f>
        <v>15</v>
      </c>
      <c r="B16" s="231">
        <v>45214</v>
      </c>
      <c r="C16" s="262">
        <v>164</v>
      </c>
      <c r="D16" s="246"/>
      <c r="F16" s="287"/>
    </row>
    <row r="17" spans="1:6" x14ac:dyDescent="0.3">
      <c r="A17" s="245" cm="1">
        <f t="array" ref="A17">IF(DENERO_CAJA[[#This Row],[MONTO]]&lt;&gt;"",ROW()-ROW(DENERO_CAJA[#Headers]),"")</f>
        <v>16</v>
      </c>
      <c r="B17" s="231">
        <v>45245</v>
      </c>
      <c r="C17" s="262">
        <v>13.66</v>
      </c>
      <c r="D17" s="246"/>
      <c r="F17" s="287"/>
    </row>
    <row r="18" spans="1:6" x14ac:dyDescent="0.3">
      <c r="A18" s="245" cm="1">
        <f t="array" ref="A18">IF(DENERO_CAJA[[#This Row],[MONTO]]&lt;&gt;"",ROW()-ROW(DENERO_CAJA[#Headers]),"")</f>
        <v>17</v>
      </c>
      <c r="B18" s="231">
        <v>45275</v>
      </c>
      <c r="C18" s="262">
        <v>320.8</v>
      </c>
      <c r="D18" s="246"/>
      <c r="F18" s="287"/>
    </row>
    <row r="19" spans="1:6" x14ac:dyDescent="0.3">
      <c r="A19" s="245" cm="1">
        <f t="array" ref="A19">IF(DENERO_CAJA[[#This Row],[MONTO]]&lt;&gt;"",ROW()-ROW(DENERO_CAJA[#Headers]),"")</f>
        <v>18</v>
      </c>
      <c r="B19" s="231">
        <v>45306</v>
      </c>
      <c r="C19" s="262">
        <v>331.94</v>
      </c>
      <c r="D19" s="246"/>
      <c r="F19" s="287"/>
    </row>
    <row r="20" spans="1:6" x14ac:dyDescent="0.3">
      <c r="A20" s="245" cm="1">
        <f t="array" ref="A20">IF(DENERO_CAJA[[#This Row],[MONTO]]&lt;&gt;"",ROW()-ROW(DENERO_CAJA[#Headers]),"")</f>
        <v>19</v>
      </c>
      <c r="B20" s="231">
        <v>45337</v>
      </c>
      <c r="C20" s="262">
        <v>473.08</v>
      </c>
      <c r="D20" s="246"/>
      <c r="F20" s="287"/>
    </row>
    <row r="21" spans="1:6" x14ac:dyDescent="0.3">
      <c r="A21" s="245" cm="1">
        <f t="array" ref="A21">IF(DENERO_CAJA[[#This Row],[MONTO]]&lt;&gt;"",ROW()-ROW(DENERO_CAJA[#Headers]),"")</f>
        <v>20</v>
      </c>
      <c r="B21" s="231">
        <v>45366</v>
      </c>
      <c r="C21" s="262">
        <v>53.22</v>
      </c>
      <c r="D21" s="246"/>
      <c r="F21" s="287"/>
    </row>
    <row r="22" spans="1:6" x14ac:dyDescent="0.3">
      <c r="A22" s="245" cm="1">
        <f t="array" ref="A22">IF(DENERO_CAJA[[#This Row],[MONTO]]&lt;&gt;"",ROW()-ROW(DENERO_CAJA[#Headers]),"")</f>
        <v>21</v>
      </c>
      <c r="B22" s="231">
        <v>45397</v>
      </c>
      <c r="C22" s="262">
        <v>469.36</v>
      </c>
      <c r="D22" s="246"/>
      <c r="F22" s="287"/>
    </row>
    <row r="23" spans="1:6" x14ac:dyDescent="0.3">
      <c r="A23" s="245" cm="1">
        <f t="array" ref="A23">IF(DENERO_CAJA[[#This Row],[MONTO]]&lt;&gt;"",ROW()-ROW(DENERO_CAJA[#Headers]),"")</f>
        <v>22</v>
      </c>
      <c r="B23" s="231">
        <v>45427</v>
      </c>
      <c r="C23" s="262">
        <v>139.5</v>
      </c>
      <c r="D23" s="246"/>
      <c r="F23" s="287"/>
    </row>
    <row r="24" spans="1:6" x14ac:dyDescent="0.3">
      <c r="A24" s="245" cm="1">
        <f t="array" ref="A24">IF(DENERO_CAJA[[#This Row],[MONTO]]&lt;&gt;"",ROW()-ROW(DENERO_CAJA[#Headers]),"")</f>
        <v>23</v>
      </c>
      <c r="B24" s="231">
        <v>45458</v>
      </c>
      <c r="C24" s="262">
        <v>46.24</v>
      </c>
      <c r="D24" s="246"/>
      <c r="F24" s="287"/>
    </row>
    <row r="25" spans="1:6" x14ac:dyDescent="0.3">
      <c r="A25" s="245" cm="1">
        <f t="array" ref="A25">IF(DENERO_CAJA[[#This Row],[MONTO]]&lt;&gt;"",ROW()-ROW(DENERO_CAJA[#Headers]),"")</f>
        <v>24</v>
      </c>
      <c r="B25" s="231">
        <v>45488</v>
      </c>
      <c r="C25" s="262">
        <v>136.94999999999999</v>
      </c>
      <c r="D25" s="246"/>
      <c r="F25" s="287"/>
    </row>
    <row r="26" spans="1:6" x14ac:dyDescent="0.3">
      <c r="A26" s="245" cm="1">
        <f t="array" ref="A26">IF(DENERO_CAJA[[#This Row],[MONTO]]&lt;&gt;"",ROW()-ROW(DENERO_CAJA[#Headers]),"")</f>
        <v>25</v>
      </c>
      <c r="B26" s="231">
        <v>45519</v>
      </c>
      <c r="C26" s="262">
        <v>198.33</v>
      </c>
      <c r="D26" s="246"/>
      <c r="F26" s="287"/>
    </row>
    <row r="27" spans="1:6" x14ac:dyDescent="0.3">
      <c r="A27" s="245" cm="1">
        <f t="array" ref="A27">IF(DENERO_CAJA[[#This Row],[MONTO]]&lt;&gt;"",ROW()-ROW(DENERO_CAJA[#Headers]),"")</f>
        <v>26</v>
      </c>
      <c r="B27" s="231">
        <v>45550</v>
      </c>
      <c r="C27" s="262">
        <v>645.71</v>
      </c>
      <c r="D27" s="246"/>
      <c r="F27" s="287"/>
    </row>
    <row r="28" spans="1:6" x14ac:dyDescent="0.3">
      <c r="A28" s="245" cm="1">
        <f t="array" ref="A28">IF(DENERO_CAJA[[#This Row],[MONTO]]&lt;&gt;"",ROW()-ROW(DENERO_CAJA[#Headers]),"")</f>
        <v>27</v>
      </c>
      <c r="B28" s="231">
        <v>45580</v>
      </c>
      <c r="C28" s="262">
        <v>613.79</v>
      </c>
      <c r="D28" s="246"/>
      <c r="F28" s="287"/>
    </row>
    <row r="29" spans="1:6" x14ac:dyDescent="0.3">
      <c r="A29" s="245" cm="1">
        <f t="array" ref="A29">IF(DENERO_CAJA[[#This Row],[MONTO]]&lt;&gt;"",ROW()-ROW(DENERO_CAJA[#Headers]),"")</f>
        <v>28</v>
      </c>
      <c r="B29" s="231">
        <v>45611</v>
      </c>
      <c r="C29" s="262">
        <v>223.68</v>
      </c>
      <c r="D29" s="246"/>
      <c r="F29" s="287"/>
    </row>
    <row r="30" spans="1:6" x14ac:dyDescent="0.3">
      <c r="A30" s="245" cm="1">
        <f t="array" ref="A30">IF(DENERO_CAJA[[#This Row],[MONTO]]&lt;&gt;"",ROW()-ROW(DENERO_CAJA[#Headers]),"")</f>
        <v>29</v>
      </c>
      <c r="B30" s="231">
        <v>45641</v>
      </c>
      <c r="C30" s="262">
        <v>120.72</v>
      </c>
      <c r="D30" s="246"/>
      <c r="F30" s="287"/>
    </row>
    <row r="31" spans="1:6" x14ac:dyDescent="0.3">
      <c r="A31" s="245" cm="1">
        <f t="array" ref="A31">IF(DENERO_CAJA[[#This Row],[MONTO]]&lt;&gt;"",ROW()-ROW(DENERO_CAJA[#Headers]),"")</f>
        <v>30</v>
      </c>
      <c r="B31" s="231">
        <v>45672</v>
      </c>
      <c r="C31" s="262">
        <v>233.66</v>
      </c>
      <c r="D31" s="246"/>
      <c r="F31" s="287"/>
    </row>
    <row r="32" spans="1:6" x14ac:dyDescent="0.3">
      <c r="A32" s="245" cm="1">
        <f t="array" ref="A32">IF(DENERO_CAJA[[#This Row],[MONTO]]&lt;&gt;"",ROW()-ROW(DENERO_CAJA[#Headers]),"")</f>
        <v>31</v>
      </c>
      <c r="B32" s="231">
        <v>45703</v>
      </c>
      <c r="C32" s="262">
        <v>346</v>
      </c>
      <c r="D32" s="246"/>
      <c r="F32" s="287"/>
    </row>
    <row r="33" spans="1:6" x14ac:dyDescent="0.3">
      <c r="A33" s="245" cm="1">
        <f t="array" ref="A33">IF(DENERO_CAJA[[#This Row],[MONTO]]&lt;&gt;"",ROW()-ROW(DENERO_CAJA[#Headers]),"")</f>
        <v>32</v>
      </c>
      <c r="B33" s="231">
        <v>45731</v>
      </c>
      <c r="C33" s="262">
        <v>13.67</v>
      </c>
      <c r="D33" s="246"/>
      <c r="F33" s="287"/>
    </row>
    <row r="34" spans="1:6" x14ac:dyDescent="0.3">
      <c r="A34" s="245" cm="1">
        <f t="array" ref="A34">IF(DENERO_CAJA[[#This Row],[MONTO]]&lt;&gt;"",ROW()-ROW(DENERO_CAJA[#Headers]),"")</f>
        <v>33</v>
      </c>
      <c r="B34" s="231">
        <v>45762</v>
      </c>
      <c r="C34" s="262">
        <v>1573.34</v>
      </c>
      <c r="D34" s="246"/>
      <c r="F34" s="287"/>
    </row>
    <row r="35" spans="1:6" x14ac:dyDescent="0.3">
      <c r="A35" s="245" cm="1">
        <f t="array" ref="A35">IF(DENERO_CAJA[[#This Row],[MONTO]]&lt;&gt;"",ROW()-ROW(DENERO_CAJA[#Headers]),"")</f>
        <v>34</v>
      </c>
      <c r="B35" s="231">
        <v>45792</v>
      </c>
      <c r="C35" s="262">
        <v>66.34</v>
      </c>
      <c r="D35" s="246"/>
      <c r="F35" s="287"/>
    </row>
    <row r="36" spans="1:6" x14ac:dyDescent="0.3">
      <c r="A36" s="245" cm="1">
        <f t="array" ref="A36">IF(DENERO_CAJA[[#This Row],[MONTO]]&lt;&gt;"",ROW()-ROW(DENERO_CAJA[#Headers]),"")</f>
        <v>35</v>
      </c>
      <c r="B36" s="231">
        <v>45823</v>
      </c>
      <c r="C36" s="262">
        <v>1836.81</v>
      </c>
      <c r="D36" s="246"/>
      <c r="F36" s="287"/>
    </row>
    <row r="37" spans="1:6" x14ac:dyDescent="0.3">
      <c r="A37" s="245" cm="1">
        <f t="array" ref="A37">IF(DENERO_CAJA[[#This Row],[MONTO]]&lt;&gt;"",ROW()-ROW(DENERO_CAJA[#Headers]),"")</f>
        <v>36</v>
      </c>
      <c r="B37" s="231">
        <v>45853</v>
      </c>
      <c r="C37" s="262">
        <v>3718.49</v>
      </c>
      <c r="D37" s="246"/>
      <c r="F37" s="287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S27"/>
  <sheetViews>
    <sheetView zoomScale="90" zoomScaleNormal="90" workbookViewId="0">
      <selection activeCell="I34" sqref="I34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6640625" bestFit="1" customWidth="1"/>
    <col min="4" max="4" width="11" bestFit="1" customWidth="1"/>
    <col min="5" max="5" width="9.88671875" bestFit="1" customWidth="1"/>
    <col min="6" max="6" width="10.88671875" bestFit="1" customWidth="1"/>
    <col min="7" max="8" width="15.109375" bestFit="1" customWidth="1"/>
    <col min="9" max="9" width="13.5546875" bestFit="1" customWidth="1"/>
    <col min="10" max="10" width="14.5546875" bestFit="1" customWidth="1"/>
    <col min="11" max="11" width="13.5546875" bestFit="1" customWidth="1"/>
    <col min="12" max="12" width="14.5546875" bestFit="1" customWidth="1"/>
    <col min="13" max="14" width="15.44140625" bestFit="1" customWidth="1"/>
    <col min="15" max="15" width="14.5546875" bestFit="1" customWidth="1"/>
    <col min="16" max="16" width="12.6640625" bestFit="1" customWidth="1"/>
    <col min="17" max="17" width="13.88671875" bestFit="1" customWidth="1"/>
  </cols>
  <sheetData>
    <row r="2" spans="2:19" ht="21" x14ac:dyDescent="0.4">
      <c r="D2" s="319" t="s">
        <v>458</v>
      </c>
      <c r="E2" s="320"/>
      <c r="F2" s="320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</row>
    <row r="4" spans="2:19" x14ac:dyDescent="0.3">
      <c r="D4" s="205" t="s">
        <v>444</v>
      </c>
      <c r="F4" s="295"/>
      <c r="G4" s="306" t="s">
        <v>448</v>
      </c>
      <c r="H4" s="306" t="s">
        <v>449</v>
      </c>
      <c r="I4" s="295" t="s">
        <v>451</v>
      </c>
      <c r="J4" s="300" t="s">
        <v>451</v>
      </c>
      <c r="K4" s="295" t="s">
        <v>449</v>
      </c>
      <c r="L4" s="300" t="s">
        <v>449</v>
      </c>
      <c r="M4" s="303" t="s">
        <v>448</v>
      </c>
      <c r="N4" s="303" t="s">
        <v>32</v>
      </c>
      <c r="O4" s="295"/>
      <c r="P4" s="295"/>
      <c r="Q4" s="295"/>
    </row>
    <row r="5" spans="2:19" x14ac:dyDescent="0.3">
      <c r="B5" s="205" t="s">
        <v>27</v>
      </c>
      <c r="C5" s="205" t="s">
        <v>11</v>
      </c>
      <c r="D5" t="s">
        <v>445</v>
      </c>
      <c r="E5" t="s">
        <v>446</v>
      </c>
      <c r="F5" s="295" t="s">
        <v>447</v>
      </c>
      <c r="G5" s="306" t="s">
        <v>116</v>
      </c>
      <c r="H5" s="306" t="s">
        <v>116</v>
      </c>
      <c r="I5" s="295" t="s">
        <v>450</v>
      </c>
      <c r="J5" s="300" t="s">
        <v>452</v>
      </c>
      <c r="K5" s="295" t="s">
        <v>450</v>
      </c>
      <c r="L5" s="300" t="s">
        <v>452</v>
      </c>
      <c r="M5" s="303" t="s">
        <v>453</v>
      </c>
      <c r="N5" s="303" t="s">
        <v>453</v>
      </c>
      <c r="O5" s="295" t="s">
        <v>454</v>
      </c>
      <c r="P5" s="295" t="s">
        <v>455</v>
      </c>
      <c r="Q5" s="295" t="s">
        <v>457</v>
      </c>
    </row>
    <row r="6" spans="2:19" x14ac:dyDescent="0.3">
      <c r="B6" s="297">
        <v>1</v>
      </c>
      <c r="C6" s="297" t="s">
        <v>70</v>
      </c>
      <c r="D6" s="297">
        <v>1</v>
      </c>
      <c r="E6" s="298">
        <v>0</v>
      </c>
      <c r="F6" s="298">
        <f>+SUMIFS(PRESTAMOS[MONTO AMORTIZACION],PRESTAMOS[NOMBRE CLIENTE],C6,PRESTAMOS[REG],"AYUDA")</f>
        <v>0</v>
      </c>
      <c r="G6" s="307">
        <f>+SUMIFS(PRESTAMOS[MONTO AMORTIZACION],PRESTAMOS[CODIGO CLIENTE],B6,PRESTAMOS[REG],"&lt;&gt;AYUDA*")</f>
        <v>0</v>
      </c>
      <c r="H6" s="307">
        <f>+SUMIFS(PRESTAMOS[T. INT],PRESTAMOS[CODIGO CLIENTE],B6,PRESTAMOS[REG],"&lt;&gt;AYUDA*")</f>
        <v>0</v>
      </c>
      <c r="I6" s="298">
        <v>0</v>
      </c>
      <c r="J6" s="301">
        <v>0</v>
      </c>
      <c r="K6" s="298">
        <v>0</v>
      </c>
      <c r="L6" s="301">
        <v>0</v>
      </c>
      <c r="M6" s="304">
        <f>+G6-(I6+J6)</f>
        <v>0</v>
      </c>
      <c r="N6" s="304">
        <f>+H6-(K6+L6)</f>
        <v>0</v>
      </c>
      <c r="O6" s="299">
        <f>+(SUMIFS(PAGOS[PAGO DEL MONTO],PAGOS[NOMBRE CLIENTE],C6,PAGOS[REG],"INGRESO*"))+(SUMIFS(PAGOS[PAGO DEL INTERES],PAGOS[NOMBRE CLIENTE],C6,PAGOS[REG],"INGRESO*"))</f>
        <v>12.5</v>
      </c>
      <c r="P6" s="299">
        <f>IF(C6="SOCIOS GASTOS",SUMIFS(PAGOS[PAGO DEL MONTO],PAGOS[NOMBRE CLIENTE],"SOCIOS GASTOS",PAGOS[REG],"EGRESO*")+(SUMIFS(PAGOS[PAGO DEL INTERES],PAGOS[NOMBRE CLIENTE],"SOCIOS GASTOS",PAGOS[REG],"EGRESO*")),0)+F6</f>
        <v>0</v>
      </c>
      <c r="Q6" s="317">
        <f>IF(OR(B6=1,B6=2),0,GETPIVOTDATA("[Measures].[Suma de APORTE]",$B$4)+($H$24+$O$24-$P$24-$L$24))/16</f>
        <v>0</v>
      </c>
    </row>
    <row r="7" spans="2:19" x14ac:dyDescent="0.3">
      <c r="B7" s="297">
        <v>2</v>
      </c>
      <c r="C7" s="297" t="s">
        <v>71</v>
      </c>
      <c r="D7" s="297">
        <v>1</v>
      </c>
      <c r="E7" s="298">
        <v>0</v>
      </c>
      <c r="F7" s="298">
        <f>+SUMIFS(PRESTAMOS[MONTO AMORTIZACION],PRESTAMOS[NOMBRE CLIENTE],C7,PRESTAMOS[REG],"AYUDA*")</f>
        <v>0</v>
      </c>
      <c r="G7" s="307">
        <f>+SUMIFS(PRESTAMOS[MONTO AMORTIZACION],PRESTAMOS[CODIGO CLIENTE],B7,PRESTAMOS[REG],"&lt;&gt;AYUDA*")</f>
        <v>0</v>
      </c>
      <c r="H7" s="307">
        <f>+SUMIFS(PRESTAMOS[T. INT],PRESTAMOS[CODIGO CLIENTE],B7,PRESTAMOS[REG],"&lt;&gt;AYUDA*")</f>
        <v>0</v>
      </c>
      <c r="I7" s="298">
        <v>0</v>
      </c>
      <c r="J7" s="301">
        <v>0</v>
      </c>
      <c r="K7" s="298">
        <v>0</v>
      </c>
      <c r="L7" s="301">
        <v>0</v>
      </c>
      <c r="M7" s="304">
        <f t="shared" ref="M7:M23" si="0">+G7-(I7+J7)</f>
        <v>0</v>
      </c>
      <c r="N7" s="304">
        <f t="shared" ref="N7:N23" si="1">+H7-(K7+L7)</f>
        <v>0</v>
      </c>
      <c r="O7" s="299">
        <f>+(SUMIFS(PAGOS[PAGO DEL MONTO],PAGOS[NOMBRE CLIENTE],C7,PAGOS[REG],"INGRESO*"))+(SUMIFS(PAGOS[PAGO DEL INTERES],PAGOS[NOMBRE CLIENTE],C7,PAGOS[REG],"INGRESO*"))</f>
        <v>0</v>
      </c>
      <c r="P7" s="299">
        <f>IF(C7="SOCIOS GASTOS",SUMIFS(PAGOS[PAGO DEL MONTO],PAGOS[NOMBRE CLIENTE],"SOCIOS GASTOS",PAGOS[REG],"EGRESO*")+(SUMIFS(PAGOS[PAGO DEL INTERES],PAGOS[NOMBRE CLIENTE],"SOCIOS GASTOS",PAGOS[REG],"EGRESO*")),0)+F7</f>
        <v>400</v>
      </c>
      <c r="Q7" s="317">
        <f t="shared" ref="Q7:Q23" si="2">IF(OR(B7=1,B7=2),0,GETPIVOTDATA("[Measures].[Suma de APORTE]",$B$4)+($H$24+$O$24-$P$24-$L$24))/16</f>
        <v>0</v>
      </c>
    </row>
    <row r="8" spans="2:19" x14ac:dyDescent="0.3">
      <c r="B8" s="297">
        <v>3</v>
      </c>
      <c r="C8" s="297" t="s">
        <v>13</v>
      </c>
      <c r="D8" s="297">
        <v>36</v>
      </c>
      <c r="E8" s="298">
        <v>360</v>
      </c>
      <c r="F8" s="298">
        <f>+SUMIFS(PRESTAMOS[MONTO AMORTIZACION],PRESTAMOS[NOMBRE CLIENTE],C8,PRESTAMOS[REG],"AYUDA*")</f>
        <v>0</v>
      </c>
      <c r="G8" s="307">
        <f>+SUMIFS(PRESTAMOS[MONTO AMORTIZACION],PRESTAMOS[CODIGO CLIENTE],B8,PRESTAMOS[REG],"&lt;&gt;AYUDA*")</f>
        <v>1200</v>
      </c>
      <c r="H8" s="307">
        <f>+SUMIFS(PRESTAMOS[T. INT],PRESTAMOS[CODIGO CLIENTE],B8,PRESTAMOS[REG],"&lt;&gt;AYUDA*")</f>
        <v>74</v>
      </c>
      <c r="I8" s="298">
        <f>+SUMIFS(PAGOS[PAGO DEL MONTO],PAGOS[CODIGO CLIENTE],B8,PAGOS[REG],"&lt;&gt;EGRESO*")</f>
        <v>1177.9099999999999</v>
      </c>
      <c r="J8" s="301">
        <f>+SUMIFS(PAGOS[PAGO DEL MONTO],PAGOS[CODIGO CLIENTE],B8,PAGOS[REG],"EGRESO*")</f>
        <v>22.1</v>
      </c>
      <c r="K8" s="298">
        <f>+SUMIFS(PAGOS[PAGO DEL INTERES],PAGOS[CODIGO CLIENTE],B8,PAGOS[REG],"&lt;&gt;EGRESO*")</f>
        <v>74</v>
      </c>
      <c r="L8" s="301">
        <f>+SUMIFS(PAGOS[PAGO DEL INTERES],PAGOS[CODIGO CLIENTE],B8,PAGOS[REG],"EGRESO*")</f>
        <v>0</v>
      </c>
      <c r="M8" s="304">
        <f t="shared" si="0"/>
        <v>-9.9999999997635314E-3</v>
      </c>
      <c r="N8" s="304">
        <f t="shared" si="1"/>
        <v>0</v>
      </c>
      <c r="O8" s="299">
        <f>+(SUMIFS(PAGOS[PAGO DEL MONTO],PAGOS[NOMBRE CLIENTE],C8,PAGOS[REG],"INGRESO*"))+(SUMIFS(PAGOS[PAGO DEL INTERES],PAGOS[NOMBRE CLIENTE],C8,PAGOS[REG],"INGRESO*"))</f>
        <v>13.35</v>
      </c>
      <c r="P8" s="299">
        <f>IF(C8="SOCIOS GASTOS",SUMIFS(PAGOS[PAGO DEL MONTO],PAGOS[NOMBRE CLIENTE],"SOCIOS GASTOS",PAGOS[REG],"EGRESO*")+(SUMIFS(PAGOS[PAGO DEL INTERES],PAGOS[NOMBRE CLIENTE],"SOCIOS GASTOS",PAGOS[REG],"EGRESO*")),0)+F8</f>
        <v>0</v>
      </c>
      <c r="Q8" s="317">
        <f t="shared" si="2"/>
        <v>517.31875000000002</v>
      </c>
    </row>
    <row r="9" spans="2:19" x14ac:dyDescent="0.3">
      <c r="B9" s="297">
        <v>4</v>
      </c>
      <c r="C9" s="297" t="s">
        <v>12</v>
      </c>
      <c r="D9" s="297">
        <v>36</v>
      </c>
      <c r="E9" s="298">
        <v>360</v>
      </c>
      <c r="F9" s="298">
        <f>+SUMIFS(PRESTAMOS[MONTO AMORTIZACION],PRESTAMOS[NOMBRE CLIENTE],C9,PRESTAMOS[REG],"AYUDA*")</f>
        <v>260</v>
      </c>
      <c r="G9" s="307">
        <f>+SUMIFS(PRESTAMOS[MONTO AMORTIZACION],PRESTAMOS[CODIGO CLIENTE],B9,PRESTAMOS[REG],"&lt;&gt;AYUDA*")</f>
        <v>1400</v>
      </c>
      <c r="H9" s="307">
        <f>+SUMIFS(PRESTAMOS[T. INT],PRESTAMOS[CODIGO CLIENTE],B9,PRESTAMOS[REG],"&lt;&gt;AYUDA*")</f>
        <v>104</v>
      </c>
      <c r="I9" s="298">
        <f>+SUMIFS(PAGOS[PAGO DEL MONTO],PAGOS[CODIGO CLIENTE],B9,PAGOS[REG],"&lt;&gt;EGRESO*")</f>
        <v>1400</v>
      </c>
      <c r="J9" s="301">
        <f>+SUMIFS(PAGOS[PAGO DEL MONTO],PAGOS[CODIGO CLIENTE],B9,PAGOS[REG],"EGRESO*")</f>
        <v>0</v>
      </c>
      <c r="K9" s="298">
        <f>+SUMIFS(PAGOS[PAGO DEL INTERES],PAGOS[CODIGO CLIENTE],B9,PAGOS[REG],"&lt;&gt;EGRESO*")</f>
        <v>104</v>
      </c>
      <c r="L9" s="301">
        <f>+SUMIFS(PAGOS[PAGO DEL INTERES],PAGOS[CODIGO CLIENTE],B9,PAGOS[REG],"EGRESO*")</f>
        <v>0</v>
      </c>
      <c r="M9" s="304">
        <f t="shared" si="0"/>
        <v>0</v>
      </c>
      <c r="N9" s="304">
        <f t="shared" si="1"/>
        <v>0</v>
      </c>
      <c r="O9" s="299">
        <f>+(SUMIFS(PAGOS[PAGO DEL MONTO],PAGOS[NOMBRE CLIENTE],C9,PAGOS[REG],"INGRESO*"))+(SUMIFS(PAGOS[PAGO DEL INTERES],PAGOS[NOMBRE CLIENTE],C9,PAGOS[REG],"INGRESO*"))</f>
        <v>0</v>
      </c>
      <c r="P9" s="299">
        <f>IF(C9="SOCIOS GASTOS",SUMIFS(PAGOS[PAGO DEL MONTO],PAGOS[NOMBRE CLIENTE],"SOCIOS GASTOS",PAGOS[REG],"EGRESO*")+(SUMIFS(PAGOS[PAGO DEL INTERES],PAGOS[NOMBRE CLIENTE],"SOCIOS GASTOS",PAGOS[REG],"EGRESO*")),0)+F9</f>
        <v>260</v>
      </c>
      <c r="Q9" s="317">
        <f t="shared" si="2"/>
        <v>517.31875000000002</v>
      </c>
      <c r="S9" s="113"/>
    </row>
    <row r="10" spans="2:19" x14ac:dyDescent="0.3">
      <c r="B10" s="297">
        <v>5</v>
      </c>
      <c r="C10" s="297" t="s">
        <v>14</v>
      </c>
      <c r="D10" s="297">
        <v>36</v>
      </c>
      <c r="E10" s="298">
        <v>360</v>
      </c>
      <c r="F10" s="298">
        <f>+SUMIFS(PRESTAMOS[MONTO AMORTIZACION],PRESTAMOS[NOMBRE CLIENTE],C10,PRESTAMOS[REG],"AYUDA*")</f>
        <v>0</v>
      </c>
      <c r="G10" s="307">
        <f>+SUMIFS(PRESTAMOS[MONTO AMORTIZACION],PRESTAMOS[CODIGO CLIENTE],B10,PRESTAMOS[REG],"&lt;&gt;AYUDA*")</f>
        <v>3700</v>
      </c>
      <c r="H10" s="307">
        <f>+SUMIFS(PRESTAMOS[T. INT],PRESTAMOS[CODIGO CLIENTE],B10,PRESTAMOS[REG],"&lt;&gt;AYUDA*")</f>
        <v>608</v>
      </c>
      <c r="I10" s="298">
        <f>+SUMIFS(PAGOS[PAGO DEL MONTO],PAGOS[CODIGO CLIENTE],B10,PAGOS[REG],"&lt;&gt;EGRESO*")</f>
        <v>2500</v>
      </c>
      <c r="J10" s="301">
        <f>+SUMIFS(PAGOS[PAGO DEL MONTO],PAGOS[CODIGO CLIENTE],B10,PAGOS[REG],"EGRESO*")</f>
        <v>200</v>
      </c>
      <c r="K10" s="298">
        <f>+SUMIFS(PAGOS[PAGO DEL INTERES],PAGOS[CODIGO CLIENTE],B10,PAGOS[REG],"&lt;&gt;EGRESO*")</f>
        <v>348</v>
      </c>
      <c r="L10" s="301">
        <f>+SUMIFS(PAGOS[PAGO DEL INTERES],PAGOS[CODIGO CLIENTE],B10,PAGOS[REG],"EGRESO*")</f>
        <v>20</v>
      </c>
      <c r="M10" s="304">
        <f t="shared" si="0"/>
        <v>1000</v>
      </c>
      <c r="N10" s="304">
        <f t="shared" si="1"/>
        <v>240</v>
      </c>
      <c r="O10" s="299">
        <f>+(SUMIFS(PAGOS[PAGO DEL MONTO],PAGOS[NOMBRE CLIENTE],C10,PAGOS[REG],"INGRESO*"))+(SUMIFS(PAGOS[PAGO DEL INTERES],PAGOS[NOMBRE CLIENTE],C10,PAGOS[REG],"INGRESO*"))</f>
        <v>13.35</v>
      </c>
      <c r="P10" s="299">
        <f>IF(C10="SOCIOS GASTOS",SUMIFS(PAGOS[PAGO DEL MONTO],PAGOS[NOMBRE CLIENTE],"SOCIOS GASTOS",PAGOS[REG],"EGRESO*")+(SUMIFS(PAGOS[PAGO DEL INTERES],PAGOS[NOMBRE CLIENTE],"SOCIOS GASTOS",PAGOS[REG],"EGRESO*")),0)+F10</f>
        <v>0</v>
      </c>
      <c r="Q10" s="317">
        <f t="shared" si="2"/>
        <v>517.31875000000002</v>
      </c>
    </row>
    <row r="11" spans="2:19" x14ac:dyDescent="0.3">
      <c r="B11" s="297">
        <v>6</v>
      </c>
      <c r="C11" s="297" t="s">
        <v>24</v>
      </c>
      <c r="D11" s="297">
        <v>36</v>
      </c>
      <c r="E11" s="298">
        <v>360</v>
      </c>
      <c r="F11" s="298">
        <f>+SUMIFS(PRESTAMOS[MONTO AMORTIZACION],PRESTAMOS[NOMBRE CLIENTE],C11,PRESTAMOS[REG],"AYUDA*")</f>
        <v>0</v>
      </c>
      <c r="G11" s="307">
        <f>+SUMIFS(PRESTAMOS[MONTO AMORTIZACION],PRESTAMOS[CODIGO CLIENTE],B11,PRESTAMOS[REG],"&lt;&gt;AYUDA*")</f>
        <v>2080</v>
      </c>
      <c r="H11" s="307">
        <f>+SUMIFS(PRESTAMOS[T. INT],PRESTAMOS[CODIGO CLIENTE],B11,PRESTAMOS[REG],"&lt;&gt;AYUDA*")</f>
        <v>311.60000000000002</v>
      </c>
      <c r="I11" s="298">
        <f>+SUMIFS(PAGOS[PAGO DEL MONTO],PAGOS[CODIGO CLIENTE],B11,PAGOS[REG],"&lt;&gt;EGRESO*")</f>
        <v>1180</v>
      </c>
      <c r="J11" s="301">
        <f>+SUMIFS(PAGOS[PAGO DEL MONTO],PAGOS[CODIGO CLIENTE],B11,PAGOS[REG],"EGRESO*")</f>
        <v>600</v>
      </c>
      <c r="K11" s="298">
        <f>+SUMIFS(PAGOS[PAGO DEL INTERES],PAGOS[CODIGO CLIENTE],B11,PAGOS[REG],"&lt;&gt;EGRESO*")</f>
        <v>241.6</v>
      </c>
      <c r="L11" s="301">
        <f>+SUMIFS(PAGOS[PAGO DEL INTERES],PAGOS[CODIGO CLIENTE],B11,PAGOS[REG],"EGRESO*")</f>
        <v>10</v>
      </c>
      <c r="M11" s="304">
        <f t="shared" si="0"/>
        <v>300</v>
      </c>
      <c r="N11" s="304">
        <f t="shared" si="1"/>
        <v>60.000000000000028</v>
      </c>
      <c r="O11" s="299">
        <f>+(SUMIFS(PAGOS[PAGO DEL MONTO],PAGOS[NOMBRE CLIENTE],C11,PAGOS[REG],"INGRESO*"))+(SUMIFS(PAGOS[PAGO DEL INTERES],PAGOS[NOMBRE CLIENTE],C11,PAGOS[REG],"INGRESO*"))</f>
        <v>13.35</v>
      </c>
      <c r="P11" s="299">
        <f>IF(C11="SOCIOS GASTOS",SUMIFS(PAGOS[PAGO DEL MONTO],PAGOS[NOMBRE CLIENTE],"SOCIOS GASTOS",PAGOS[REG],"EGRESO*")+(SUMIFS(PAGOS[PAGO DEL INTERES],PAGOS[NOMBRE CLIENTE],"SOCIOS GASTOS",PAGOS[REG],"EGRESO*")),0)+F11</f>
        <v>0</v>
      </c>
      <c r="Q11" s="317">
        <f t="shared" si="2"/>
        <v>517.31875000000002</v>
      </c>
    </row>
    <row r="12" spans="2:19" x14ac:dyDescent="0.3">
      <c r="B12" s="297">
        <v>7</v>
      </c>
      <c r="C12" s="297" t="s">
        <v>442</v>
      </c>
      <c r="D12" s="297">
        <v>36</v>
      </c>
      <c r="E12" s="298">
        <v>360</v>
      </c>
      <c r="F12" s="298">
        <f>+SUMIFS(PRESTAMOS[MONTO AMORTIZACION],PRESTAMOS[NOMBRE CLIENTE],C12,PRESTAMOS[REG],"AYUDA*")</f>
        <v>0</v>
      </c>
      <c r="G12" s="307">
        <f>+SUMIFS(PRESTAMOS[MONTO AMORTIZACION],PRESTAMOS[CODIGO CLIENTE],B12,PRESTAMOS[REG],"&lt;&gt;AYUDA*")</f>
        <v>2750</v>
      </c>
      <c r="H12" s="307">
        <f>+SUMIFS(PRESTAMOS[T. INT],PRESTAMOS[CODIGO CLIENTE],B12,PRESTAMOS[REG],"&lt;&gt;AYUDA*")</f>
        <v>118</v>
      </c>
      <c r="I12" s="298">
        <f>+SUMIFS(PAGOS[PAGO DEL MONTO],PAGOS[CODIGO CLIENTE],B12,PAGOS[REG],"&lt;&gt;EGRESO*")</f>
        <v>2750</v>
      </c>
      <c r="J12" s="301">
        <f>+SUMIFS(PAGOS[PAGO DEL MONTO],PAGOS[CODIGO CLIENTE],B12,PAGOS[REG],"EGRESO*")</f>
        <v>0</v>
      </c>
      <c r="K12" s="298">
        <f>+SUMIFS(PAGOS[PAGO DEL INTERES],PAGOS[CODIGO CLIENTE],B12,PAGOS[REG],"&lt;&gt;EGRESO*")</f>
        <v>118</v>
      </c>
      <c r="L12" s="301">
        <f>+SUMIFS(PAGOS[PAGO DEL INTERES],PAGOS[CODIGO CLIENTE],B12,PAGOS[REG],"EGRESO*")</f>
        <v>0</v>
      </c>
      <c r="M12" s="304">
        <f t="shared" si="0"/>
        <v>0</v>
      </c>
      <c r="N12" s="304">
        <f t="shared" si="1"/>
        <v>0</v>
      </c>
      <c r="O12" s="299">
        <f>+(SUMIFS(PAGOS[PAGO DEL MONTO],PAGOS[NOMBRE CLIENTE],C12,PAGOS[REG],"INGRESO*"))+(SUMIFS(PAGOS[PAGO DEL INTERES],PAGOS[NOMBRE CLIENTE],C12,PAGOS[REG],"INGRESO*"))</f>
        <v>17.350000000000001</v>
      </c>
      <c r="P12" s="299">
        <f>IF(C12="SOCIOS GASTOS",SUMIFS(PAGOS[PAGO DEL MONTO],PAGOS[NOMBRE CLIENTE],"SOCIOS GASTOS",PAGOS[REG],"EGRESO*")+(SUMIFS(PAGOS[PAGO DEL INTERES],PAGOS[NOMBRE CLIENTE],"SOCIOS GASTOS",PAGOS[REG],"EGRESO*")),0)+F12</f>
        <v>0</v>
      </c>
      <c r="Q12" s="317">
        <f t="shared" si="2"/>
        <v>517.31875000000002</v>
      </c>
    </row>
    <row r="13" spans="2:19" x14ac:dyDescent="0.3">
      <c r="B13" s="297">
        <v>8</v>
      </c>
      <c r="C13" s="297" t="s">
        <v>443</v>
      </c>
      <c r="D13" s="297">
        <v>36</v>
      </c>
      <c r="E13" s="298">
        <v>360</v>
      </c>
      <c r="F13" s="298">
        <f>+SUMIFS(PRESTAMOS[MONTO AMORTIZACION],PRESTAMOS[NOMBRE CLIENTE],C13,PRESTAMOS[REG],"AYUDA*")</f>
        <v>0</v>
      </c>
      <c r="G13" s="307">
        <f>+SUMIFS(PRESTAMOS[MONTO AMORTIZACION],PRESTAMOS[CODIGO CLIENTE],B13,PRESTAMOS[REG],"&lt;&gt;AYUDA*")</f>
        <v>1750</v>
      </c>
      <c r="H13" s="307">
        <f>+SUMIFS(PRESTAMOS[T. INT],PRESTAMOS[CODIGO CLIENTE],B13,PRESTAMOS[REG],"&lt;&gt;AYUDA*")</f>
        <v>118</v>
      </c>
      <c r="I13" s="298">
        <f>+SUMIFS(PAGOS[PAGO DEL MONTO],PAGOS[CODIGO CLIENTE],B13,PAGOS[REG],"&lt;&gt;EGRESO*")</f>
        <v>1450</v>
      </c>
      <c r="J13" s="301">
        <f>+SUMIFS(PAGOS[PAGO DEL MONTO],PAGOS[CODIGO CLIENTE],B13,PAGOS[REG],"EGRESO*")</f>
        <v>100</v>
      </c>
      <c r="K13" s="298">
        <f>+SUMIFS(PAGOS[PAGO DEL INTERES],PAGOS[CODIGO CLIENTE],B13,PAGOS[REG],"&lt;&gt;EGRESO*")</f>
        <v>92</v>
      </c>
      <c r="L13" s="301">
        <f>+SUMIFS(PAGOS[PAGO DEL INTERES],PAGOS[CODIGO CLIENTE],B13,PAGOS[REG],"EGRESO*")</f>
        <v>6</v>
      </c>
      <c r="M13" s="304">
        <f t="shared" si="0"/>
        <v>200</v>
      </c>
      <c r="N13" s="304">
        <f t="shared" si="1"/>
        <v>20</v>
      </c>
      <c r="O13" s="299">
        <f>+(SUMIFS(PAGOS[PAGO DEL MONTO],PAGOS[NOMBRE CLIENTE],C13,PAGOS[REG],"INGRESO*"))+(SUMIFS(PAGOS[PAGO DEL INTERES],PAGOS[NOMBRE CLIENTE],C13,PAGOS[REG],"INGRESO*"))</f>
        <v>17.350000000000001</v>
      </c>
      <c r="P13" s="299">
        <f>IF(C13="SOCIOS GASTOS",SUMIFS(PAGOS[PAGO DEL MONTO],PAGOS[NOMBRE CLIENTE],"SOCIOS GASTOS",PAGOS[REG],"EGRESO*")+(SUMIFS(PAGOS[PAGO DEL INTERES],PAGOS[NOMBRE CLIENTE],"SOCIOS GASTOS",PAGOS[REG],"EGRESO*")),0)+F13</f>
        <v>0</v>
      </c>
      <c r="Q13" s="317">
        <f t="shared" si="2"/>
        <v>517.31875000000002</v>
      </c>
    </row>
    <row r="14" spans="2:19" x14ac:dyDescent="0.3">
      <c r="B14" s="297">
        <v>9</v>
      </c>
      <c r="C14" s="297" t="s">
        <v>17</v>
      </c>
      <c r="D14" s="297">
        <v>36</v>
      </c>
      <c r="E14" s="298">
        <v>360</v>
      </c>
      <c r="F14" s="298">
        <f>+SUMIFS(PRESTAMOS[MONTO AMORTIZACION],PRESTAMOS[NOMBRE CLIENTE],C14,PRESTAMOS[REG],"AYUDA*")</f>
        <v>0</v>
      </c>
      <c r="G14" s="307">
        <f>+SUMIFS(PRESTAMOS[MONTO AMORTIZACION],PRESTAMOS[CODIGO CLIENTE],B14,PRESTAMOS[REG],"&lt;&gt;AYUDA*")</f>
        <v>2760</v>
      </c>
      <c r="H14" s="307">
        <f>+SUMIFS(PRESTAMOS[T. INT],PRESTAMOS[CODIGO CLIENTE],B14,PRESTAMOS[REG],"&lt;&gt;AYUDA*")</f>
        <v>296.39999999999998</v>
      </c>
      <c r="I14" s="298">
        <f>+SUMIFS(PAGOS[PAGO DEL MONTO],PAGOS[CODIGO CLIENTE],B14,PAGOS[REG],"&lt;&gt;EGRESO*")</f>
        <v>1860</v>
      </c>
      <c r="J14" s="301">
        <f>+SUMIFS(PAGOS[PAGO DEL MONTO],PAGOS[CODIGO CLIENTE],B14,PAGOS[REG],"EGRESO*")</f>
        <v>800</v>
      </c>
      <c r="K14" s="298">
        <f>+SUMIFS(PAGOS[PAGO DEL INTERES],PAGOS[CODIGO CLIENTE],B14,PAGOS[REG],"&lt;&gt;EGRESO*")</f>
        <v>258.39999999999998</v>
      </c>
      <c r="L14" s="301">
        <f>+SUMIFS(PAGOS[PAGO DEL INTERES],PAGOS[CODIGO CLIENTE],B14,PAGOS[REG],"EGRESO*")</f>
        <v>24</v>
      </c>
      <c r="M14" s="304">
        <f t="shared" si="0"/>
        <v>100</v>
      </c>
      <c r="N14" s="304">
        <f t="shared" si="1"/>
        <v>14</v>
      </c>
      <c r="O14" s="299">
        <f>+(SUMIFS(PAGOS[PAGO DEL MONTO],PAGOS[NOMBRE CLIENTE],C14,PAGOS[REG],"INGRESO*"))+(SUMIFS(PAGOS[PAGO DEL INTERES],PAGOS[NOMBRE CLIENTE],C14,PAGOS[REG],"INGRESO*"))</f>
        <v>13.35</v>
      </c>
      <c r="P14" s="299">
        <f>IF(C14="SOCIOS GASTOS",SUMIFS(PAGOS[PAGO DEL MONTO],PAGOS[NOMBRE CLIENTE],"SOCIOS GASTOS",PAGOS[REG],"EGRESO*")+(SUMIFS(PAGOS[PAGO DEL INTERES],PAGOS[NOMBRE CLIENTE],"SOCIOS GASTOS",PAGOS[REG],"EGRESO*")),0)+F14</f>
        <v>0</v>
      </c>
      <c r="Q14" s="317">
        <f t="shared" si="2"/>
        <v>517.31875000000002</v>
      </c>
    </row>
    <row r="15" spans="2:19" x14ac:dyDescent="0.3">
      <c r="B15" s="297">
        <v>10</v>
      </c>
      <c r="C15" s="297" t="s">
        <v>18</v>
      </c>
      <c r="D15" s="297">
        <v>36</v>
      </c>
      <c r="E15" s="298">
        <v>360</v>
      </c>
      <c r="F15" s="298">
        <f>+SUMIFS(PRESTAMOS[MONTO AMORTIZACION],PRESTAMOS[NOMBRE CLIENTE],C15,PRESTAMOS[REG],"AYUDA*")</f>
        <v>0</v>
      </c>
      <c r="G15" s="307">
        <f>+SUMIFS(PRESTAMOS[MONTO AMORTIZACION],PRESTAMOS[CODIGO CLIENTE],B15,PRESTAMOS[REG],"&lt;&gt;AYUDA*")</f>
        <v>600</v>
      </c>
      <c r="H15" s="307">
        <f>+SUMIFS(PRESTAMOS[T. INT],PRESTAMOS[CODIGO CLIENTE],B15,PRESTAMOS[REG],"&lt;&gt;AYUDA*")</f>
        <v>58</v>
      </c>
      <c r="I15" s="298">
        <f>+SUMIFS(PAGOS[PAGO DEL MONTO],PAGOS[CODIGO CLIENTE],B15,PAGOS[REG],"&lt;&gt;EGRESO*")</f>
        <v>440</v>
      </c>
      <c r="J15" s="301">
        <f>+SUMIFS(PAGOS[PAGO DEL MONTO],PAGOS[CODIGO CLIENTE],B15,PAGOS[REG],"EGRESO*")</f>
        <v>80</v>
      </c>
      <c r="K15" s="298">
        <f>+SUMIFS(PAGOS[PAGO DEL INTERES],PAGOS[CODIGO CLIENTE],B15,PAGOS[REG],"&lt;&gt;EGRESO*")</f>
        <v>42</v>
      </c>
      <c r="L15" s="301">
        <f>+SUMIFS(PAGOS[PAGO DEL INTERES],PAGOS[CODIGO CLIENTE],B15,PAGOS[REG],"EGRESO*")</f>
        <v>8</v>
      </c>
      <c r="M15" s="304">
        <f t="shared" si="0"/>
        <v>80</v>
      </c>
      <c r="N15" s="304">
        <f t="shared" si="1"/>
        <v>8</v>
      </c>
      <c r="O15" s="299">
        <f>+(SUMIFS(PAGOS[PAGO DEL MONTO],PAGOS[NOMBRE CLIENTE],C15,PAGOS[REG],"INGRESO*"))+(SUMIFS(PAGOS[PAGO DEL INTERES],PAGOS[NOMBRE CLIENTE],C15,PAGOS[REG],"INGRESO*"))</f>
        <v>13.35</v>
      </c>
      <c r="P15" s="299">
        <f>IF(C15="SOCIOS GASTOS",SUMIFS(PAGOS[PAGO DEL MONTO],PAGOS[NOMBRE CLIENTE],"SOCIOS GASTOS",PAGOS[REG],"EGRESO*")+(SUMIFS(PAGOS[PAGO DEL INTERES],PAGOS[NOMBRE CLIENTE],"SOCIOS GASTOS",PAGOS[REG],"EGRESO*")),0)+F15</f>
        <v>0</v>
      </c>
      <c r="Q15" s="317">
        <f t="shared" si="2"/>
        <v>517.31875000000002</v>
      </c>
    </row>
    <row r="16" spans="2:19" x14ac:dyDescent="0.3">
      <c r="B16" s="297">
        <v>11</v>
      </c>
      <c r="C16" s="297" t="s">
        <v>19</v>
      </c>
      <c r="D16" s="297">
        <v>36</v>
      </c>
      <c r="E16" s="298">
        <v>360</v>
      </c>
      <c r="F16" s="298">
        <f>+SUMIFS(PRESTAMOS[MONTO AMORTIZACION],PRESTAMOS[NOMBRE CLIENTE],C16,PRESTAMOS[REG],"AYUDA*")</f>
        <v>0</v>
      </c>
      <c r="G16" s="307">
        <f>+SUMIFS(PRESTAMOS[MONTO AMORTIZACION],PRESTAMOS[CODIGO CLIENTE],B16,PRESTAMOS[REG],"&lt;&gt;AYUDA*")</f>
        <v>1400</v>
      </c>
      <c r="H16" s="307">
        <f>+SUMIFS(PRESTAMOS[T. INT],PRESTAMOS[CODIGO CLIENTE],B16,PRESTAMOS[REG],"&lt;&gt;AYUDA*")</f>
        <v>104</v>
      </c>
      <c r="I16" s="298">
        <f>+SUMIFS(PAGOS[PAGO DEL MONTO],PAGOS[CODIGO CLIENTE],B16,PAGOS[REG],"&lt;&gt;EGRESO*")</f>
        <v>1200</v>
      </c>
      <c r="J16" s="301">
        <f>+SUMIFS(PAGOS[PAGO DEL MONTO],PAGOS[CODIGO CLIENTE],B16,PAGOS[REG],"EGRESO*")</f>
        <v>100</v>
      </c>
      <c r="K16" s="298">
        <f>+SUMIFS(PAGOS[PAGO DEL INTERES],PAGOS[CODIGO CLIENTE],B16,PAGOS[REG],"&lt;&gt;EGRESO*")</f>
        <v>90</v>
      </c>
      <c r="L16" s="301">
        <f>+SUMIFS(PAGOS[PAGO DEL INTERES],PAGOS[CODIGO CLIENTE],B16,PAGOS[REG],"EGRESO*")</f>
        <v>8</v>
      </c>
      <c r="M16" s="304">
        <f t="shared" si="0"/>
        <v>100</v>
      </c>
      <c r="N16" s="304">
        <f t="shared" si="1"/>
        <v>6</v>
      </c>
      <c r="O16" s="299">
        <f>+(SUMIFS(PAGOS[PAGO DEL MONTO],PAGOS[NOMBRE CLIENTE],C16,PAGOS[REG],"INGRESO*"))+(SUMIFS(PAGOS[PAGO DEL INTERES],PAGOS[NOMBRE CLIENTE],C16,PAGOS[REG],"INGRESO*"))</f>
        <v>17.350000000000001</v>
      </c>
      <c r="P16" s="299">
        <f>IF(C16="SOCIOS GASTOS",SUMIFS(PAGOS[PAGO DEL MONTO],PAGOS[NOMBRE CLIENTE],"SOCIOS GASTOS",PAGOS[REG],"EGRESO*")+(SUMIFS(PAGOS[PAGO DEL INTERES],PAGOS[NOMBRE CLIENTE],"SOCIOS GASTOS",PAGOS[REG],"EGRESO*")),0)+F16</f>
        <v>0</v>
      </c>
      <c r="Q16" s="317">
        <f t="shared" si="2"/>
        <v>517.31875000000002</v>
      </c>
    </row>
    <row r="17" spans="2:17" x14ac:dyDescent="0.3">
      <c r="B17" s="297">
        <v>12</v>
      </c>
      <c r="C17" s="297" t="s">
        <v>20</v>
      </c>
      <c r="D17" s="297">
        <v>36</v>
      </c>
      <c r="E17" s="298">
        <v>360</v>
      </c>
      <c r="F17" s="298">
        <f>+SUMIFS(PRESTAMOS[MONTO AMORTIZACION],PRESTAMOS[NOMBRE CLIENTE],C17,PRESTAMOS[REG],"AYUDA*")</f>
        <v>100</v>
      </c>
      <c r="G17" s="307">
        <f>+SUMIFS(PRESTAMOS[MONTO AMORTIZACION],PRESTAMOS[CODIGO CLIENTE],B17,PRESTAMOS[REG],"&lt;&gt;AYUDA*")</f>
        <v>2300</v>
      </c>
      <c r="H17" s="307">
        <f>+SUMIFS(PRESTAMOS[T. INT],PRESTAMOS[CODIGO CLIENTE],B17,PRESTAMOS[REG],"&lt;&gt;AYUDA*")</f>
        <v>364</v>
      </c>
      <c r="I17" s="298">
        <f>+SUMIFS(PAGOS[PAGO DEL MONTO],PAGOS[CODIGO CLIENTE],B17,PAGOS[REG],"&lt;&gt;EGRESO*")</f>
        <v>2014.29</v>
      </c>
      <c r="J17" s="301">
        <f>+SUMIFS(PAGOS[PAGO DEL MONTO],PAGOS[CODIGO CLIENTE],B17,PAGOS[REG],"EGRESO*")</f>
        <v>85.71</v>
      </c>
      <c r="K17" s="298">
        <f>+SUMIFS(PAGOS[PAGO DEL INTERES],PAGOS[CODIGO CLIENTE],B17,PAGOS[REG],"&lt;&gt;EGRESO*")</f>
        <v>312</v>
      </c>
      <c r="L17" s="301">
        <f>+SUMIFS(PAGOS[PAGO DEL INTERES],PAGOS[CODIGO CLIENTE],B17,PAGOS[REG],"EGRESO*")</f>
        <v>12</v>
      </c>
      <c r="M17" s="304">
        <f t="shared" si="0"/>
        <v>200</v>
      </c>
      <c r="N17" s="304">
        <f t="shared" si="1"/>
        <v>40</v>
      </c>
      <c r="O17" s="299">
        <f>+(SUMIFS(PAGOS[PAGO DEL MONTO],PAGOS[NOMBRE CLIENTE],C17,PAGOS[REG],"INGRESO*"))+(SUMIFS(PAGOS[PAGO DEL INTERES],PAGOS[NOMBRE CLIENTE],C17,PAGOS[REG],"INGRESO*"))</f>
        <v>13.35</v>
      </c>
      <c r="P17" s="299">
        <f>IF(C17="SOCIOS GASTOS",SUMIFS(PAGOS[PAGO DEL MONTO],PAGOS[NOMBRE CLIENTE],"SOCIOS GASTOS",PAGOS[REG],"EGRESO*")+(SUMIFS(PAGOS[PAGO DEL INTERES],PAGOS[NOMBRE CLIENTE],"SOCIOS GASTOS",PAGOS[REG],"EGRESO*")),0)+F17</f>
        <v>100</v>
      </c>
      <c r="Q17" s="317">
        <f t="shared" si="2"/>
        <v>517.31875000000002</v>
      </c>
    </row>
    <row r="18" spans="2:17" x14ac:dyDescent="0.3">
      <c r="B18" s="297">
        <v>13</v>
      </c>
      <c r="C18" s="297" t="s">
        <v>352</v>
      </c>
      <c r="D18" s="297">
        <v>4</v>
      </c>
      <c r="E18" s="298">
        <v>360</v>
      </c>
      <c r="F18" s="298">
        <f>+SUMIFS(PRESTAMOS[MONTO AMORTIZACION],PRESTAMOS[NOMBRE CLIENTE],C18,PRESTAMOS[REG],"AYUDA*")</f>
        <v>0</v>
      </c>
      <c r="G18" s="307">
        <f>+SUMIFS(PRESTAMOS[MONTO AMORTIZACION],PRESTAMOS[CODIGO CLIENTE],B18,PRESTAMOS[REG],"&lt;&gt;AYUDA*")</f>
        <v>0</v>
      </c>
      <c r="H18" s="307">
        <f>+SUMIFS(PRESTAMOS[T. INT],PRESTAMOS[CODIGO CLIENTE],B18,PRESTAMOS[REG],"&lt;&gt;AYUDA*")</f>
        <v>0</v>
      </c>
      <c r="I18" s="298">
        <f>+SUMIFS(PAGOS[PAGO DEL MONTO],PAGOS[CODIGO CLIENTE],B18,PAGOS[REG],"&lt;&gt;EGRESO*")</f>
        <v>0</v>
      </c>
      <c r="J18" s="301">
        <f>+SUMIFS(PAGOS[PAGO DEL MONTO],PAGOS[CODIGO CLIENTE],B18,PAGOS[REG],"EGRESO*")</f>
        <v>0</v>
      </c>
      <c r="K18" s="298">
        <f>+SUMIFS(PAGOS[PAGO DEL INTERES],PAGOS[CODIGO CLIENTE],B18,PAGOS[REG],"&lt;&gt;EGRESO*")</f>
        <v>0</v>
      </c>
      <c r="L18" s="301">
        <f>+SUMIFS(PAGOS[PAGO DEL INTERES],PAGOS[CODIGO CLIENTE],B18,PAGOS[REG],"EGRESO*")</f>
        <v>0</v>
      </c>
      <c r="M18" s="304">
        <f t="shared" si="0"/>
        <v>0</v>
      </c>
      <c r="N18" s="304">
        <f t="shared" si="1"/>
        <v>0</v>
      </c>
      <c r="O18" s="299">
        <f>+(SUMIFS(PAGOS[PAGO DEL MONTO],PAGOS[NOMBRE CLIENTE],C18,PAGOS[REG],"INGRESO*"))+(SUMIFS(PAGOS[PAGO DEL INTERES],PAGOS[NOMBRE CLIENTE],C18,PAGOS[REG],"INGRESO*"))</f>
        <v>0</v>
      </c>
      <c r="P18" s="299">
        <f>IF(C18="SOCIOS GASTOS",SUMIFS(PAGOS[PAGO DEL MONTO],PAGOS[NOMBRE CLIENTE],"SOCIOS GASTOS",PAGOS[REG],"EGRESO*")+(SUMIFS(PAGOS[PAGO DEL INTERES],PAGOS[NOMBRE CLIENTE],"SOCIOS GASTOS",PAGOS[REG],"EGRESO*")),0)+F18</f>
        <v>0</v>
      </c>
      <c r="Q18" s="317">
        <f t="shared" si="2"/>
        <v>517.31875000000002</v>
      </c>
    </row>
    <row r="19" spans="2:17" x14ac:dyDescent="0.3">
      <c r="B19" s="297">
        <v>14</v>
      </c>
      <c r="C19" s="297" t="s">
        <v>21</v>
      </c>
      <c r="D19" s="297">
        <v>36</v>
      </c>
      <c r="E19" s="298">
        <v>360</v>
      </c>
      <c r="F19" s="298">
        <f>+SUMIFS(PRESTAMOS[MONTO AMORTIZACION],PRESTAMOS[NOMBRE CLIENTE],C19,PRESTAMOS[REG],"AYUDA*")</f>
        <v>100</v>
      </c>
      <c r="G19" s="307">
        <f>+SUMIFS(PRESTAMOS[MONTO AMORTIZACION],PRESTAMOS[CODIGO CLIENTE],B19,PRESTAMOS[REG],"&lt;&gt;AYUDA*")</f>
        <v>3620</v>
      </c>
      <c r="H19" s="307">
        <f>+SUMIFS(PRESTAMOS[T. INT],PRESTAMOS[CODIGO CLIENTE],B19,PRESTAMOS[REG],"&lt;&gt;AYUDA*")</f>
        <v>329</v>
      </c>
      <c r="I19" s="298">
        <f>+SUMIFS(PAGOS[PAGO DEL MONTO],PAGOS[CODIGO CLIENTE],B19,PAGOS[REG],"&lt;&gt;EGRESO*")</f>
        <v>2445</v>
      </c>
      <c r="J19" s="301">
        <f>+SUMIFS(PAGOS[PAGO DEL MONTO],PAGOS[CODIGO CLIENTE],B19,PAGOS[REG],"EGRESO*")</f>
        <v>1075</v>
      </c>
      <c r="K19" s="298">
        <f>+SUMIFS(PAGOS[PAGO DEL INTERES],PAGOS[CODIGO CLIENTE],B19,PAGOS[REG],"&lt;&gt;EGRESO*")</f>
        <v>273</v>
      </c>
      <c r="L19" s="301">
        <f>+SUMIFS(PAGOS[PAGO DEL INTERES],PAGOS[CODIGO CLIENTE],B19,PAGOS[REG],"EGRESO*")</f>
        <v>42</v>
      </c>
      <c r="M19" s="304">
        <f t="shared" si="0"/>
        <v>100</v>
      </c>
      <c r="N19" s="304">
        <f t="shared" si="1"/>
        <v>14</v>
      </c>
      <c r="O19" s="299">
        <f>+(SUMIFS(PAGOS[PAGO DEL MONTO],PAGOS[NOMBRE CLIENTE],C19,PAGOS[REG],"INGRESO*"))+(SUMIFS(PAGOS[PAGO DEL INTERES],PAGOS[NOMBRE CLIENTE],C19,PAGOS[REG],"INGRESO*"))</f>
        <v>13.35</v>
      </c>
      <c r="P19" s="299">
        <f>IF(C19="SOCIOS GASTOS",SUMIFS(PAGOS[PAGO DEL MONTO],PAGOS[NOMBRE CLIENTE],"SOCIOS GASTOS",PAGOS[REG],"EGRESO*")+(SUMIFS(PAGOS[PAGO DEL INTERES],PAGOS[NOMBRE CLIENTE],"SOCIOS GASTOS",PAGOS[REG],"EGRESO*")),0)+F19</f>
        <v>100</v>
      </c>
      <c r="Q19" s="317">
        <f t="shared" si="2"/>
        <v>517.31875000000002</v>
      </c>
    </row>
    <row r="20" spans="2:17" x14ac:dyDescent="0.3">
      <c r="B20" s="297">
        <v>15</v>
      </c>
      <c r="C20" s="297" t="s">
        <v>22</v>
      </c>
      <c r="D20" s="297">
        <v>36</v>
      </c>
      <c r="E20" s="298">
        <v>360</v>
      </c>
      <c r="F20" s="298">
        <f>+SUMIFS(PRESTAMOS[MONTO AMORTIZACION],PRESTAMOS[NOMBRE CLIENTE],C20,PRESTAMOS[REG],"AYUDA*")</f>
        <v>0</v>
      </c>
      <c r="G20" s="307">
        <f>+SUMIFS(PRESTAMOS[MONTO AMORTIZACION],PRESTAMOS[CODIGO CLIENTE],B20,PRESTAMOS[REG],"&lt;&gt;AYUDA*")</f>
        <v>1100</v>
      </c>
      <c r="H20" s="307">
        <f>+SUMIFS(PRESTAMOS[T. INT],PRESTAMOS[CODIGO CLIENTE],B20,PRESTAMOS[REG],"&lt;&gt;AYUDA*")</f>
        <v>182</v>
      </c>
      <c r="I20" s="298">
        <f>+SUMIFS(PAGOS[PAGO DEL MONTO],PAGOS[CODIGO CLIENTE],B20,PAGOS[REG],"&lt;&gt;EGRESO*")</f>
        <v>1000</v>
      </c>
      <c r="J20" s="301">
        <f>+SUMIFS(PAGOS[PAGO DEL MONTO],PAGOS[CODIGO CLIENTE],B20,PAGOS[REG],"EGRESO*")</f>
        <v>100</v>
      </c>
      <c r="K20" s="298">
        <f>+SUMIFS(PAGOS[PAGO DEL INTERES],PAGOS[CODIGO CLIENTE],B20,PAGOS[REG],"&lt;&gt;EGRESO*")</f>
        <v>176</v>
      </c>
      <c r="L20" s="301">
        <f>+SUMIFS(PAGOS[PAGO DEL INTERES],PAGOS[CODIGO CLIENTE],B20,PAGOS[REG],"EGRESO*")</f>
        <v>6</v>
      </c>
      <c r="M20" s="304">
        <f t="shared" si="0"/>
        <v>0</v>
      </c>
      <c r="N20" s="304">
        <f t="shared" si="1"/>
        <v>0</v>
      </c>
      <c r="O20" s="299">
        <f>+(SUMIFS(PAGOS[PAGO DEL MONTO],PAGOS[NOMBRE CLIENTE],C20,PAGOS[REG],"INGRESO*"))+(SUMIFS(PAGOS[PAGO DEL INTERES],PAGOS[NOMBRE CLIENTE],C20,PAGOS[REG],"INGRESO*"))</f>
        <v>13.35</v>
      </c>
      <c r="P20" s="299">
        <f>IF(C20="SOCIOS GASTOS",SUMIFS(PAGOS[PAGO DEL MONTO],PAGOS[NOMBRE CLIENTE],"SOCIOS GASTOS",PAGOS[REG],"EGRESO*")+(SUMIFS(PAGOS[PAGO DEL INTERES],PAGOS[NOMBRE CLIENTE],"SOCIOS GASTOS",PAGOS[REG],"EGRESO*")),0)+F20</f>
        <v>0</v>
      </c>
      <c r="Q20" s="317">
        <f t="shared" si="2"/>
        <v>517.31875000000002</v>
      </c>
    </row>
    <row r="21" spans="2:17" x14ac:dyDescent="0.3">
      <c r="B21" s="297">
        <v>16</v>
      </c>
      <c r="C21" s="297" t="s">
        <v>23</v>
      </c>
      <c r="D21" s="297">
        <v>37</v>
      </c>
      <c r="E21" s="298">
        <v>370</v>
      </c>
      <c r="F21" s="298">
        <f>+SUMIFS(PRESTAMOS[MONTO AMORTIZACION],PRESTAMOS[NOMBRE CLIENTE],C21,PRESTAMOS[REG],"AYUDA*")</f>
        <v>0</v>
      </c>
      <c r="G21" s="307">
        <f>+SUMIFS(PRESTAMOS[MONTO AMORTIZACION],PRESTAMOS[CODIGO CLIENTE],B21,PRESTAMOS[REG],"&lt;&gt;AYUDA*")</f>
        <v>1820</v>
      </c>
      <c r="H21" s="307">
        <f>+SUMIFS(PRESTAMOS[T. INT],PRESTAMOS[CODIGO CLIENTE],B21,PRESTAMOS[REG],"&lt;&gt;AYUDA*")</f>
        <v>171.4</v>
      </c>
      <c r="I21" s="298">
        <f>+SUMIFS(PAGOS[PAGO DEL MONTO],PAGOS[CODIGO CLIENTE],B21,PAGOS[REG],"&lt;&gt;EGRESO*")</f>
        <v>1820.04</v>
      </c>
      <c r="J21" s="301">
        <f>+SUMIFS(PAGOS[PAGO DEL MONTO],PAGOS[CODIGO CLIENTE],B21,PAGOS[REG],"EGRESO*")</f>
        <v>0</v>
      </c>
      <c r="K21" s="298">
        <f>+SUMIFS(PAGOS[PAGO DEL INTERES],PAGOS[CODIGO CLIENTE],B21,PAGOS[REG],"&lt;&gt;EGRESO*")</f>
        <v>171.4</v>
      </c>
      <c r="L21" s="301">
        <f>+SUMIFS(PAGOS[PAGO DEL INTERES],PAGOS[CODIGO CLIENTE],B21,PAGOS[REG],"EGRESO*")</f>
        <v>0</v>
      </c>
      <c r="M21" s="304">
        <f t="shared" si="0"/>
        <v>-3.999999999996362E-2</v>
      </c>
      <c r="N21" s="304">
        <f t="shared" si="1"/>
        <v>0</v>
      </c>
      <c r="O21" s="299">
        <f>+(SUMIFS(PAGOS[PAGO DEL MONTO],PAGOS[NOMBRE CLIENTE],C21,PAGOS[REG],"INGRESO*"))+(SUMIFS(PAGOS[PAGO DEL INTERES],PAGOS[NOMBRE CLIENTE],C21,PAGOS[REG],"INGRESO*"))</f>
        <v>13.35</v>
      </c>
      <c r="P21" s="299">
        <f>IF(C21="SOCIOS GASTOS",SUMIFS(PAGOS[PAGO DEL MONTO],PAGOS[NOMBRE CLIENTE],"SOCIOS GASTOS",PAGOS[REG],"EGRESO*")+(SUMIFS(PAGOS[PAGO DEL INTERES],PAGOS[NOMBRE CLIENTE],"SOCIOS GASTOS",PAGOS[REG],"EGRESO*")),0)+F21</f>
        <v>0</v>
      </c>
      <c r="Q21" s="317">
        <f t="shared" si="2"/>
        <v>517.31875000000002</v>
      </c>
    </row>
    <row r="22" spans="2:17" x14ac:dyDescent="0.3">
      <c r="B22" s="297">
        <v>17</v>
      </c>
      <c r="C22" s="297" t="s">
        <v>350</v>
      </c>
      <c r="D22" s="297">
        <v>4</v>
      </c>
      <c r="E22" s="298">
        <v>360</v>
      </c>
      <c r="F22" s="298">
        <f>+SUMIFS(PRESTAMOS[MONTO AMORTIZACION],PRESTAMOS[NOMBRE CLIENTE],C22,PRESTAMOS[REG],"AYUDA*")</f>
        <v>0</v>
      </c>
      <c r="G22" s="307">
        <f>+SUMIFS(PRESTAMOS[MONTO AMORTIZACION],PRESTAMOS[CODIGO CLIENTE],B22,PRESTAMOS[REG],"&lt;&gt;AYUDA*")</f>
        <v>2000</v>
      </c>
      <c r="H22" s="307">
        <f>+SUMIFS(PRESTAMOS[T. INT],PRESTAMOS[CODIGO CLIENTE],B22,PRESTAMOS[REG],"&lt;&gt;AYUDA*")</f>
        <v>480</v>
      </c>
      <c r="I22" s="298">
        <f>+SUMIFS(PAGOS[PAGO DEL MONTO],PAGOS[CODIGO CLIENTE],B22,PAGOS[REG],"&lt;&gt;EGRESO*")</f>
        <v>333.34</v>
      </c>
      <c r="J22" s="301">
        <f>+SUMIFS(PAGOS[PAGO DEL MONTO],PAGOS[CODIGO CLIENTE],B22,PAGOS[REG],"EGRESO*")</f>
        <v>0</v>
      </c>
      <c r="K22" s="298">
        <f>+SUMIFS(PAGOS[PAGO DEL INTERES],PAGOS[CODIGO CLIENTE],B22,PAGOS[REG],"&lt;&gt;EGRESO*")</f>
        <v>80</v>
      </c>
      <c r="L22" s="301">
        <f>+SUMIFS(PAGOS[PAGO DEL INTERES],PAGOS[CODIGO CLIENTE],B22,PAGOS[REG],"EGRESO*")</f>
        <v>0</v>
      </c>
      <c r="M22" s="304">
        <f t="shared" si="0"/>
        <v>1666.66</v>
      </c>
      <c r="N22" s="304">
        <f t="shared" si="1"/>
        <v>400</v>
      </c>
      <c r="O22" s="299">
        <f>+(SUMIFS(PAGOS[PAGO DEL MONTO],PAGOS[NOMBRE CLIENTE],C22,PAGOS[REG],"INGRESO*"))+(SUMIFS(PAGOS[PAGO DEL INTERES],PAGOS[NOMBRE CLIENTE],C22,PAGOS[REG],"INGRESO*"))</f>
        <v>0</v>
      </c>
      <c r="P22" s="299">
        <f>IF(C22="SOCIOS GASTOS",SUMIFS(PAGOS[PAGO DEL MONTO],PAGOS[NOMBRE CLIENTE],"SOCIOS GASTOS",PAGOS[REG],"EGRESO*")+(SUMIFS(PAGOS[PAGO DEL INTERES],PAGOS[NOMBRE CLIENTE],"SOCIOS GASTOS",PAGOS[REG],"EGRESO*")),0)+F22</f>
        <v>0</v>
      </c>
      <c r="Q22" s="317">
        <f t="shared" si="2"/>
        <v>517.31875000000002</v>
      </c>
    </row>
    <row r="23" spans="2:17" x14ac:dyDescent="0.3">
      <c r="B23" s="297">
        <v>18</v>
      </c>
      <c r="C23" s="297" t="s">
        <v>351</v>
      </c>
      <c r="D23" s="297">
        <v>4</v>
      </c>
      <c r="E23" s="298">
        <v>360</v>
      </c>
      <c r="F23" s="298">
        <f>+SUMIFS(PRESTAMOS[MONTO AMORTIZACION],PRESTAMOS[NOMBRE CLIENTE],C23,PRESTAMOS[REG],"AYUDA*")</f>
        <v>0</v>
      </c>
      <c r="G23" s="307">
        <f>+SUMIFS(PRESTAMOS[MONTO AMORTIZACION],PRESTAMOS[CODIGO CLIENTE],B23,PRESTAMOS[REG],"&lt;&gt;AYUDA*")</f>
        <v>0</v>
      </c>
      <c r="H23" s="307">
        <f>+SUMIFS(PRESTAMOS[T. INT],PRESTAMOS[CODIGO CLIENTE],B23,PRESTAMOS[REG],"&lt;&gt;AYUDA*")</f>
        <v>0</v>
      </c>
      <c r="I23" s="298">
        <f>+SUMIFS(PAGOS[PAGO DEL MONTO],PAGOS[CODIGO CLIENTE],B23,PAGOS[REG],"&lt;&gt;EGRESO*")</f>
        <v>0</v>
      </c>
      <c r="J23" s="301">
        <f>+SUMIFS(PAGOS[PAGO DEL MONTO],PAGOS[CODIGO CLIENTE],B23,PAGOS[REG],"EGRESO*")</f>
        <v>0</v>
      </c>
      <c r="K23" s="298">
        <f>+SUMIFS(PAGOS[PAGO DEL INTERES],PAGOS[CODIGO CLIENTE],B23,PAGOS[REG],"&lt;&gt;EGRESO*")</f>
        <v>0</v>
      </c>
      <c r="L23" s="301">
        <f>+SUMIFS(PAGOS[PAGO DEL INTERES],PAGOS[CODIGO CLIENTE],B23,PAGOS[REG],"EGRESO*")</f>
        <v>0</v>
      </c>
      <c r="M23" s="304">
        <f t="shared" si="0"/>
        <v>0</v>
      </c>
      <c r="N23" s="304">
        <f t="shared" si="1"/>
        <v>0</v>
      </c>
      <c r="O23" s="299">
        <f>+(SUMIFS(PAGOS[PAGO DEL MONTO],PAGOS[NOMBRE CLIENTE],C23,PAGOS[REG],"INGRESO*"))+(SUMIFS(PAGOS[PAGO DEL INTERES],PAGOS[NOMBRE CLIENTE],C23,PAGOS[REG],"INGRESO*"))</f>
        <v>0</v>
      </c>
      <c r="P23" s="299">
        <f>IF(C23="SOCIOS GASTOS",SUMIFS(PAGOS[PAGO DEL MONTO],PAGOS[NOMBRE CLIENTE],"SOCIOS GASTOS",PAGOS[REG],"EGRESO*")+(SUMIFS(PAGOS[PAGO DEL INTERES],PAGOS[NOMBRE CLIENTE],"SOCIOS GASTOS",PAGOS[REG],"EGRESO*")),0)+F23</f>
        <v>0</v>
      </c>
      <c r="Q23" s="317">
        <f t="shared" si="2"/>
        <v>517.31875000000002</v>
      </c>
    </row>
    <row r="24" spans="2:17" x14ac:dyDescent="0.3">
      <c r="B24" t="s">
        <v>266</v>
      </c>
      <c r="D24">
        <v>483</v>
      </c>
      <c r="E24" s="113">
        <v>5770</v>
      </c>
      <c r="F24" s="296">
        <f>+SUM(F6:F23)</f>
        <v>460</v>
      </c>
      <c r="G24" s="308">
        <f t="shared" ref="G24:L24" si="3">+SUM(G6:G23)</f>
        <v>28480</v>
      </c>
      <c r="H24" s="308">
        <f t="shared" si="3"/>
        <v>3318.4</v>
      </c>
      <c r="I24" s="296">
        <f t="shared" si="3"/>
        <v>21570.58</v>
      </c>
      <c r="J24" s="302">
        <f t="shared" si="3"/>
        <v>3162.81</v>
      </c>
      <c r="K24" s="296">
        <f t="shared" si="3"/>
        <v>2380.4</v>
      </c>
      <c r="L24" s="302">
        <f t="shared" si="3"/>
        <v>136</v>
      </c>
      <c r="M24" s="305">
        <f t="shared" ref="M24" si="4">+SUM(M6:M23)</f>
        <v>3746.6100000000006</v>
      </c>
      <c r="N24" s="305">
        <f t="shared" ref="N24:Q24" si="5">+SUM(N6:N23)</f>
        <v>802</v>
      </c>
      <c r="O24" s="296">
        <f t="shared" si="5"/>
        <v>184.69999999999996</v>
      </c>
      <c r="P24" s="296">
        <f t="shared" si="5"/>
        <v>860</v>
      </c>
      <c r="Q24" s="296">
        <f t="shared" si="5"/>
        <v>8277.1000000000022</v>
      </c>
    </row>
    <row r="26" spans="2:17" x14ac:dyDescent="0.3">
      <c r="K26" s="113"/>
    </row>
    <row r="27" spans="2:17" x14ac:dyDescent="0.3">
      <c r="I27" s="113"/>
    </row>
  </sheetData>
  <sheetProtection algorithmName="SHA-512" hashValue="8kJJi1ZawpEPF7SvhMOmgFAGw7ZEjyHZnXj+9aAjHmWenaoTAugZHG3Yz/5vYlYOoMUtXnld620kEJeFDIHAKQ==" saltValue="+3aZJ7vmBhpSyUXQVgzmcw==" spinCount="100000" sheet="1" objects="1" scenarios="1" selectLockedCells="1"/>
  <autoFilter ref="B5:Q24" xr:uid="{74A69700-97BB-45F9-BA61-BDC1094AF672}"/>
  <printOptions horizontalCentered="1"/>
  <pageMargins left="0.31496062992125984" right="0.31496062992125984" top="0.35433070866141736" bottom="0.35433070866141736" header="0" footer="0"/>
  <pageSetup paperSize="9" scale="64" fitToHeight="0" orientation="landscape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AH32"/>
  <sheetViews>
    <sheetView tabSelected="1" workbookViewId="0">
      <selection activeCell="L7" sqref="L7"/>
    </sheetView>
  </sheetViews>
  <sheetFormatPr baseColWidth="10" defaultColWidth="10.88671875" defaultRowHeight="14.4" x14ac:dyDescent="0.3"/>
  <cols>
    <col min="1" max="1" width="3" style="106" customWidth="1"/>
    <col min="2" max="2" width="20.44140625" style="106" bestFit="1" customWidth="1"/>
    <col min="3" max="3" width="16" style="106" bestFit="1" customWidth="1"/>
    <col min="4" max="4" width="17.33203125" style="106" bestFit="1" customWidth="1"/>
    <col min="5" max="5" width="11.6640625" style="106" bestFit="1" customWidth="1"/>
    <col min="6" max="6" width="2.88671875" style="106" customWidth="1"/>
    <col min="7" max="7" width="7.5546875" style="106" customWidth="1"/>
    <col min="8" max="8" width="12.44140625" style="106" bestFit="1" customWidth="1"/>
    <col min="9" max="9" width="11" style="106" bestFit="1" customWidth="1"/>
    <col min="10" max="10" width="10.6640625" style="106" bestFit="1" customWidth="1"/>
    <col min="11" max="11" width="9.6640625" style="106" bestFit="1" customWidth="1"/>
    <col min="12" max="12" width="1.6640625" style="106" customWidth="1"/>
    <col min="13" max="13" width="11" style="106" bestFit="1" customWidth="1"/>
    <col min="14" max="14" width="12.33203125" style="106" hidden="1" customWidth="1"/>
    <col min="15" max="15" width="10.88671875" style="106" hidden="1" customWidth="1"/>
    <col min="16" max="16" width="12.33203125" style="106" bestFit="1" customWidth="1"/>
    <col min="17" max="17" width="12.44140625" style="106" bestFit="1" customWidth="1"/>
    <col min="18" max="18" width="11.6640625" style="106" bestFit="1" customWidth="1"/>
    <col min="19" max="19" width="10" style="106" bestFit="1" customWidth="1"/>
    <col min="20" max="28" width="10.88671875" style="106" customWidth="1"/>
    <col min="29" max="29" width="10.88671875" style="106" hidden="1" customWidth="1"/>
    <col min="30" max="30" width="12.5546875" style="106" hidden="1" customWidth="1"/>
    <col min="31" max="34" width="10.88671875" style="106" hidden="1" customWidth="1"/>
    <col min="35" max="16384" width="10.88671875" style="106"/>
  </cols>
  <sheetData>
    <row r="1" spans="2:34" ht="15" thickBot="1" x14ac:dyDescent="0.35"/>
    <row r="2" spans="2:34" ht="15.6" thickTop="1" thickBot="1" x14ac:dyDescent="0.35">
      <c r="B2" s="359" t="s">
        <v>92</v>
      </c>
      <c r="C2" s="360"/>
      <c r="D2" s="259" t="s">
        <v>425</v>
      </c>
      <c r="E2" s="114">
        <v>45853</v>
      </c>
      <c r="M2" s="115" t="s">
        <v>134</v>
      </c>
      <c r="N2" s="115" t="s">
        <v>135</v>
      </c>
      <c r="O2" s="115" t="s">
        <v>136</v>
      </c>
      <c r="P2" s="115" t="s">
        <v>137</v>
      </c>
      <c r="Q2" s="115" t="s">
        <v>138</v>
      </c>
      <c r="R2" s="115" t="s">
        <v>139</v>
      </c>
      <c r="S2" s="115" t="s">
        <v>140</v>
      </c>
      <c r="AC2" s="115" t="s">
        <v>132</v>
      </c>
      <c r="AD2" s="115"/>
      <c r="AE2" s="115"/>
      <c r="AF2" s="115"/>
      <c r="AG2" s="115"/>
      <c r="AH2" s="121"/>
    </row>
    <row r="3" spans="2:34" ht="15.6" thickTop="1" thickBot="1" x14ac:dyDescent="0.35">
      <c r="B3" s="361"/>
      <c r="C3" s="362"/>
      <c r="D3" s="259" t="s">
        <v>426</v>
      </c>
      <c r="E3" s="114">
        <v>44788</v>
      </c>
      <c r="G3" s="92" t="s">
        <v>92</v>
      </c>
      <c r="H3" s="93"/>
      <c r="I3" s="93"/>
      <c r="J3" s="94"/>
      <c r="M3" s="115" t="s">
        <v>132</v>
      </c>
      <c r="N3" s="115"/>
      <c r="O3" s="115"/>
      <c r="P3" s="115"/>
      <c r="Q3" s="115"/>
      <c r="R3" s="121"/>
      <c r="AC3" s="116">
        <v>100</v>
      </c>
      <c r="AD3" s="118">
        <f t="shared" ref="AD3:AD8" si="0">10000*$AC3</f>
        <v>1000000</v>
      </c>
      <c r="AE3" s="118">
        <f t="shared" ref="AE3:AE8" si="1">1000*$AC3</f>
        <v>100000</v>
      </c>
      <c r="AF3" s="118">
        <f t="shared" ref="AF3:AF8" si="2">100*$AC3</f>
        <v>10000</v>
      </c>
      <c r="AG3" s="118">
        <f t="shared" ref="AG3:AG8" si="3">10*$AC3</f>
        <v>1000</v>
      </c>
      <c r="AH3" s="118">
        <f t="shared" ref="AH3:AH8" si="4">+$AC3*1</f>
        <v>100</v>
      </c>
    </row>
    <row r="4" spans="2:34" ht="15.6" thickTop="1" thickBot="1" x14ac:dyDescent="0.35">
      <c r="B4" s="363"/>
      <c r="C4" s="364"/>
      <c r="D4" s="259" t="s">
        <v>424</v>
      </c>
      <c r="E4" s="114">
        <v>45883</v>
      </c>
      <c r="G4" s="91" t="s">
        <v>114</v>
      </c>
      <c r="H4" s="2"/>
      <c r="I4" s="2"/>
      <c r="J4" s="101">
        <f>SUMIFS(APORTACIONESOCIOS[APORTE],APORTACIONESOCIOS[FECHA],"&gt;="&amp;$E$2,APORTACIONESOCIOS[FECHA],"&lt;="&amp;$E$4)</f>
        <v>310</v>
      </c>
      <c r="M4" s="116">
        <v>20</v>
      </c>
      <c r="N4" s="118">
        <v>200000</v>
      </c>
      <c r="O4" s="118">
        <v>20000</v>
      </c>
      <c r="P4" s="126">
        <v>1</v>
      </c>
      <c r="Q4" s="126">
        <v>7</v>
      </c>
      <c r="R4" s="126">
        <v>7</v>
      </c>
      <c r="S4" s="127">
        <f>SUM(P4*100+Q4*10+R4*1)</f>
        <v>177</v>
      </c>
      <c r="AC4" s="116">
        <v>50</v>
      </c>
      <c r="AD4" s="118">
        <f t="shared" si="0"/>
        <v>500000</v>
      </c>
      <c r="AE4" s="118">
        <f t="shared" si="1"/>
        <v>50000</v>
      </c>
      <c r="AF4" s="118">
        <f t="shared" si="2"/>
        <v>5000</v>
      </c>
      <c r="AG4" s="118">
        <f t="shared" si="3"/>
        <v>500</v>
      </c>
      <c r="AH4" s="118">
        <f t="shared" si="4"/>
        <v>50</v>
      </c>
    </row>
    <row r="5" spans="2:34" ht="15.6" thickTop="1" thickBot="1" x14ac:dyDescent="0.35">
      <c r="B5" s="91" t="s">
        <v>91</v>
      </c>
      <c r="C5" s="2"/>
      <c r="D5" s="2"/>
      <c r="E5" s="173">
        <f>SUMIFS(APORTACIONESOCIOS[APORTE],APORTACIONESOCIOS[FECHA],"&gt;="&amp;$E$3,APORTACIONESOCIOS[FECHA],"&lt;="&amp;$E$4)</f>
        <v>5760</v>
      </c>
      <c r="G5" s="91" t="s">
        <v>103</v>
      </c>
      <c r="H5" s="2"/>
      <c r="I5" s="2"/>
      <c r="J5" s="101">
        <f>E9-E22</f>
        <v>100</v>
      </c>
      <c r="M5" s="116">
        <v>10</v>
      </c>
      <c r="N5" s="118">
        <v>100000</v>
      </c>
      <c r="O5" s="118">
        <v>10000</v>
      </c>
      <c r="P5" s="126"/>
      <c r="Q5" s="126">
        <v>1</v>
      </c>
      <c r="R5" s="126">
        <v>1</v>
      </c>
      <c r="S5" s="127">
        <f>SUM(P5*100+Q5*10+R5*1)</f>
        <v>11</v>
      </c>
      <c r="AC5" s="116">
        <v>20</v>
      </c>
      <c r="AD5" s="118">
        <f t="shared" si="0"/>
        <v>200000</v>
      </c>
      <c r="AE5" s="118">
        <f t="shared" si="1"/>
        <v>20000</v>
      </c>
      <c r="AF5" s="118">
        <f t="shared" si="2"/>
        <v>2000</v>
      </c>
      <c r="AG5" s="118">
        <f t="shared" si="3"/>
        <v>200</v>
      </c>
      <c r="AH5" s="118">
        <f t="shared" si="4"/>
        <v>20</v>
      </c>
    </row>
    <row r="6" spans="2:34" ht="15.6" thickTop="1" thickBot="1" x14ac:dyDescent="0.35">
      <c r="B6" s="92" t="s">
        <v>170</v>
      </c>
      <c r="C6" s="93"/>
      <c r="D6" s="93"/>
      <c r="E6" s="179"/>
      <c r="G6" s="91" t="s">
        <v>104</v>
      </c>
      <c r="H6" s="2"/>
      <c r="I6" s="2"/>
      <c r="J6" s="101">
        <f>SUMIFS(PAGOS[PAGO DEL MONTO],PAGOS[REG],"&lt;&gt;EGRESO*",PAGOS[FECHA PAGO DEL MONTO],"&gt;="&amp;$E$2,PAGOS[FECHA PAGO DEL MONTO],"&lt;="&amp;$E$4)-SUMIFS(PAGOS[PAGO DEL MONTO],PAGOS[CODIGO CLIENTE],2,PAGOS[FECHA PAGO DEL MONTO],"&gt;="&amp;$E$2,PAGOS[FECHA PAGO DEL MONTO],"&lt;="&amp;$E$4)</f>
        <v>1481.68</v>
      </c>
      <c r="M6" s="116">
        <v>5</v>
      </c>
      <c r="N6" s="118">
        <v>50000</v>
      </c>
      <c r="O6" s="118">
        <v>5000</v>
      </c>
      <c r="P6" s="126"/>
      <c r="Q6" s="126"/>
      <c r="R6" s="126">
        <v>7</v>
      </c>
      <c r="S6" s="127">
        <f>SUM(P6*100+Q6*10+R6*1)</f>
        <v>7</v>
      </c>
      <c r="AC6" s="116">
        <v>10</v>
      </c>
      <c r="AD6" s="118">
        <f t="shared" si="0"/>
        <v>100000</v>
      </c>
      <c r="AE6" s="118">
        <f t="shared" si="1"/>
        <v>10000</v>
      </c>
      <c r="AF6" s="118">
        <f t="shared" si="2"/>
        <v>1000</v>
      </c>
      <c r="AG6" s="118">
        <f t="shared" si="3"/>
        <v>100</v>
      </c>
      <c r="AH6" s="118">
        <f t="shared" si="4"/>
        <v>10</v>
      </c>
    </row>
    <row r="7" spans="2:34" ht="15" thickTop="1" x14ac:dyDescent="0.3">
      <c r="B7" s="177" t="s">
        <v>227</v>
      </c>
      <c r="C7" s="2"/>
      <c r="D7" s="2"/>
      <c r="E7" s="172">
        <f>SUMIFS(PRESTAMOS[MONTO AMORTIZACION],PRESTAMOS[REG],"&lt;&gt;AYUDA*",PRESTAMOS[FECHA DEL PRESTAMO],"&gt;="&amp;$E$3,PRESTAMOS[FECHA DEL PRESTAMO],"&lt;="&amp;$E$4)</f>
        <v>28480</v>
      </c>
      <c r="G7" s="91" t="s">
        <v>105</v>
      </c>
      <c r="H7" s="2"/>
      <c r="I7" s="2"/>
      <c r="J7" s="101">
        <f>E11</f>
        <v>2</v>
      </c>
      <c r="M7" s="116">
        <v>1</v>
      </c>
      <c r="N7" s="118">
        <v>10000</v>
      </c>
      <c r="O7" s="118">
        <v>1000</v>
      </c>
      <c r="P7" s="126"/>
      <c r="Q7" s="126"/>
      <c r="R7" s="126">
        <v>1</v>
      </c>
      <c r="S7" s="127">
        <f>SUM(P7*100+Q7*10+R7*1)</f>
        <v>1</v>
      </c>
      <c r="AC7" s="116">
        <v>5</v>
      </c>
      <c r="AD7" s="118">
        <f t="shared" si="0"/>
        <v>50000</v>
      </c>
      <c r="AE7" s="118">
        <f t="shared" si="1"/>
        <v>5000</v>
      </c>
      <c r="AF7" s="118">
        <f t="shared" si="2"/>
        <v>500</v>
      </c>
      <c r="AG7" s="118">
        <f t="shared" si="3"/>
        <v>50</v>
      </c>
      <c r="AH7" s="118">
        <f t="shared" si="4"/>
        <v>5</v>
      </c>
    </row>
    <row r="8" spans="2:34" ht="15" thickBot="1" x14ac:dyDescent="0.35">
      <c r="B8" s="178" t="s">
        <v>228</v>
      </c>
      <c r="C8" s="2"/>
      <c r="D8" s="2"/>
      <c r="E8" s="100">
        <f>SUMIFS(PRESTAMOS[MONTO AMORTIZACION],PRESTAMOS[REG],"AYUDA*",PRESTAMOS[FECHA DEL PRESTAMO],"&gt;="&amp;$E$3,PRESTAMOS[FECHA DEL PRESTAMO],"&lt;="&amp;$E$4)</f>
        <v>460</v>
      </c>
      <c r="G8" s="91" t="s">
        <v>106</v>
      </c>
      <c r="H8" s="2"/>
      <c r="I8" s="2"/>
      <c r="J8" s="101">
        <f>E17</f>
        <v>190</v>
      </c>
      <c r="M8" s="117" t="s">
        <v>133</v>
      </c>
      <c r="N8" s="119"/>
      <c r="O8" s="119"/>
      <c r="P8" s="119"/>
      <c r="Q8" s="119"/>
      <c r="R8" s="122"/>
      <c r="AC8" s="116">
        <v>1</v>
      </c>
      <c r="AD8" s="118">
        <f t="shared" si="0"/>
        <v>10000</v>
      </c>
      <c r="AE8" s="118">
        <f t="shared" si="1"/>
        <v>1000</v>
      </c>
      <c r="AF8" s="118">
        <f t="shared" si="2"/>
        <v>100</v>
      </c>
      <c r="AG8" s="118">
        <f t="shared" si="3"/>
        <v>10</v>
      </c>
      <c r="AH8" s="118">
        <f t="shared" si="4"/>
        <v>1</v>
      </c>
    </row>
    <row r="9" spans="2:34" ht="15.6" thickTop="1" thickBot="1" x14ac:dyDescent="0.35">
      <c r="B9" s="91" t="s">
        <v>103</v>
      </c>
      <c r="C9" s="2"/>
      <c r="D9" s="2"/>
      <c r="E9" s="101">
        <f>SUMIFS(PRESTAMOS[MONTO AMORTIZACION],PRESTAMOS[REG],"&lt;&gt;""",PRESTAMOS[FECHA DEL PRESTAMO],"&gt;="&amp;$E$2,PRESTAMOS[FECHA DEL PRESTAMO],"&lt;="&amp;$E$4)</f>
        <v>100</v>
      </c>
      <c r="G9" s="96" t="s">
        <v>117</v>
      </c>
      <c r="H9" s="97"/>
      <c r="I9" s="97"/>
      <c r="J9" s="190">
        <v>1836.81</v>
      </c>
      <c r="K9" s="107"/>
      <c r="M9" s="116">
        <v>1</v>
      </c>
      <c r="N9" s="120">
        <v>10000</v>
      </c>
      <c r="O9" s="120">
        <v>1000</v>
      </c>
      <c r="P9" s="125"/>
      <c r="Q9" s="125">
        <v>2</v>
      </c>
      <c r="R9" s="125">
        <v>6</v>
      </c>
      <c r="S9" s="127">
        <f t="shared" ref="S9:S14" si="5">SUM(P9*100+Q9*10+R9*1)</f>
        <v>26</v>
      </c>
      <c r="AC9" s="117" t="s">
        <v>133</v>
      </c>
      <c r="AD9" s="119"/>
      <c r="AE9" s="119"/>
      <c r="AF9" s="119"/>
      <c r="AG9" s="119"/>
      <c r="AH9" s="122"/>
    </row>
    <row r="10" spans="2:34" ht="15" thickTop="1" x14ac:dyDescent="0.3">
      <c r="B10" s="178" t="s">
        <v>229</v>
      </c>
      <c r="C10" s="2"/>
      <c r="D10" s="2"/>
      <c r="E10" s="180">
        <f>SUMIFS(PRESTAMOS[T. INT],PRESTAMOS[REG],"&lt;&gt;AYUDA*",PRESTAMOS[FECHA DEL PRESTAMO],"&gt;="&amp;$E$3,PRESTAMOS[FECHA DEL PRESTAMO],"&lt;="&amp;$E$4)</f>
        <v>3318.4</v>
      </c>
      <c r="G10" s="108" t="s">
        <v>115</v>
      </c>
      <c r="H10" s="88"/>
      <c r="I10" s="88"/>
      <c r="J10" s="110">
        <f>J4+J6+J8+J9</f>
        <v>3818.49</v>
      </c>
      <c r="K10" s="107"/>
      <c r="M10" s="116">
        <v>0.5</v>
      </c>
      <c r="N10" s="118">
        <v>5000</v>
      </c>
      <c r="O10" s="118">
        <v>500</v>
      </c>
      <c r="P10" s="126"/>
      <c r="Q10" s="126"/>
      <c r="R10" s="126">
        <v>5</v>
      </c>
      <c r="S10" s="127">
        <f t="shared" si="5"/>
        <v>5</v>
      </c>
      <c r="AC10" s="116">
        <v>1</v>
      </c>
      <c r="AD10" s="120">
        <f t="shared" ref="AD10:AD15" si="6">$AC10*10000</f>
        <v>10000</v>
      </c>
      <c r="AE10" s="120">
        <f t="shared" ref="AE10:AE15" si="7">$AC10*1000</f>
        <v>1000</v>
      </c>
      <c r="AF10" s="120">
        <f t="shared" ref="AF10:AF15" si="8">$AC10*100</f>
        <v>100</v>
      </c>
      <c r="AG10" s="120">
        <f t="shared" ref="AG10:AG15" si="9">$AC10*10</f>
        <v>10</v>
      </c>
      <c r="AH10" s="120">
        <f t="shared" ref="AH10:AH15" si="10">$AC10*1</f>
        <v>1</v>
      </c>
    </row>
    <row r="11" spans="2:34" ht="15" thickBot="1" x14ac:dyDescent="0.35">
      <c r="B11" s="91" t="s">
        <v>105</v>
      </c>
      <c r="C11" s="2"/>
      <c r="D11" s="2"/>
      <c r="E11" s="101">
        <f>SUMIFS(PRESTAMOS[T. INT],PRESTAMOS[REG],"&lt;&gt;AYUDA*",PRESTAMOS[FECHA DEL PRESTAMO],"&gt;="&amp;$E$2,PRESTAMOS[FECHA DEL PRESTAMO],"&lt;="&amp;$E$4)</f>
        <v>2</v>
      </c>
      <c r="G11" s="109" t="s">
        <v>116</v>
      </c>
      <c r="H11" s="2"/>
      <c r="I11" s="2"/>
      <c r="J11" s="111">
        <f>J5</f>
        <v>100</v>
      </c>
      <c r="M11" s="116">
        <v>0.25</v>
      </c>
      <c r="N11" s="118">
        <v>2000</v>
      </c>
      <c r="O11" s="118">
        <v>200</v>
      </c>
      <c r="P11" s="126"/>
      <c r="Q11" s="126"/>
      <c r="R11" s="126">
        <v>6</v>
      </c>
      <c r="S11" s="127">
        <f t="shared" si="5"/>
        <v>6</v>
      </c>
      <c r="AC11" s="116">
        <v>0.5</v>
      </c>
      <c r="AD11" s="120">
        <f t="shared" si="6"/>
        <v>5000</v>
      </c>
      <c r="AE11" s="120">
        <f t="shared" si="7"/>
        <v>500</v>
      </c>
      <c r="AF11" s="120">
        <f t="shared" si="8"/>
        <v>50</v>
      </c>
      <c r="AG11" s="120">
        <f t="shared" si="9"/>
        <v>5</v>
      </c>
      <c r="AH11" s="120">
        <f t="shared" si="10"/>
        <v>0.5</v>
      </c>
    </row>
    <row r="12" spans="2:34" ht="15.6" thickTop="1" thickBot="1" x14ac:dyDescent="0.35">
      <c r="B12" s="181" t="s">
        <v>39</v>
      </c>
      <c r="C12" s="93"/>
      <c r="D12" s="93"/>
      <c r="E12" s="179"/>
      <c r="G12" s="89" t="s">
        <v>128</v>
      </c>
      <c r="H12" s="90"/>
      <c r="I12" s="90"/>
      <c r="J12" s="112">
        <f>J10-J11</f>
        <v>3718.49</v>
      </c>
      <c r="K12" s="107"/>
      <c r="M12" s="116">
        <v>0.1</v>
      </c>
      <c r="N12" s="118">
        <v>1000</v>
      </c>
      <c r="O12" s="118">
        <v>100</v>
      </c>
      <c r="P12" s="126"/>
      <c r="Q12" s="126">
        <v>1</v>
      </c>
      <c r="R12" s="126"/>
      <c r="S12" s="127">
        <f t="shared" si="5"/>
        <v>10</v>
      </c>
      <c r="AC12" s="116">
        <v>0.25</v>
      </c>
      <c r="AD12" s="120">
        <f t="shared" si="6"/>
        <v>2500</v>
      </c>
      <c r="AE12" s="120">
        <f t="shared" si="7"/>
        <v>250</v>
      </c>
      <c r="AF12" s="120">
        <f t="shared" si="8"/>
        <v>25</v>
      </c>
      <c r="AG12" s="120">
        <f t="shared" si="9"/>
        <v>2.5</v>
      </c>
      <c r="AH12" s="120">
        <f t="shared" si="10"/>
        <v>0.25</v>
      </c>
    </row>
    <row r="13" spans="2:34" ht="15" thickTop="1" x14ac:dyDescent="0.3">
      <c r="B13" s="91" t="s">
        <v>101</v>
      </c>
      <c r="C13" s="2"/>
      <c r="D13" s="2"/>
      <c r="E13" s="100">
        <f>SUMIFS(PAGOS[PAGO DEL MONTO],PAGOS['# PESTAMO],"&lt;&gt;*",PAGOS[FECHA PAGO DEL MONTO],"&gt;="&amp;$E$3,PAGOS[FECHA PAGO DEL MONTO],"&lt;="&amp;$E$4)</f>
        <v>24733.389999999989</v>
      </c>
      <c r="K13" s="107"/>
      <c r="M13" s="116">
        <v>0.05</v>
      </c>
      <c r="N13" s="118">
        <v>500</v>
      </c>
      <c r="O13" s="118">
        <v>50</v>
      </c>
      <c r="P13" s="126"/>
      <c r="Q13" s="126">
        <v>2</v>
      </c>
      <c r="R13" s="126">
        <v>8</v>
      </c>
      <c r="S13" s="127">
        <f t="shared" si="5"/>
        <v>28</v>
      </c>
      <c r="AC13" s="116">
        <v>0.1</v>
      </c>
      <c r="AD13" s="120">
        <f t="shared" si="6"/>
        <v>1000</v>
      </c>
      <c r="AE13" s="120">
        <f t="shared" si="7"/>
        <v>100</v>
      </c>
      <c r="AF13" s="120">
        <f t="shared" si="8"/>
        <v>10</v>
      </c>
      <c r="AG13" s="120">
        <f t="shared" si="9"/>
        <v>1</v>
      </c>
      <c r="AH13" s="120">
        <f t="shared" si="10"/>
        <v>0.1</v>
      </c>
    </row>
    <row r="14" spans="2:34" x14ac:dyDescent="0.3">
      <c r="B14" s="91" t="s">
        <v>104</v>
      </c>
      <c r="C14" s="2"/>
      <c r="D14" s="2"/>
      <c r="E14" s="101">
        <f>SUMIFS(PAGOS[PAGO DEL MONTO],PAGOS[REG],"&lt;&gt;EGRESO*",PAGOS[FECHA PAGO DEL MONTO],"&gt;="&amp;$E$2,PAGOS[FECHA PAGO DEL MONTO],"&lt;="&amp;$E$4)</f>
        <v>1481.68</v>
      </c>
      <c r="G14" s="129" t="s">
        <v>141</v>
      </c>
      <c r="H14" s="130">
        <f>K15+K20</f>
        <v>3718.49</v>
      </c>
      <c r="I14" s="131"/>
      <c r="J14" s="131"/>
      <c r="K14" s="128"/>
      <c r="M14" s="116">
        <v>0.01</v>
      </c>
      <c r="N14" s="118">
        <v>100</v>
      </c>
      <c r="O14" s="118">
        <v>10</v>
      </c>
      <c r="P14" s="126"/>
      <c r="Q14" s="126"/>
      <c r="R14" s="126">
        <v>9</v>
      </c>
      <c r="S14" s="127">
        <f t="shared" si="5"/>
        <v>9</v>
      </c>
      <c r="AC14" s="116">
        <v>0.05</v>
      </c>
      <c r="AD14" s="120">
        <f t="shared" si="6"/>
        <v>500</v>
      </c>
      <c r="AE14" s="120">
        <f t="shared" si="7"/>
        <v>50</v>
      </c>
      <c r="AF14" s="120">
        <f t="shared" si="8"/>
        <v>5</v>
      </c>
      <c r="AG14" s="120">
        <f t="shared" si="9"/>
        <v>0.5</v>
      </c>
      <c r="AH14" s="120">
        <f t="shared" si="10"/>
        <v>0.05</v>
      </c>
    </row>
    <row r="15" spans="2:34" ht="15" thickBot="1" x14ac:dyDescent="0.35">
      <c r="B15" s="105" t="s">
        <v>95</v>
      </c>
      <c r="C15" s="104"/>
      <c r="D15" s="95"/>
      <c r="E15" s="103">
        <f>E7-E13</f>
        <v>3746.6100000000115</v>
      </c>
      <c r="G15" s="115" t="s">
        <v>132</v>
      </c>
      <c r="H15" s="115"/>
      <c r="I15" s="115"/>
      <c r="J15" s="121"/>
      <c r="K15" s="116">
        <f>SUM(K16:K19)</f>
        <v>3686</v>
      </c>
      <c r="R15" s="123"/>
      <c r="AC15" s="116">
        <v>0.01</v>
      </c>
      <c r="AD15" s="120">
        <f t="shared" si="6"/>
        <v>100</v>
      </c>
      <c r="AE15" s="120">
        <f t="shared" si="7"/>
        <v>10</v>
      </c>
      <c r="AF15" s="120">
        <f t="shared" si="8"/>
        <v>1</v>
      </c>
      <c r="AG15" s="120">
        <f t="shared" si="9"/>
        <v>0.1</v>
      </c>
      <c r="AH15" s="120">
        <f t="shared" si="10"/>
        <v>0.01</v>
      </c>
    </row>
    <row r="16" spans="2:34" ht="15" thickTop="1" x14ac:dyDescent="0.3">
      <c r="B16" s="91" t="s">
        <v>102</v>
      </c>
      <c r="C16" s="2"/>
      <c r="D16" s="2"/>
      <c r="E16" s="100">
        <f>SUMIFS(PAGOS[PAGO DEL INTERES],PAGOS['# PESTAMO],"&lt;&gt;*",PAGOS[FECHA PAGO INTERES],"&gt;="&amp;$E$3,PAGOS[FECHA PAGO INTERES],"&lt;="&amp;$E$4)</f>
        <v>2516.4</v>
      </c>
      <c r="G16" s="116">
        <v>20</v>
      </c>
      <c r="H16" s="118">
        <f t="shared" ref="H16:J19" si="11">AF5*P4</f>
        <v>2000</v>
      </c>
      <c r="I16" s="118">
        <f t="shared" si="11"/>
        <v>1400</v>
      </c>
      <c r="J16" s="118">
        <f t="shared" si="11"/>
        <v>140</v>
      </c>
      <c r="K16" s="124">
        <f>SUM(H16:J16)</f>
        <v>3540</v>
      </c>
      <c r="M16" s="123"/>
      <c r="P16" s="107"/>
    </row>
    <row r="17" spans="2:20" x14ac:dyDescent="0.3">
      <c r="B17" s="91" t="s">
        <v>106</v>
      </c>
      <c r="C17" s="2"/>
      <c r="D17" s="2"/>
      <c r="E17" s="101">
        <f>SUMIFS(PAGOS[PAGO DEL INTERES],PAGOS[REG],"&lt;&gt;EGRESO*",PAGOS[FECHA PAGO INTERES],"&gt;="&amp;$E$2,PAGOS[FECHA PAGO INTERES],"&lt;="&amp;$E$4)</f>
        <v>190</v>
      </c>
      <c r="G17" s="116">
        <v>10</v>
      </c>
      <c r="H17" s="118">
        <f t="shared" si="11"/>
        <v>0</v>
      </c>
      <c r="I17" s="118">
        <f t="shared" si="11"/>
        <v>100</v>
      </c>
      <c r="J17" s="118">
        <f t="shared" si="11"/>
        <v>10</v>
      </c>
      <c r="K17" s="124">
        <f>SUM(H17:J17)</f>
        <v>110</v>
      </c>
      <c r="P17" s="288">
        <f>+J12-H14</f>
        <v>0</v>
      </c>
      <c r="R17" s="107"/>
    </row>
    <row r="18" spans="2:20" ht="15" thickBot="1" x14ac:dyDescent="0.35">
      <c r="B18" s="105" t="s">
        <v>98</v>
      </c>
      <c r="C18" s="95"/>
      <c r="D18" s="95"/>
      <c r="E18" s="103">
        <f>E10-E16</f>
        <v>802</v>
      </c>
      <c r="G18" s="116">
        <v>5</v>
      </c>
      <c r="H18" s="118">
        <f t="shared" si="11"/>
        <v>0</v>
      </c>
      <c r="I18" s="118">
        <f t="shared" si="11"/>
        <v>0</v>
      </c>
      <c r="J18" s="118">
        <f t="shared" si="11"/>
        <v>35</v>
      </c>
      <c r="K18" s="124">
        <f>SUM(H18:J18)</f>
        <v>35</v>
      </c>
      <c r="M18" s="107"/>
      <c r="P18" s="123"/>
      <c r="T18" s="107"/>
    </row>
    <row r="19" spans="2:20" ht="15.6" thickTop="1" thickBot="1" x14ac:dyDescent="0.35">
      <c r="B19" s="92" t="s">
        <v>230</v>
      </c>
      <c r="C19" s="182"/>
      <c r="D19" s="93"/>
      <c r="E19" s="186"/>
      <c r="G19" s="116">
        <v>1</v>
      </c>
      <c r="H19" s="118">
        <f t="shared" si="11"/>
        <v>0</v>
      </c>
      <c r="I19" s="118">
        <f t="shared" si="11"/>
        <v>0</v>
      </c>
      <c r="J19" s="118">
        <f t="shared" si="11"/>
        <v>1</v>
      </c>
      <c r="K19" s="124">
        <f>SUM(H19:J19)</f>
        <v>1</v>
      </c>
      <c r="M19" s="123"/>
      <c r="P19" s="107"/>
      <c r="Q19" s="107"/>
    </row>
    <row r="20" spans="2:20" ht="15" thickTop="1" x14ac:dyDescent="0.3">
      <c r="B20" s="91" t="s">
        <v>302</v>
      </c>
      <c r="C20" s="174"/>
      <c r="D20" s="2"/>
      <c r="E20" s="102">
        <f>SUMIFS(PAGOS[PAGO DEL INTERES],PAGOS[REG],"INGRESO*",PAGOS[FECHA PAGO DEL MONTO],"&gt;="&amp;$E$3,PAGOS[FECHA PAGO DEL MONTO],"&lt;="&amp;$E$4)+SUMIFS(PAGOS[PAGO DEL MONTO],PAGOS[REG],"INGRESO*",PAGOS[FECHA PAGO DEL MONTO],"&gt;="&amp;$E$3,PAGOS[FECHA PAGO DEL MONTO],"&lt;="&amp;$E$4)</f>
        <v>184.69999999999996</v>
      </c>
      <c r="G20" s="117" t="s">
        <v>133</v>
      </c>
      <c r="H20" s="119"/>
      <c r="I20" s="119"/>
      <c r="J20" s="122"/>
      <c r="K20" s="116">
        <f>SUM(K21:K26)</f>
        <v>32.49</v>
      </c>
      <c r="Q20" s="123"/>
      <c r="S20" s="239"/>
    </row>
    <row r="21" spans="2:20" x14ac:dyDescent="0.3">
      <c r="B21" s="91" t="s">
        <v>456</v>
      </c>
      <c r="C21" s="183"/>
      <c r="D21" s="184"/>
      <c r="E21" s="100">
        <f>SUMIFS(PAGOS[PAGO DEL MONTO],PAGOS[REG],"EGRESO*",PAGOS[CODIGO CLIENTE],2,PAGOS[FECHA PAGO DEL MONTO],"&gt;="&amp;$E$3,PAGOS[FECHA PAGO DEL MONTO],"&lt;="&amp;$E$4)+E8</f>
        <v>860</v>
      </c>
      <c r="G21" s="116">
        <v>1</v>
      </c>
      <c r="H21" s="120">
        <f t="shared" ref="H21:J26" si="12">AF10*P9</f>
        <v>0</v>
      </c>
      <c r="I21" s="120">
        <f t="shared" si="12"/>
        <v>20</v>
      </c>
      <c r="J21" s="120">
        <f t="shared" si="12"/>
        <v>6</v>
      </c>
      <c r="K21" s="124">
        <f t="shared" ref="K21:K26" si="13">SUM(H21:J21)</f>
        <v>26</v>
      </c>
      <c r="Q21" s="123"/>
    </row>
    <row r="22" spans="2:20" x14ac:dyDescent="0.3">
      <c r="B22" s="91" t="s">
        <v>423</v>
      </c>
      <c r="C22" s="183"/>
      <c r="D22" s="184"/>
      <c r="E22" s="100">
        <f>SUMIFS(PAGOS[PAGO DEL MONTO],PAGOS[REG],"EGRESO*",PAGOS[CODIGO CLIENTE],"&lt;&gt;02",PAGOS[FECHA PAGO DEL MONTO],"&gt;="&amp;$E$2,PAGOS[FECHA PAGO DEL MONTO],"&lt;="&amp;$E$4)</f>
        <v>0</v>
      </c>
      <c r="G22" s="116">
        <v>0.5</v>
      </c>
      <c r="H22" s="120">
        <f t="shared" si="12"/>
        <v>0</v>
      </c>
      <c r="I22" s="120">
        <f t="shared" si="12"/>
        <v>0</v>
      </c>
      <c r="J22" s="120">
        <f t="shared" si="12"/>
        <v>2.5</v>
      </c>
      <c r="K22" s="124">
        <f t="shared" si="13"/>
        <v>2.5</v>
      </c>
      <c r="M22" s="107"/>
      <c r="Q22" s="237"/>
      <c r="S22" s="123"/>
    </row>
    <row r="23" spans="2:20" x14ac:dyDescent="0.3">
      <c r="B23" s="91" t="s">
        <v>250</v>
      </c>
      <c r="C23" s="183"/>
      <c r="D23" s="184"/>
      <c r="E23" s="100">
        <f>SUMIFS(PAGOS[PAGO DEL INTERES],PAGOS[REG],"EGRESO*",PAGOS[CODIGO CLIENTE],"&lt;&gt;02",PAGOS[FECHA PAGO DEL MONTO],"&gt;="&amp;$E$3,PAGOS[FECHA PAGO DEL MONTO],"&lt;="&amp;$E$4)</f>
        <v>136</v>
      </c>
      <c r="G23" s="116">
        <v>0.25</v>
      </c>
      <c r="H23" s="120">
        <f t="shared" si="12"/>
        <v>0</v>
      </c>
      <c r="I23" s="120">
        <f>AG12*Q11</f>
        <v>0</v>
      </c>
      <c r="J23" s="120">
        <f t="shared" si="12"/>
        <v>1.5</v>
      </c>
      <c r="K23" s="124">
        <f t="shared" si="13"/>
        <v>1.5</v>
      </c>
      <c r="Q23" s="107"/>
    </row>
    <row r="24" spans="2:20" x14ac:dyDescent="0.3">
      <c r="B24" s="91" t="s">
        <v>93</v>
      </c>
      <c r="C24" s="2"/>
      <c r="D24" s="2"/>
      <c r="E24" s="99">
        <f>E5</f>
        <v>5760</v>
      </c>
      <c r="G24" s="116">
        <v>0.1</v>
      </c>
      <c r="H24" s="120">
        <f t="shared" si="12"/>
        <v>0</v>
      </c>
      <c r="I24" s="120">
        <f t="shared" si="12"/>
        <v>1</v>
      </c>
      <c r="J24" s="120">
        <f t="shared" si="12"/>
        <v>0</v>
      </c>
      <c r="K24" s="124">
        <f t="shared" si="13"/>
        <v>1</v>
      </c>
    </row>
    <row r="25" spans="2:20" x14ac:dyDescent="0.3">
      <c r="B25" s="91" t="s">
        <v>100</v>
      </c>
      <c r="C25" s="2"/>
      <c r="D25" s="2"/>
      <c r="E25" s="98">
        <f>E24/16</f>
        <v>360</v>
      </c>
      <c r="G25" s="116">
        <v>0.05</v>
      </c>
      <c r="H25" s="120">
        <f t="shared" si="12"/>
        <v>0</v>
      </c>
      <c r="I25" s="120">
        <f t="shared" si="12"/>
        <v>1</v>
      </c>
      <c r="J25" s="120">
        <f t="shared" si="12"/>
        <v>0.4</v>
      </c>
      <c r="K25" s="124">
        <f t="shared" si="13"/>
        <v>1.4</v>
      </c>
      <c r="M25" s="107"/>
    </row>
    <row r="26" spans="2:20" x14ac:dyDescent="0.3">
      <c r="B26" s="91" t="s">
        <v>369</v>
      </c>
      <c r="C26" s="2"/>
      <c r="D26" s="2"/>
      <c r="E26" s="99">
        <f>E10-E21-E23+E20</f>
        <v>2507.1</v>
      </c>
      <c r="G26" s="116">
        <v>0.01</v>
      </c>
      <c r="H26" s="120">
        <f t="shared" si="12"/>
        <v>0</v>
      </c>
      <c r="I26" s="120">
        <f t="shared" si="12"/>
        <v>0</v>
      </c>
      <c r="J26" s="120">
        <f t="shared" si="12"/>
        <v>0.09</v>
      </c>
      <c r="K26" s="124">
        <f t="shared" si="13"/>
        <v>0.09</v>
      </c>
      <c r="N26" s="209"/>
    </row>
    <row r="27" spans="2:20" ht="15" thickBot="1" x14ac:dyDescent="0.35">
      <c r="B27" s="91" t="s">
        <v>96</v>
      </c>
      <c r="C27" s="2"/>
      <c r="D27" s="185"/>
      <c r="E27" s="258">
        <f>SUMIFS(DENERO_CAJA[MONTO],DENERO_CAJA[FECHA],"&gt;="&amp;$E$2,DENERO_CAJA[FECHA],"&lt;="&amp;$E$4)</f>
        <v>3718.49</v>
      </c>
      <c r="G27" s="107"/>
      <c r="P27" s="107"/>
    </row>
    <row r="28" spans="2:20" ht="15.6" thickTop="1" thickBot="1" x14ac:dyDescent="0.35">
      <c r="B28" s="96" t="s">
        <v>94</v>
      </c>
      <c r="C28" s="97"/>
      <c r="D28" s="187"/>
      <c r="E28" s="188">
        <f>+E24+E26</f>
        <v>8267.1</v>
      </c>
      <c r="G28" s="206"/>
      <c r="H28" s="107"/>
      <c r="S28" s="123"/>
    </row>
    <row r="29" spans="2:20" ht="15.6" thickTop="1" thickBot="1" x14ac:dyDescent="0.35">
      <c r="B29" s="96" t="s">
        <v>99</v>
      </c>
      <c r="C29" s="97"/>
      <c r="D29" s="187"/>
      <c r="E29" s="199">
        <f>+E15+E18+E27</f>
        <v>8267.1000000000113</v>
      </c>
      <c r="H29" s="206"/>
      <c r="S29" s="123"/>
    </row>
    <row r="30" spans="2:20" ht="15" thickTop="1" x14ac:dyDescent="0.3">
      <c r="H30" s="107"/>
      <c r="I30" s="107"/>
      <c r="S30" s="123"/>
    </row>
    <row r="31" spans="2:20" x14ac:dyDescent="0.3">
      <c r="E31" s="260">
        <f>SUMIFS(DENERO_CAJA[MONTO],DENERO_CAJA[FECHA],"&gt;="&amp;$E$2,DENERO_CAJA[FECHA],"&lt;="&amp;$E$4)</f>
        <v>3718.49</v>
      </c>
    </row>
    <row r="32" spans="2:20" x14ac:dyDescent="0.3">
      <c r="C32" s="107">
        <f>+E28-E29</f>
        <v>0</v>
      </c>
      <c r="E32" s="107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2:Q401"/>
  <sheetViews>
    <sheetView zoomScaleNormal="100" workbookViewId="0">
      <selection activeCell="E402" sqref="E402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6.5546875" bestFit="1" customWidth="1"/>
    <col min="5" max="5" width="10.6640625" bestFit="1" customWidth="1"/>
    <col min="6" max="6" width="3.109375" customWidth="1"/>
    <col min="7" max="7" width="4.88671875" customWidth="1"/>
    <col min="8" max="8" width="31.33203125" customWidth="1"/>
    <col min="9" max="9" width="16.5546875" bestFit="1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16.5546875" bestFit="1" customWidth="1"/>
    <col min="15" max="15" width="10.6640625" bestFit="1" customWidth="1"/>
  </cols>
  <sheetData>
    <row r="2" spans="2:17" x14ac:dyDescent="0.3">
      <c r="B2" s="365" t="s">
        <v>303</v>
      </c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</row>
    <row r="3" spans="2:17" x14ac:dyDescent="0.3"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365"/>
      <c r="O3" s="365"/>
      <c r="Q3" s="24"/>
    </row>
    <row r="4" spans="2:17" x14ac:dyDescent="0.3"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Q4" s="24"/>
    </row>
    <row r="5" spans="2:17" ht="15.6" customHeight="1" x14ac:dyDescent="0.3">
      <c r="B5" s="286"/>
      <c r="C5" s="286"/>
      <c r="D5" s="286"/>
      <c r="E5" s="286"/>
      <c r="F5" s="286"/>
      <c r="G5" s="286"/>
      <c r="H5" s="286"/>
      <c r="I5" s="286"/>
      <c r="J5" s="286"/>
      <c r="K5" s="286"/>
      <c r="L5" s="286"/>
      <c r="M5" s="286"/>
      <c r="N5" s="286"/>
      <c r="O5" s="286"/>
      <c r="Q5" s="24"/>
    </row>
    <row r="6" spans="2:17" ht="15.6" customHeight="1" x14ac:dyDescent="0.3">
      <c r="B6" s="286"/>
      <c r="C6" s="286"/>
      <c r="D6" s="286"/>
      <c r="E6" s="286"/>
      <c r="F6" s="286"/>
      <c r="G6" s="286"/>
      <c r="H6" s="286"/>
      <c r="I6" s="286"/>
      <c r="J6" s="286"/>
      <c r="K6" s="286"/>
      <c r="L6" s="286"/>
      <c r="M6" s="286"/>
      <c r="N6" s="286"/>
      <c r="O6" s="286"/>
      <c r="Q6" s="24"/>
    </row>
    <row r="7" spans="2:17" ht="15.6" customHeight="1" x14ac:dyDescent="0.3">
      <c r="B7" s="286"/>
      <c r="C7" s="286"/>
      <c r="D7" s="286"/>
      <c r="E7" s="286"/>
      <c r="F7" s="286"/>
      <c r="G7" s="286"/>
      <c r="H7" s="286"/>
      <c r="I7" s="286"/>
      <c r="J7" s="286"/>
      <c r="K7" s="286"/>
      <c r="L7" s="286"/>
      <c r="M7" s="286"/>
      <c r="N7" s="286"/>
      <c r="O7" s="286"/>
      <c r="Q7" s="24"/>
    </row>
    <row r="8" spans="2:17" ht="15.6" customHeight="1" x14ac:dyDescent="0.3"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Q8" s="24"/>
    </row>
    <row r="9" spans="2:17" ht="15.6" customHeight="1" thickBot="1" x14ac:dyDescent="0.35">
      <c r="B9" s="286"/>
      <c r="C9" s="286"/>
      <c r="D9" s="286"/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Q9" s="24"/>
    </row>
    <row r="10" spans="2:17" ht="15.6" thickTop="1" thickBot="1" x14ac:dyDescent="0.35">
      <c r="B10" s="359" t="s">
        <v>92</v>
      </c>
      <c r="C10" s="360"/>
      <c r="D10" s="259" t="s">
        <v>425</v>
      </c>
      <c r="E10" s="114">
        <v>44788</v>
      </c>
      <c r="G10" s="359" t="s">
        <v>92</v>
      </c>
      <c r="H10" s="360"/>
      <c r="I10" s="259" t="s">
        <v>425</v>
      </c>
      <c r="J10" s="114">
        <v>44819</v>
      </c>
      <c r="L10" s="359" t="s">
        <v>92</v>
      </c>
      <c r="M10" s="360"/>
      <c r="N10" s="259" t="s">
        <v>425</v>
      </c>
      <c r="O10" s="114">
        <v>44849</v>
      </c>
      <c r="Q10" s="24"/>
    </row>
    <row r="11" spans="2:17" ht="15.6" thickTop="1" thickBot="1" x14ac:dyDescent="0.35">
      <c r="B11" s="361"/>
      <c r="C11" s="362"/>
      <c r="D11" s="259" t="s">
        <v>426</v>
      </c>
      <c r="E11" s="114">
        <v>44788</v>
      </c>
      <c r="G11" s="361"/>
      <c r="H11" s="362"/>
      <c r="I11" s="259" t="s">
        <v>426</v>
      </c>
      <c r="J11" s="114">
        <v>44788</v>
      </c>
      <c r="L11" s="361"/>
      <c r="M11" s="362"/>
      <c r="N11" s="259" t="s">
        <v>426</v>
      </c>
      <c r="O11" s="114">
        <v>44788</v>
      </c>
    </row>
    <row r="12" spans="2:17" ht="15.6" thickTop="1" thickBot="1" x14ac:dyDescent="0.35">
      <c r="B12" s="363"/>
      <c r="C12" s="364"/>
      <c r="D12" s="259" t="s">
        <v>424</v>
      </c>
      <c r="E12" s="114">
        <v>44818</v>
      </c>
      <c r="G12" s="363"/>
      <c r="H12" s="364"/>
      <c r="I12" s="259" t="s">
        <v>424</v>
      </c>
      <c r="J12" s="114">
        <v>44848</v>
      </c>
      <c r="L12" s="363"/>
      <c r="M12" s="364"/>
      <c r="N12" s="259" t="s">
        <v>424</v>
      </c>
      <c r="O12" s="114">
        <v>44879</v>
      </c>
    </row>
    <row r="13" spans="2:17" ht="15.6" thickTop="1" thickBot="1" x14ac:dyDescent="0.35">
      <c r="B13" s="91" t="s">
        <v>91</v>
      </c>
      <c r="C13" s="2"/>
      <c r="D13" s="2"/>
      <c r="E13" s="173">
        <v>130</v>
      </c>
      <c r="G13" s="91" t="s">
        <v>91</v>
      </c>
      <c r="H13" s="2"/>
      <c r="I13" s="2"/>
      <c r="J13" s="173">
        <v>260</v>
      </c>
      <c r="L13" s="91" t="s">
        <v>91</v>
      </c>
      <c r="M13" s="2"/>
      <c r="N13" s="2"/>
      <c r="O13" s="173">
        <v>390</v>
      </c>
    </row>
    <row r="14" spans="2:17" ht="15.6" thickTop="1" thickBot="1" x14ac:dyDescent="0.35">
      <c r="B14" s="92" t="s">
        <v>170</v>
      </c>
      <c r="C14" s="93"/>
      <c r="D14" s="93"/>
      <c r="E14" s="179"/>
      <c r="G14" s="92" t="s">
        <v>170</v>
      </c>
      <c r="H14" s="93"/>
      <c r="I14" s="93"/>
      <c r="J14" s="179"/>
      <c r="L14" s="92" t="s">
        <v>170</v>
      </c>
      <c r="M14" s="93"/>
      <c r="N14" s="93"/>
      <c r="O14" s="179"/>
    </row>
    <row r="15" spans="2:17" ht="15" thickTop="1" x14ac:dyDescent="0.3">
      <c r="B15" s="177" t="s">
        <v>227</v>
      </c>
      <c r="C15" s="2"/>
      <c r="D15" s="2"/>
      <c r="E15" s="172">
        <v>0</v>
      </c>
      <c r="G15" s="177" t="s">
        <v>227</v>
      </c>
      <c r="H15" s="2"/>
      <c r="I15" s="2"/>
      <c r="J15" s="172">
        <v>160</v>
      </c>
      <c r="L15" s="177" t="s">
        <v>227</v>
      </c>
      <c r="M15" s="2"/>
      <c r="N15" s="2"/>
      <c r="O15" s="172">
        <v>360</v>
      </c>
    </row>
    <row r="16" spans="2:17" x14ac:dyDescent="0.3">
      <c r="B16" s="178" t="s">
        <v>228</v>
      </c>
      <c r="C16" s="2"/>
      <c r="D16" s="2"/>
      <c r="E16" s="100">
        <v>0</v>
      </c>
      <c r="G16" s="178" t="s">
        <v>228</v>
      </c>
      <c r="H16" s="2"/>
      <c r="I16" s="2"/>
      <c r="J16" s="100">
        <v>100</v>
      </c>
      <c r="L16" s="178" t="s">
        <v>228</v>
      </c>
      <c r="M16" s="2"/>
      <c r="N16" s="2"/>
      <c r="O16" s="100">
        <v>100</v>
      </c>
    </row>
    <row r="17" spans="2:15" x14ac:dyDescent="0.3">
      <c r="B17" s="91" t="s">
        <v>103</v>
      </c>
      <c r="C17" s="2"/>
      <c r="D17" s="2"/>
      <c r="E17" s="101">
        <v>0</v>
      </c>
      <c r="G17" s="91" t="s">
        <v>103</v>
      </c>
      <c r="H17" s="2"/>
      <c r="I17" s="2"/>
      <c r="J17" s="101">
        <v>260</v>
      </c>
      <c r="L17" s="91" t="s">
        <v>103</v>
      </c>
      <c r="M17" s="2"/>
      <c r="N17" s="2"/>
      <c r="O17" s="101">
        <v>200</v>
      </c>
    </row>
    <row r="18" spans="2:15" x14ac:dyDescent="0.3">
      <c r="B18" s="178" t="s">
        <v>229</v>
      </c>
      <c r="C18" s="2"/>
      <c r="D18" s="2"/>
      <c r="E18" s="180">
        <v>0</v>
      </c>
      <c r="G18" s="178" t="s">
        <v>229</v>
      </c>
      <c r="H18" s="2"/>
      <c r="I18" s="2"/>
      <c r="J18" s="180">
        <v>6.4</v>
      </c>
      <c r="L18" s="178" t="s">
        <v>229</v>
      </c>
      <c r="M18" s="2"/>
      <c r="N18" s="2"/>
      <c r="O18" s="180">
        <v>10.4</v>
      </c>
    </row>
    <row r="19" spans="2:15" ht="15" thickBot="1" x14ac:dyDescent="0.35">
      <c r="B19" s="91" t="s">
        <v>105</v>
      </c>
      <c r="C19" s="2"/>
      <c r="D19" s="2"/>
      <c r="E19" s="101">
        <v>0</v>
      </c>
      <c r="G19" s="91" t="s">
        <v>105</v>
      </c>
      <c r="H19" s="2"/>
      <c r="I19" s="2"/>
      <c r="J19" s="101">
        <v>6.4</v>
      </c>
      <c r="L19" s="91" t="s">
        <v>105</v>
      </c>
      <c r="M19" s="2"/>
      <c r="N19" s="2"/>
      <c r="O19" s="101">
        <v>4</v>
      </c>
    </row>
    <row r="20" spans="2:15" ht="15.6" thickTop="1" thickBot="1" x14ac:dyDescent="0.35">
      <c r="B20" s="181" t="s">
        <v>39</v>
      </c>
      <c r="C20" s="93"/>
      <c r="D20" s="93"/>
      <c r="E20" s="179"/>
      <c r="G20" s="181" t="s">
        <v>39</v>
      </c>
      <c r="H20" s="93"/>
      <c r="I20" s="93"/>
      <c r="J20" s="179"/>
      <c r="L20" s="181" t="s">
        <v>39</v>
      </c>
      <c r="M20" s="93"/>
      <c r="N20" s="93"/>
      <c r="O20" s="179"/>
    </row>
    <row r="21" spans="2:15" ht="15" thickTop="1" x14ac:dyDescent="0.3">
      <c r="B21" s="91" t="s">
        <v>101</v>
      </c>
      <c r="C21" s="2"/>
      <c r="D21" s="2"/>
      <c r="E21" s="100">
        <v>0</v>
      </c>
      <c r="G21" s="91" t="s">
        <v>101</v>
      </c>
      <c r="H21" s="2"/>
      <c r="I21" s="2"/>
      <c r="J21" s="100">
        <v>0</v>
      </c>
      <c r="L21" s="91" t="s">
        <v>101</v>
      </c>
      <c r="M21" s="2"/>
      <c r="N21" s="2"/>
      <c r="O21" s="100">
        <v>80</v>
      </c>
    </row>
    <row r="22" spans="2:15" x14ac:dyDescent="0.3">
      <c r="B22" s="91" t="s">
        <v>104</v>
      </c>
      <c r="C22" s="2"/>
      <c r="D22" s="2"/>
      <c r="E22" s="101">
        <v>0</v>
      </c>
      <c r="G22" s="91" t="s">
        <v>104</v>
      </c>
      <c r="H22" s="2"/>
      <c r="I22" s="2"/>
      <c r="J22" s="101">
        <v>0</v>
      </c>
      <c r="L22" s="91" t="s">
        <v>104</v>
      </c>
      <c r="M22" s="2"/>
      <c r="N22" s="2"/>
      <c r="O22" s="101">
        <v>80</v>
      </c>
    </row>
    <row r="23" spans="2:15" ht="15" thickBot="1" x14ac:dyDescent="0.35">
      <c r="B23" s="105" t="s">
        <v>95</v>
      </c>
      <c r="C23" s="104"/>
      <c r="D23" s="95"/>
      <c r="E23" s="103">
        <v>0</v>
      </c>
      <c r="G23" s="105" t="s">
        <v>95</v>
      </c>
      <c r="H23" s="104"/>
      <c r="I23" s="95"/>
      <c r="J23" s="103">
        <v>160</v>
      </c>
      <c r="L23" s="105" t="s">
        <v>95</v>
      </c>
      <c r="M23" s="104"/>
      <c r="N23" s="95"/>
      <c r="O23" s="103">
        <v>280</v>
      </c>
    </row>
    <row r="24" spans="2:15" ht="15" thickTop="1" x14ac:dyDescent="0.3">
      <c r="B24" s="91" t="s">
        <v>102</v>
      </c>
      <c r="C24" s="2"/>
      <c r="D24" s="2"/>
      <c r="E24" s="100">
        <v>0</v>
      </c>
      <c r="G24" s="91" t="s">
        <v>102</v>
      </c>
      <c r="H24" s="2"/>
      <c r="I24" s="2"/>
      <c r="J24" s="100">
        <v>0</v>
      </c>
      <c r="L24" s="91" t="s">
        <v>102</v>
      </c>
      <c r="M24" s="2"/>
      <c r="N24" s="2"/>
      <c r="O24" s="100">
        <v>3.2</v>
      </c>
    </row>
    <row r="25" spans="2:15" x14ac:dyDescent="0.3">
      <c r="B25" s="91" t="s">
        <v>106</v>
      </c>
      <c r="C25" s="2"/>
      <c r="D25" s="2"/>
      <c r="E25" s="101">
        <v>0</v>
      </c>
      <c r="G25" s="91" t="s">
        <v>106</v>
      </c>
      <c r="H25" s="2"/>
      <c r="I25" s="2"/>
      <c r="J25" s="101">
        <v>0</v>
      </c>
      <c r="L25" s="91" t="s">
        <v>106</v>
      </c>
      <c r="M25" s="2"/>
      <c r="N25" s="2"/>
      <c r="O25" s="101">
        <v>3.2</v>
      </c>
    </row>
    <row r="26" spans="2:15" ht="15" thickBot="1" x14ac:dyDescent="0.35">
      <c r="B26" s="105" t="s">
        <v>98</v>
      </c>
      <c r="C26" s="95"/>
      <c r="D26" s="95"/>
      <c r="E26" s="103">
        <v>0</v>
      </c>
      <c r="G26" s="105" t="s">
        <v>98</v>
      </c>
      <c r="H26" s="95"/>
      <c r="I26" s="95"/>
      <c r="J26" s="103">
        <v>6.4</v>
      </c>
      <c r="L26" s="105" t="s">
        <v>98</v>
      </c>
      <c r="M26" s="95"/>
      <c r="N26" s="95"/>
      <c r="O26" s="103">
        <v>7.2</v>
      </c>
    </row>
    <row r="27" spans="2:15" ht="15.6" thickTop="1" thickBot="1" x14ac:dyDescent="0.35">
      <c r="B27" s="92" t="s">
        <v>230</v>
      </c>
      <c r="C27" s="182"/>
      <c r="D27" s="93"/>
      <c r="E27" s="186"/>
      <c r="G27" s="92" t="s">
        <v>230</v>
      </c>
      <c r="H27" s="182"/>
      <c r="I27" s="93"/>
      <c r="J27" s="186"/>
      <c r="L27" s="92" t="s">
        <v>230</v>
      </c>
      <c r="M27" s="182"/>
      <c r="N27" s="93"/>
      <c r="O27" s="186"/>
    </row>
    <row r="28" spans="2:15" ht="15" thickTop="1" x14ac:dyDescent="0.3">
      <c r="B28" s="91" t="s">
        <v>302</v>
      </c>
      <c r="C28" s="174"/>
      <c r="D28" s="2"/>
      <c r="E28" s="102">
        <v>0</v>
      </c>
      <c r="G28" s="91" t="s">
        <v>302</v>
      </c>
      <c r="H28" s="174"/>
      <c r="I28" s="2"/>
      <c r="J28" s="102">
        <v>0</v>
      </c>
      <c r="L28" s="91" t="s">
        <v>302</v>
      </c>
      <c r="M28" s="174"/>
      <c r="N28" s="2"/>
      <c r="O28" s="102">
        <v>0</v>
      </c>
    </row>
    <row r="29" spans="2:15" x14ac:dyDescent="0.3">
      <c r="B29" s="91" t="s">
        <v>368</v>
      </c>
      <c r="C29" s="183"/>
      <c r="D29" s="184"/>
      <c r="E29" s="100">
        <v>0</v>
      </c>
      <c r="G29" s="91" t="s">
        <v>368</v>
      </c>
      <c r="H29" s="183"/>
      <c r="I29" s="184"/>
      <c r="J29" s="100">
        <v>0</v>
      </c>
      <c r="L29" s="91" t="s">
        <v>368</v>
      </c>
      <c r="M29" s="183"/>
      <c r="N29" s="184"/>
      <c r="O29" s="100">
        <v>0</v>
      </c>
    </row>
    <row r="30" spans="2:15" x14ac:dyDescent="0.3">
      <c r="B30" s="91" t="s">
        <v>423</v>
      </c>
      <c r="C30" s="183"/>
      <c r="D30" s="184"/>
      <c r="E30" s="100">
        <v>0</v>
      </c>
      <c r="G30" s="91" t="s">
        <v>423</v>
      </c>
      <c r="H30" s="183"/>
      <c r="I30" s="184"/>
      <c r="J30" s="100">
        <v>0</v>
      </c>
      <c r="L30" s="91" t="s">
        <v>423</v>
      </c>
      <c r="M30" s="183"/>
      <c r="N30" s="184"/>
      <c r="O30" s="100">
        <v>0</v>
      </c>
    </row>
    <row r="31" spans="2:15" x14ac:dyDescent="0.3">
      <c r="B31" s="91" t="s">
        <v>250</v>
      </c>
      <c r="C31" s="183"/>
      <c r="D31" s="184"/>
      <c r="E31" s="100">
        <v>0</v>
      </c>
      <c r="G31" s="91" t="s">
        <v>250</v>
      </c>
      <c r="H31" s="183"/>
      <c r="I31" s="184"/>
      <c r="J31" s="100">
        <v>0</v>
      </c>
      <c r="L31" s="91" t="s">
        <v>250</v>
      </c>
      <c r="M31" s="183"/>
      <c r="N31" s="184"/>
      <c r="O31" s="100">
        <v>0</v>
      </c>
    </row>
    <row r="32" spans="2:15" x14ac:dyDescent="0.3">
      <c r="B32" s="91" t="s">
        <v>93</v>
      </c>
      <c r="C32" s="2"/>
      <c r="D32" s="2"/>
      <c r="E32" s="99">
        <v>130</v>
      </c>
      <c r="G32" s="91" t="s">
        <v>93</v>
      </c>
      <c r="H32" s="2"/>
      <c r="I32" s="2"/>
      <c r="J32" s="99">
        <v>160</v>
      </c>
      <c r="L32" s="91" t="s">
        <v>93</v>
      </c>
      <c r="M32" s="2"/>
      <c r="N32" s="2"/>
      <c r="O32" s="99">
        <v>290</v>
      </c>
    </row>
    <row r="33" spans="2:15" x14ac:dyDescent="0.3">
      <c r="B33" s="91" t="s">
        <v>100</v>
      </c>
      <c r="C33" s="2"/>
      <c r="D33" s="2"/>
      <c r="E33" s="98">
        <v>8.6666666666666661</v>
      </c>
      <c r="G33" s="91" t="s">
        <v>100</v>
      </c>
      <c r="H33" s="2"/>
      <c r="I33" s="2"/>
      <c r="J33" s="98">
        <v>10.666666666666666</v>
      </c>
      <c r="L33" s="91" t="s">
        <v>100</v>
      </c>
      <c r="M33" s="2"/>
      <c r="N33" s="2"/>
      <c r="O33" s="98">
        <v>19.333333333333332</v>
      </c>
    </row>
    <row r="34" spans="2:15" x14ac:dyDescent="0.3">
      <c r="B34" s="91" t="s">
        <v>369</v>
      </c>
      <c r="C34" s="2"/>
      <c r="D34" s="2"/>
      <c r="E34" s="99">
        <v>0</v>
      </c>
      <c r="G34" s="91" t="s">
        <v>369</v>
      </c>
      <c r="H34" s="2"/>
      <c r="I34" s="2"/>
      <c r="J34" s="99">
        <v>6.4</v>
      </c>
      <c r="L34" s="91" t="s">
        <v>369</v>
      </c>
      <c r="M34" s="2"/>
      <c r="N34" s="2"/>
      <c r="O34" s="99">
        <v>10.4</v>
      </c>
    </row>
    <row r="35" spans="2:15" ht="15" thickBot="1" x14ac:dyDescent="0.35">
      <c r="B35" s="91" t="s">
        <v>96</v>
      </c>
      <c r="C35" s="2"/>
      <c r="D35" s="185"/>
      <c r="E35" s="258">
        <v>130</v>
      </c>
      <c r="G35" s="91" t="s">
        <v>96</v>
      </c>
      <c r="H35" s="2"/>
      <c r="I35" s="185"/>
      <c r="J35" s="258">
        <v>0</v>
      </c>
      <c r="L35" s="91" t="s">
        <v>96</v>
      </c>
      <c r="M35" s="2"/>
      <c r="N35" s="185"/>
      <c r="O35" s="258">
        <v>13.2</v>
      </c>
    </row>
    <row r="36" spans="2:15" ht="15.6" thickTop="1" thickBot="1" x14ac:dyDescent="0.35">
      <c r="B36" s="96" t="s">
        <v>94</v>
      </c>
      <c r="C36" s="97"/>
      <c r="D36" s="187"/>
      <c r="E36" s="188">
        <v>130</v>
      </c>
      <c r="G36" s="96" t="s">
        <v>94</v>
      </c>
      <c r="H36" s="97"/>
      <c r="I36" s="187"/>
      <c r="J36" s="188">
        <v>166.4</v>
      </c>
      <c r="L36" s="96" t="s">
        <v>94</v>
      </c>
      <c r="M36" s="97"/>
      <c r="N36" s="187"/>
      <c r="O36" s="188">
        <v>300.39999999999998</v>
      </c>
    </row>
    <row r="37" spans="2:15" ht="15.6" thickTop="1" thickBot="1" x14ac:dyDescent="0.35">
      <c r="B37" s="96" t="s">
        <v>99</v>
      </c>
      <c r="C37" s="97"/>
      <c r="D37" s="187"/>
      <c r="E37" s="199">
        <v>130</v>
      </c>
      <c r="G37" s="96" t="s">
        <v>99</v>
      </c>
      <c r="H37" s="97"/>
      <c r="I37" s="187"/>
      <c r="J37" s="199">
        <v>166.4</v>
      </c>
      <c r="L37" s="96" t="s">
        <v>99</v>
      </c>
      <c r="M37" s="97"/>
      <c r="N37" s="187"/>
      <c r="O37" s="199">
        <v>300.39999999999998</v>
      </c>
    </row>
    <row r="38" spans="2:15" ht="15" thickTop="1" x14ac:dyDescent="0.3">
      <c r="B38" s="2"/>
      <c r="C38" s="2"/>
      <c r="D38" s="2"/>
      <c r="E38" s="290"/>
      <c r="J38" s="290"/>
      <c r="O38" s="290"/>
    </row>
    <row r="39" spans="2:15" x14ac:dyDescent="0.3">
      <c r="B39" s="2"/>
      <c r="C39" s="2"/>
      <c r="D39" s="2"/>
      <c r="E39" s="290"/>
      <c r="J39" s="290"/>
      <c r="O39" s="290"/>
    </row>
    <row r="40" spans="2:15" x14ac:dyDescent="0.3">
      <c r="B40" s="2"/>
      <c r="C40" s="2"/>
      <c r="D40" s="2"/>
      <c r="E40" s="290"/>
      <c r="J40" s="290"/>
      <c r="O40" s="290"/>
    </row>
    <row r="41" spans="2:15" x14ac:dyDescent="0.3">
      <c r="B41" s="2"/>
      <c r="C41" s="2"/>
      <c r="D41" s="2"/>
      <c r="E41" s="290"/>
      <c r="J41" s="290"/>
      <c r="O41" s="290"/>
    </row>
    <row r="42" spans="2:15" ht="15" thickBot="1" x14ac:dyDescent="0.35"/>
    <row r="43" spans="2:15" ht="15.6" thickTop="1" thickBot="1" x14ac:dyDescent="0.35">
      <c r="B43" s="359" t="s">
        <v>92</v>
      </c>
      <c r="C43" s="360"/>
      <c r="D43" s="259" t="s">
        <v>425</v>
      </c>
      <c r="E43" s="114">
        <v>44880</v>
      </c>
      <c r="G43" s="359" t="s">
        <v>92</v>
      </c>
      <c r="H43" s="360"/>
      <c r="I43" s="259" t="s">
        <v>425</v>
      </c>
      <c r="J43" s="114">
        <v>44910</v>
      </c>
      <c r="L43" s="359" t="s">
        <v>92</v>
      </c>
      <c r="M43" s="360"/>
      <c r="N43" s="259" t="s">
        <v>425</v>
      </c>
      <c r="O43" s="114">
        <v>44941</v>
      </c>
    </row>
    <row r="44" spans="2:15" ht="15.6" thickTop="1" thickBot="1" x14ac:dyDescent="0.35">
      <c r="B44" s="361"/>
      <c r="C44" s="362"/>
      <c r="D44" s="259" t="s">
        <v>426</v>
      </c>
      <c r="E44" s="114">
        <v>44788</v>
      </c>
      <c r="G44" s="361"/>
      <c r="H44" s="362"/>
      <c r="I44" s="259" t="s">
        <v>426</v>
      </c>
      <c r="J44" s="114">
        <v>44788</v>
      </c>
      <c r="L44" s="361"/>
      <c r="M44" s="362"/>
      <c r="N44" s="259" t="s">
        <v>426</v>
      </c>
      <c r="O44" s="114">
        <v>44788</v>
      </c>
    </row>
    <row r="45" spans="2:15" ht="15.6" thickTop="1" thickBot="1" x14ac:dyDescent="0.35">
      <c r="B45" s="363"/>
      <c r="C45" s="364"/>
      <c r="D45" s="259" t="s">
        <v>424</v>
      </c>
      <c r="E45" s="114">
        <v>44909</v>
      </c>
      <c r="G45" s="363"/>
      <c r="H45" s="364"/>
      <c r="I45" s="259" t="s">
        <v>424</v>
      </c>
      <c r="J45" s="114">
        <v>44940</v>
      </c>
      <c r="L45" s="363"/>
      <c r="M45" s="364"/>
      <c r="N45" s="259" t="s">
        <v>424</v>
      </c>
      <c r="O45" s="114">
        <v>44971</v>
      </c>
    </row>
    <row r="46" spans="2:15" ht="15.6" thickTop="1" thickBot="1" x14ac:dyDescent="0.35">
      <c r="B46" s="91" t="s">
        <v>91</v>
      </c>
      <c r="C46" s="2"/>
      <c r="D46" s="2"/>
      <c r="E46" s="173">
        <v>520</v>
      </c>
      <c r="G46" s="91" t="s">
        <v>91</v>
      </c>
      <c r="H46" s="2"/>
      <c r="I46" s="2"/>
      <c r="J46" s="173">
        <v>650</v>
      </c>
      <c r="L46" s="91" t="s">
        <v>91</v>
      </c>
      <c r="M46" s="2"/>
      <c r="N46" s="2"/>
      <c r="O46" s="173">
        <v>780</v>
      </c>
    </row>
    <row r="47" spans="2:15" ht="15.6" thickTop="1" thickBot="1" x14ac:dyDescent="0.35">
      <c r="B47" s="92" t="s">
        <v>170</v>
      </c>
      <c r="C47" s="93"/>
      <c r="D47" s="93"/>
      <c r="E47" s="179"/>
      <c r="G47" s="92" t="s">
        <v>170</v>
      </c>
      <c r="H47" s="93"/>
      <c r="I47" s="93"/>
      <c r="J47" s="179"/>
      <c r="L47" s="92" t="s">
        <v>170</v>
      </c>
      <c r="M47" s="93"/>
      <c r="N47" s="93"/>
      <c r="O47" s="179"/>
    </row>
    <row r="48" spans="2:15" ht="15" thickTop="1" x14ac:dyDescent="0.3">
      <c r="B48" s="177" t="s">
        <v>227</v>
      </c>
      <c r="C48" s="2"/>
      <c r="D48" s="2"/>
      <c r="E48" s="172">
        <v>760</v>
      </c>
      <c r="G48" s="177" t="s">
        <v>227</v>
      </c>
      <c r="H48" s="2"/>
      <c r="I48" s="2"/>
      <c r="J48" s="172">
        <v>1130</v>
      </c>
      <c r="L48" s="177" t="s">
        <v>227</v>
      </c>
      <c r="M48" s="2"/>
      <c r="N48" s="2"/>
      <c r="O48" s="172">
        <v>1480</v>
      </c>
    </row>
    <row r="49" spans="2:15" x14ac:dyDescent="0.3">
      <c r="B49" s="178" t="s">
        <v>228</v>
      </c>
      <c r="C49" s="2"/>
      <c r="D49" s="2"/>
      <c r="E49" s="100">
        <v>100</v>
      </c>
      <c r="G49" s="178" t="s">
        <v>228</v>
      </c>
      <c r="H49" s="2"/>
      <c r="I49" s="2"/>
      <c r="J49" s="100">
        <v>100</v>
      </c>
      <c r="L49" s="178" t="s">
        <v>228</v>
      </c>
      <c r="M49" s="2"/>
      <c r="N49" s="2"/>
      <c r="O49" s="100">
        <v>100</v>
      </c>
    </row>
    <row r="50" spans="2:15" x14ac:dyDescent="0.3">
      <c r="B50" s="91" t="s">
        <v>103</v>
      </c>
      <c r="C50" s="2"/>
      <c r="D50" s="2"/>
      <c r="E50" s="101">
        <v>400</v>
      </c>
      <c r="G50" s="91" t="s">
        <v>103</v>
      </c>
      <c r="H50" s="2"/>
      <c r="I50" s="2"/>
      <c r="J50" s="101">
        <v>370</v>
      </c>
      <c r="L50" s="91" t="s">
        <v>103</v>
      </c>
      <c r="M50" s="2"/>
      <c r="N50" s="2"/>
      <c r="O50" s="101">
        <v>350</v>
      </c>
    </row>
    <row r="51" spans="2:15" x14ac:dyDescent="0.3">
      <c r="B51" s="178" t="s">
        <v>229</v>
      </c>
      <c r="C51" s="2"/>
      <c r="D51" s="2"/>
      <c r="E51" s="180">
        <v>22.4</v>
      </c>
      <c r="G51" s="178" t="s">
        <v>229</v>
      </c>
      <c r="H51" s="2"/>
      <c r="I51" s="2"/>
      <c r="J51" s="180">
        <v>55.4</v>
      </c>
      <c r="L51" s="178" t="s">
        <v>229</v>
      </c>
      <c r="M51" s="2"/>
      <c r="N51" s="2"/>
      <c r="O51" s="180">
        <v>78.400000000000006</v>
      </c>
    </row>
    <row r="52" spans="2:15" ht="15" thickBot="1" x14ac:dyDescent="0.35">
      <c r="B52" s="91" t="s">
        <v>105</v>
      </c>
      <c r="C52" s="2"/>
      <c r="D52" s="2"/>
      <c r="E52" s="101">
        <v>12</v>
      </c>
      <c r="G52" s="91" t="s">
        <v>105</v>
      </c>
      <c r="H52" s="2"/>
      <c r="I52" s="2"/>
      <c r="J52" s="101">
        <v>33</v>
      </c>
      <c r="L52" s="91" t="s">
        <v>105</v>
      </c>
      <c r="M52" s="2"/>
      <c r="N52" s="2"/>
      <c r="O52" s="101">
        <v>23</v>
      </c>
    </row>
    <row r="53" spans="2:15" ht="15.6" thickTop="1" thickBot="1" x14ac:dyDescent="0.35">
      <c r="B53" s="181" t="s">
        <v>39</v>
      </c>
      <c r="C53" s="93"/>
      <c r="D53" s="93"/>
      <c r="E53" s="179"/>
      <c r="G53" s="181" t="s">
        <v>39</v>
      </c>
      <c r="H53" s="93"/>
      <c r="I53" s="93"/>
      <c r="J53" s="179"/>
      <c r="L53" s="181" t="s">
        <v>39</v>
      </c>
      <c r="M53" s="93"/>
      <c r="N53" s="93"/>
      <c r="O53" s="179"/>
    </row>
    <row r="54" spans="2:15" ht="15" thickTop="1" x14ac:dyDescent="0.3">
      <c r="B54" s="91" t="s">
        <v>101</v>
      </c>
      <c r="C54" s="2"/>
      <c r="D54" s="2"/>
      <c r="E54" s="100">
        <v>410</v>
      </c>
      <c r="G54" s="91" t="s">
        <v>101</v>
      </c>
      <c r="H54" s="2"/>
      <c r="I54" s="2"/>
      <c r="J54" s="100">
        <v>710</v>
      </c>
      <c r="L54" s="91" t="s">
        <v>101</v>
      </c>
      <c r="M54" s="2"/>
      <c r="N54" s="2"/>
      <c r="O54" s="100">
        <v>894</v>
      </c>
    </row>
    <row r="55" spans="2:15" x14ac:dyDescent="0.3">
      <c r="B55" s="91" t="s">
        <v>104</v>
      </c>
      <c r="C55" s="2"/>
      <c r="D55" s="2"/>
      <c r="E55" s="101">
        <v>330</v>
      </c>
      <c r="G55" s="91" t="s">
        <v>104</v>
      </c>
      <c r="H55" s="2"/>
      <c r="I55" s="2"/>
      <c r="J55" s="101">
        <v>300</v>
      </c>
      <c r="L55" s="91" t="s">
        <v>104</v>
      </c>
      <c r="M55" s="2"/>
      <c r="N55" s="2"/>
      <c r="O55" s="101">
        <v>184</v>
      </c>
    </row>
    <row r="56" spans="2:15" ht="15" thickBot="1" x14ac:dyDescent="0.35">
      <c r="B56" s="105" t="s">
        <v>95</v>
      </c>
      <c r="C56" s="104"/>
      <c r="D56" s="95"/>
      <c r="E56" s="103">
        <v>350</v>
      </c>
      <c r="G56" s="105" t="s">
        <v>95</v>
      </c>
      <c r="H56" s="104"/>
      <c r="I56" s="95"/>
      <c r="J56" s="103">
        <v>420</v>
      </c>
      <c r="L56" s="105" t="s">
        <v>95</v>
      </c>
      <c r="M56" s="104"/>
      <c r="N56" s="95"/>
      <c r="O56" s="103">
        <v>586</v>
      </c>
    </row>
    <row r="57" spans="2:15" ht="15" thickTop="1" x14ac:dyDescent="0.3">
      <c r="B57" s="91" t="s">
        <v>102</v>
      </c>
      <c r="C57" s="2"/>
      <c r="D57" s="2"/>
      <c r="E57" s="100">
        <v>10.4</v>
      </c>
      <c r="G57" s="91" t="s">
        <v>102</v>
      </c>
      <c r="H57" s="2"/>
      <c r="I57" s="2"/>
      <c r="J57" s="100">
        <v>18.399999999999999</v>
      </c>
      <c r="L57" s="91" t="s">
        <v>102</v>
      </c>
      <c r="M57" s="2"/>
      <c r="N57" s="2"/>
      <c r="O57" s="100">
        <v>29.799999999999997</v>
      </c>
    </row>
    <row r="58" spans="2:15" x14ac:dyDescent="0.3">
      <c r="B58" s="91" t="s">
        <v>106</v>
      </c>
      <c r="C58" s="2"/>
      <c r="D58" s="2"/>
      <c r="E58" s="101">
        <v>7.2</v>
      </c>
      <c r="G58" s="91" t="s">
        <v>106</v>
      </c>
      <c r="H58" s="2"/>
      <c r="I58" s="2"/>
      <c r="J58" s="101">
        <v>18</v>
      </c>
      <c r="L58" s="91" t="s">
        <v>106</v>
      </c>
      <c r="M58" s="2"/>
      <c r="N58" s="2"/>
      <c r="O58" s="101">
        <v>11.4</v>
      </c>
    </row>
    <row r="59" spans="2:15" ht="15" thickBot="1" x14ac:dyDescent="0.35">
      <c r="B59" s="105" t="s">
        <v>98</v>
      </c>
      <c r="C59" s="95"/>
      <c r="D59" s="95"/>
      <c r="E59" s="103">
        <v>11.999999999999998</v>
      </c>
      <c r="G59" s="105" t="s">
        <v>98</v>
      </c>
      <c r="H59" s="95"/>
      <c r="I59" s="95"/>
      <c r="J59" s="103">
        <v>37</v>
      </c>
      <c r="L59" s="105" t="s">
        <v>98</v>
      </c>
      <c r="M59" s="95"/>
      <c r="N59" s="95"/>
      <c r="O59" s="103">
        <v>48.600000000000009</v>
      </c>
    </row>
    <row r="60" spans="2:15" ht="15.6" thickTop="1" thickBot="1" x14ac:dyDescent="0.35">
      <c r="B60" s="92" t="s">
        <v>230</v>
      </c>
      <c r="C60" s="182"/>
      <c r="D60" s="93"/>
      <c r="E60" s="186"/>
      <c r="G60" s="92" t="s">
        <v>230</v>
      </c>
      <c r="H60" s="182"/>
      <c r="I60" s="93"/>
      <c r="J60" s="186"/>
      <c r="L60" s="92" t="s">
        <v>230</v>
      </c>
      <c r="M60" s="182"/>
      <c r="N60" s="93"/>
      <c r="O60" s="186"/>
    </row>
    <row r="61" spans="2:15" ht="15" thickTop="1" x14ac:dyDescent="0.3">
      <c r="B61" s="91" t="s">
        <v>302</v>
      </c>
      <c r="C61" s="174"/>
      <c r="D61" s="2"/>
      <c r="E61" s="102">
        <v>0</v>
      </c>
      <c r="G61" s="91" t="s">
        <v>302</v>
      </c>
      <c r="H61" s="174"/>
      <c r="I61" s="2"/>
      <c r="J61" s="102">
        <v>10</v>
      </c>
      <c r="L61" s="91" t="s">
        <v>302</v>
      </c>
      <c r="M61" s="174"/>
      <c r="N61" s="2"/>
      <c r="O61" s="102">
        <v>10</v>
      </c>
    </row>
    <row r="62" spans="2:15" x14ac:dyDescent="0.3">
      <c r="B62" s="91" t="s">
        <v>368</v>
      </c>
      <c r="C62" s="183"/>
      <c r="D62" s="184"/>
      <c r="E62" s="100">
        <v>0</v>
      </c>
      <c r="G62" s="91" t="s">
        <v>368</v>
      </c>
      <c r="H62" s="183"/>
      <c r="I62" s="184"/>
      <c r="J62" s="100">
        <v>0</v>
      </c>
      <c r="L62" s="91" t="s">
        <v>368</v>
      </c>
      <c r="M62" s="183"/>
      <c r="N62" s="184"/>
      <c r="O62" s="100">
        <v>0</v>
      </c>
    </row>
    <row r="63" spans="2:15" x14ac:dyDescent="0.3">
      <c r="B63" s="91" t="s">
        <v>423</v>
      </c>
      <c r="C63" s="183"/>
      <c r="D63" s="184"/>
      <c r="E63" s="100">
        <v>0</v>
      </c>
      <c r="G63" s="91" t="s">
        <v>423</v>
      </c>
      <c r="H63" s="183"/>
      <c r="I63" s="184"/>
      <c r="J63" s="100">
        <v>0</v>
      </c>
      <c r="L63" s="91" t="s">
        <v>423</v>
      </c>
      <c r="M63" s="183"/>
      <c r="N63" s="184"/>
      <c r="O63" s="100">
        <v>0</v>
      </c>
    </row>
    <row r="64" spans="2:15" x14ac:dyDescent="0.3">
      <c r="B64" s="91" t="s">
        <v>250</v>
      </c>
      <c r="C64" s="183"/>
      <c r="D64" s="184"/>
      <c r="E64" s="100">
        <v>0</v>
      </c>
      <c r="G64" s="91" t="s">
        <v>250</v>
      </c>
      <c r="H64" s="183"/>
      <c r="I64" s="184"/>
      <c r="J64" s="100">
        <v>0</v>
      </c>
      <c r="L64" s="91" t="s">
        <v>250</v>
      </c>
      <c r="M64" s="183"/>
      <c r="N64" s="184"/>
      <c r="O64" s="100">
        <v>0</v>
      </c>
    </row>
    <row r="65" spans="2:15" x14ac:dyDescent="0.3">
      <c r="B65" s="91" t="s">
        <v>93</v>
      </c>
      <c r="C65" s="2"/>
      <c r="D65" s="2"/>
      <c r="E65" s="99">
        <v>420</v>
      </c>
      <c r="G65" s="91" t="s">
        <v>93</v>
      </c>
      <c r="H65" s="2"/>
      <c r="I65" s="2"/>
      <c r="J65" s="99">
        <v>550</v>
      </c>
      <c r="L65" s="91" t="s">
        <v>93</v>
      </c>
      <c r="M65" s="2"/>
      <c r="N65" s="2"/>
      <c r="O65" s="99">
        <v>680</v>
      </c>
    </row>
    <row r="66" spans="2:15" x14ac:dyDescent="0.3">
      <c r="B66" s="91" t="s">
        <v>100</v>
      </c>
      <c r="C66" s="2"/>
      <c r="D66" s="2"/>
      <c r="E66" s="98">
        <v>28</v>
      </c>
      <c r="G66" s="91" t="s">
        <v>100</v>
      </c>
      <c r="H66" s="2"/>
      <c r="I66" s="2"/>
      <c r="J66" s="98">
        <v>36.666666666666664</v>
      </c>
      <c r="L66" s="91" t="s">
        <v>100</v>
      </c>
      <c r="M66" s="2"/>
      <c r="N66" s="2"/>
      <c r="O66" s="98">
        <v>45.333333333333336</v>
      </c>
    </row>
    <row r="67" spans="2:15" x14ac:dyDescent="0.3">
      <c r="B67" s="91" t="s">
        <v>369</v>
      </c>
      <c r="C67" s="2"/>
      <c r="D67" s="2"/>
      <c r="E67" s="99">
        <v>22.4</v>
      </c>
      <c r="G67" s="91" t="s">
        <v>369</v>
      </c>
      <c r="H67" s="2"/>
      <c r="I67" s="2"/>
      <c r="J67" s="99">
        <v>65.400000000000006</v>
      </c>
      <c r="L67" s="91" t="s">
        <v>369</v>
      </c>
      <c r="M67" s="2"/>
      <c r="N67" s="2"/>
      <c r="O67" s="99">
        <v>88.4</v>
      </c>
    </row>
    <row r="68" spans="2:15" ht="15" thickBot="1" x14ac:dyDescent="0.35">
      <c r="B68" s="91" t="s">
        <v>96</v>
      </c>
      <c r="C68" s="2"/>
      <c r="D68" s="185"/>
      <c r="E68" s="258">
        <v>80.400000000000006</v>
      </c>
      <c r="G68" s="91" t="s">
        <v>96</v>
      </c>
      <c r="H68" s="2"/>
      <c r="I68" s="185"/>
      <c r="J68" s="258">
        <v>158.4</v>
      </c>
      <c r="L68" s="91" t="s">
        <v>96</v>
      </c>
      <c r="M68" s="2"/>
      <c r="N68" s="185"/>
      <c r="O68" s="258">
        <v>133.80000000000001</v>
      </c>
    </row>
    <row r="69" spans="2:15" ht="15.6" thickTop="1" thickBot="1" x14ac:dyDescent="0.35">
      <c r="B69" s="96" t="s">
        <v>94</v>
      </c>
      <c r="C69" s="97"/>
      <c r="D69" s="187"/>
      <c r="E69" s="188">
        <v>442.4</v>
      </c>
      <c r="G69" s="96" t="s">
        <v>94</v>
      </c>
      <c r="H69" s="97"/>
      <c r="I69" s="187"/>
      <c r="J69" s="188">
        <v>615.4</v>
      </c>
      <c r="L69" s="96" t="s">
        <v>94</v>
      </c>
      <c r="M69" s="97"/>
      <c r="N69" s="187"/>
      <c r="O69" s="188">
        <v>768.4</v>
      </c>
    </row>
    <row r="70" spans="2:15" ht="15.6" thickTop="1" thickBot="1" x14ac:dyDescent="0.35">
      <c r="B70" s="96" t="s">
        <v>99</v>
      </c>
      <c r="C70" s="97"/>
      <c r="D70" s="187"/>
      <c r="E70" s="199">
        <v>442.4</v>
      </c>
      <c r="G70" s="96" t="s">
        <v>99</v>
      </c>
      <c r="H70" s="97"/>
      <c r="I70" s="187"/>
      <c r="J70" s="199">
        <v>615.4</v>
      </c>
      <c r="L70" s="96" t="s">
        <v>99</v>
      </c>
      <c r="M70" s="97"/>
      <c r="N70" s="187"/>
      <c r="O70" s="199">
        <v>768.40000000000009</v>
      </c>
    </row>
    <row r="71" spans="2:15" ht="15" thickTop="1" x14ac:dyDescent="0.3">
      <c r="B71" s="2"/>
      <c r="C71" s="2"/>
      <c r="E71" s="290"/>
      <c r="J71" s="290"/>
      <c r="O71" s="290"/>
    </row>
    <row r="72" spans="2:15" x14ac:dyDescent="0.3">
      <c r="B72" s="2"/>
      <c r="C72" s="2"/>
      <c r="E72" s="290"/>
      <c r="J72" s="290"/>
      <c r="O72" s="290"/>
    </row>
    <row r="73" spans="2:15" x14ac:dyDescent="0.3">
      <c r="B73" s="2"/>
      <c r="C73" s="2"/>
      <c r="E73" s="290"/>
      <c r="J73" s="290"/>
      <c r="O73" s="290"/>
    </row>
    <row r="74" spans="2:15" x14ac:dyDescent="0.3">
      <c r="B74" s="2"/>
      <c r="C74" s="2"/>
      <c r="E74" s="290"/>
      <c r="J74" s="290"/>
      <c r="O74" s="290"/>
    </row>
    <row r="75" spans="2:15" ht="15" thickBot="1" x14ac:dyDescent="0.35"/>
    <row r="76" spans="2:15" ht="15.6" thickTop="1" thickBot="1" x14ac:dyDescent="0.35">
      <c r="B76" s="359" t="s">
        <v>92</v>
      </c>
      <c r="C76" s="360"/>
      <c r="D76" s="259" t="s">
        <v>425</v>
      </c>
      <c r="E76" s="114">
        <v>44972</v>
      </c>
      <c r="G76" s="359" t="s">
        <v>92</v>
      </c>
      <c r="H76" s="360"/>
      <c r="I76" s="259" t="s">
        <v>425</v>
      </c>
      <c r="J76" s="114">
        <v>45000</v>
      </c>
      <c r="L76" s="359" t="s">
        <v>92</v>
      </c>
      <c r="M76" s="360"/>
      <c r="N76" s="259" t="s">
        <v>425</v>
      </c>
      <c r="O76" s="114">
        <v>45031</v>
      </c>
    </row>
    <row r="77" spans="2:15" ht="15.6" thickTop="1" thickBot="1" x14ac:dyDescent="0.35">
      <c r="B77" s="361"/>
      <c r="C77" s="362"/>
      <c r="D77" s="259" t="s">
        <v>426</v>
      </c>
      <c r="E77" s="114">
        <v>44788</v>
      </c>
      <c r="G77" s="361"/>
      <c r="H77" s="362"/>
      <c r="I77" s="259" t="s">
        <v>426</v>
      </c>
      <c r="J77" s="114">
        <v>44788</v>
      </c>
      <c r="L77" s="361"/>
      <c r="M77" s="362"/>
      <c r="N77" s="259" t="s">
        <v>426</v>
      </c>
      <c r="O77" s="114">
        <v>44788</v>
      </c>
    </row>
    <row r="78" spans="2:15" ht="15.6" thickTop="1" thickBot="1" x14ac:dyDescent="0.35">
      <c r="B78" s="363"/>
      <c r="C78" s="364"/>
      <c r="D78" s="259" t="s">
        <v>424</v>
      </c>
      <c r="E78" s="114">
        <v>44999</v>
      </c>
      <c r="G78" s="363"/>
      <c r="H78" s="364"/>
      <c r="I78" s="259" t="s">
        <v>424</v>
      </c>
      <c r="J78" s="114">
        <v>45030</v>
      </c>
      <c r="L78" s="363"/>
      <c r="M78" s="364"/>
      <c r="N78" s="259" t="s">
        <v>424</v>
      </c>
      <c r="O78" s="114">
        <v>45060</v>
      </c>
    </row>
    <row r="79" spans="2:15" ht="15.6" thickTop="1" thickBot="1" x14ac:dyDescent="0.35">
      <c r="B79" s="91" t="s">
        <v>91</v>
      </c>
      <c r="C79" s="2"/>
      <c r="D79" s="2"/>
      <c r="E79" s="173">
        <v>910</v>
      </c>
      <c r="G79" s="91" t="s">
        <v>91</v>
      </c>
      <c r="H79" s="2"/>
      <c r="I79" s="2"/>
      <c r="J79" s="173">
        <v>1040</v>
      </c>
      <c r="L79" s="91" t="s">
        <v>91</v>
      </c>
      <c r="M79" s="2"/>
      <c r="N79" s="2"/>
      <c r="O79" s="173">
        <v>1170</v>
      </c>
    </row>
    <row r="80" spans="2:15" ht="15.6" thickTop="1" thickBot="1" x14ac:dyDescent="0.35">
      <c r="B80" s="92" t="s">
        <v>170</v>
      </c>
      <c r="C80" s="93"/>
      <c r="D80" s="93"/>
      <c r="E80" s="179"/>
      <c r="G80" s="92" t="s">
        <v>170</v>
      </c>
      <c r="H80" s="93"/>
      <c r="I80" s="93"/>
      <c r="J80" s="179"/>
      <c r="L80" s="92" t="s">
        <v>170</v>
      </c>
      <c r="M80" s="93"/>
      <c r="N80" s="93"/>
      <c r="O80" s="179"/>
    </row>
    <row r="81" spans="2:15" ht="15" thickTop="1" x14ac:dyDescent="0.3">
      <c r="B81" s="177" t="s">
        <v>227</v>
      </c>
      <c r="C81" s="2"/>
      <c r="D81" s="2"/>
      <c r="E81" s="172">
        <v>1830</v>
      </c>
      <c r="G81" s="177" t="s">
        <v>227</v>
      </c>
      <c r="H81" s="2"/>
      <c r="I81" s="2"/>
      <c r="J81" s="172">
        <v>2310</v>
      </c>
      <c r="L81" s="177" t="s">
        <v>227</v>
      </c>
      <c r="M81" s="2"/>
      <c r="N81" s="2"/>
      <c r="O81" s="172">
        <v>2610</v>
      </c>
    </row>
    <row r="82" spans="2:15" x14ac:dyDescent="0.3">
      <c r="B82" s="178" t="s">
        <v>228</v>
      </c>
      <c r="C82" s="2"/>
      <c r="D82" s="2"/>
      <c r="E82" s="100">
        <v>100</v>
      </c>
      <c r="G82" s="178" t="s">
        <v>228</v>
      </c>
      <c r="H82" s="2"/>
      <c r="I82" s="2"/>
      <c r="J82" s="100">
        <v>100</v>
      </c>
      <c r="L82" s="178" t="s">
        <v>228</v>
      </c>
      <c r="M82" s="2"/>
      <c r="N82" s="2"/>
      <c r="O82" s="100">
        <v>100</v>
      </c>
    </row>
    <row r="83" spans="2:15" x14ac:dyDescent="0.3">
      <c r="B83" s="91" t="s">
        <v>103</v>
      </c>
      <c r="C83" s="2"/>
      <c r="D83" s="2"/>
      <c r="E83" s="101">
        <v>400</v>
      </c>
      <c r="G83" s="91" t="s">
        <v>103</v>
      </c>
      <c r="H83" s="2"/>
      <c r="I83" s="2"/>
      <c r="J83" s="101">
        <v>480</v>
      </c>
      <c r="L83" s="91" t="s">
        <v>103</v>
      </c>
      <c r="M83" s="2"/>
      <c r="N83" s="2"/>
      <c r="O83" s="101">
        <v>300</v>
      </c>
    </row>
    <row r="84" spans="2:15" x14ac:dyDescent="0.3">
      <c r="B84" s="178" t="s">
        <v>229</v>
      </c>
      <c r="C84" s="2"/>
      <c r="D84" s="2"/>
      <c r="E84" s="180">
        <v>101.4</v>
      </c>
      <c r="G84" s="178" t="s">
        <v>229</v>
      </c>
      <c r="H84" s="2"/>
      <c r="I84" s="2"/>
      <c r="J84" s="180">
        <v>135</v>
      </c>
      <c r="L84" s="178" t="s">
        <v>229</v>
      </c>
      <c r="M84" s="2"/>
      <c r="N84" s="2"/>
      <c r="O84" s="180">
        <v>159</v>
      </c>
    </row>
    <row r="85" spans="2:15" ht="15" thickBot="1" x14ac:dyDescent="0.35">
      <c r="B85" s="91" t="s">
        <v>105</v>
      </c>
      <c r="C85" s="2"/>
      <c r="D85" s="2"/>
      <c r="E85" s="101">
        <v>26</v>
      </c>
      <c r="G85" s="91" t="s">
        <v>105</v>
      </c>
      <c r="H85" s="2"/>
      <c r="I85" s="2"/>
      <c r="J85" s="101">
        <v>33.6</v>
      </c>
      <c r="L85" s="91" t="s">
        <v>105</v>
      </c>
      <c r="M85" s="2"/>
      <c r="N85" s="2"/>
      <c r="O85" s="101">
        <v>24</v>
      </c>
    </row>
    <row r="86" spans="2:15" ht="15.6" thickTop="1" thickBot="1" x14ac:dyDescent="0.35">
      <c r="B86" s="181" t="s">
        <v>39</v>
      </c>
      <c r="C86" s="93"/>
      <c r="D86" s="93"/>
      <c r="E86" s="179"/>
      <c r="G86" s="181" t="s">
        <v>39</v>
      </c>
      <c r="H86" s="93"/>
      <c r="I86" s="93"/>
      <c r="J86" s="179"/>
      <c r="L86" s="181" t="s">
        <v>39</v>
      </c>
      <c r="M86" s="93"/>
      <c r="N86" s="93"/>
      <c r="O86" s="179"/>
    </row>
    <row r="87" spans="2:15" ht="15" thickTop="1" x14ac:dyDescent="0.3">
      <c r="B87" s="91" t="s">
        <v>101</v>
      </c>
      <c r="C87" s="2"/>
      <c r="D87" s="2"/>
      <c r="E87" s="100">
        <v>1019.67</v>
      </c>
      <c r="G87" s="91" t="s">
        <v>101</v>
      </c>
      <c r="H87" s="2"/>
      <c r="I87" s="2"/>
      <c r="J87" s="100">
        <v>1320.3400000000001</v>
      </c>
      <c r="L87" s="91" t="s">
        <v>101</v>
      </c>
      <c r="M87" s="2"/>
      <c r="N87" s="2"/>
      <c r="O87" s="100">
        <v>1801.0000000000002</v>
      </c>
    </row>
    <row r="88" spans="2:15" x14ac:dyDescent="0.3">
      <c r="B88" s="91" t="s">
        <v>104</v>
      </c>
      <c r="C88" s="2"/>
      <c r="D88" s="2"/>
      <c r="E88" s="101">
        <v>175.67000000000002</v>
      </c>
      <c r="G88" s="91" t="s">
        <v>104</v>
      </c>
      <c r="H88" s="2"/>
      <c r="I88" s="2"/>
      <c r="J88" s="101">
        <v>300.67</v>
      </c>
      <c r="L88" s="91" t="s">
        <v>104</v>
      </c>
      <c r="M88" s="2"/>
      <c r="N88" s="2"/>
      <c r="O88" s="101">
        <v>480.65999999999997</v>
      </c>
    </row>
    <row r="89" spans="2:15" ht="15" thickBot="1" x14ac:dyDescent="0.35">
      <c r="B89" s="105" t="s">
        <v>95</v>
      </c>
      <c r="C89" s="104"/>
      <c r="D89" s="95"/>
      <c r="E89" s="103">
        <v>810.33</v>
      </c>
      <c r="G89" s="105" t="s">
        <v>95</v>
      </c>
      <c r="H89" s="104"/>
      <c r="I89" s="95"/>
      <c r="J89" s="103">
        <v>989.65999999999985</v>
      </c>
      <c r="L89" s="105" t="s">
        <v>95</v>
      </c>
      <c r="M89" s="104"/>
      <c r="N89" s="95"/>
      <c r="O89" s="103">
        <v>808.99999999999977</v>
      </c>
    </row>
    <row r="90" spans="2:15" ht="15" thickTop="1" x14ac:dyDescent="0.3">
      <c r="B90" s="91" t="s">
        <v>102</v>
      </c>
      <c r="C90" s="2"/>
      <c r="D90" s="2"/>
      <c r="E90" s="100">
        <v>43.199999999999996</v>
      </c>
      <c r="G90" s="91" t="s">
        <v>102</v>
      </c>
      <c r="H90" s="2"/>
      <c r="I90" s="2"/>
      <c r="J90" s="100">
        <v>64.599999999999994</v>
      </c>
      <c r="L90" s="91" t="s">
        <v>102</v>
      </c>
      <c r="M90" s="2"/>
      <c r="N90" s="2"/>
      <c r="O90" s="100">
        <v>95.6</v>
      </c>
    </row>
    <row r="91" spans="2:15" x14ac:dyDescent="0.3">
      <c r="B91" s="91" t="s">
        <v>106</v>
      </c>
      <c r="C91" s="2"/>
      <c r="D91" s="2"/>
      <c r="E91" s="101">
        <v>13.4</v>
      </c>
      <c r="G91" s="91" t="s">
        <v>106</v>
      </c>
      <c r="H91" s="2"/>
      <c r="I91" s="2"/>
      <c r="J91" s="101">
        <v>21.4</v>
      </c>
      <c r="L91" s="91" t="s">
        <v>106</v>
      </c>
      <c r="M91" s="2"/>
      <c r="N91" s="2"/>
      <c r="O91" s="101">
        <v>31</v>
      </c>
    </row>
    <row r="92" spans="2:15" ht="15" thickBot="1" x14ac:dyDescent="0.35">
      <c r="B92" s="105" t="s">
        <v>98</v>
      </c>
      <c r="C92" s="95"/>
      <c r="D92" s="95"/>
      <c r="E92" s="103">
        <v>58.20000000000001</v>
      </c>
      <c r="G92" s="105" t="s">
        <v>98</v>
      </c>
      <c r="H92" s="95"/>
      <c r="I92" s="95"/>
      <c r="J92" s="103">
        <v>70.400000000000006</v>
      </c>
      <c r="L92" s="105" t="s">
        <v>98</v>
      </c>
      <c r="M92" s="95"/>
      <c r="N92" s="95"/>
      <c r="O92" s="103">
        <v>63.400000000000006</v>
      </c>
    </row>
    <row r="93" spans="2:15" ht="15.6" thickTop="1" thickBot="1" x14ac:dyDescent="0.35">
      <c r="B93" s="92" t="s">
        <v>230</v>
      </c>
      <c r="C93" s="182"/>
      <c r="D93" s="93"/>
      <c r="E93" s="186"/>
      <c r="G93" s="92" t="s">
        <v>230</v>
      </c>
      <c r="H93" s="182"/>
      <c r="I93" s="93"/>
      <c r="J93" s="186"/>
      <c r="L93" s="92" t="s">
        <v>230</v>
      </c>
      <c r="M93" s="182"/>
      <c r="N93" s="93"/>
      <c r="O93" s="186"/>
    </row>
    <row r="94" spans="2:15" ht="15" thickTop="1" x14ac:dyDescent="0.3">
      <c r="B94" s="91" t="s">
        <v>302</v>
      </c>
      <c r="C94" s="174"/>
      <c r="D94" s="2"/>
      <c r="E94" s="102">
        <v>10</v>
      </c>
      <c r="G94" s="91" t="s">
        <v>302</v>
      </c>
      <c r="H94" s="174"/>
      <c r="I94" s="2"/>
      <c r="J94" s="102">
        <v>10</v>
      </c>
      <c r="L94" s="91" t="s">
        <v>302</v>
      </c>
      <c r="M94" s="174"/>
      <c r="N94" s="2"/>
      <c r="O94" s="102">
        <v>10</v>
      </c>
    </row>
    <row r="95" spans="2:15" x14ac:dyDescent="0.3">
      <c r="B95" s="91" t="s">
        <v>368</v>
      </c>
      <c r="C95" s="183"/>
      <c r="D95" s="184"/>
      <c r="E95" s="100">
        <v>0</v>
      </c>
      <c r="G95" s="91" t="s">
        <v>368</v>
      </c>
      <c r="H95" s="183"/>
      <c r="I95" s="184"/>
      <c r="J95" s="100">
        <v>0</v>
      </c>
      <c r="L95" s="91" t="s">
        <v>368</v>
      </c>
      <c r="M95" s="183"/>
      <c r="N95" s="184"/>
      <c r="O95" s="100">
        <v>0</v>
      </c>
    </row>
    <row r="96" spans="2:15" x14ac:dyDescent="0.3">
      <c r="B96" s="91" t="s">
        <v>423</v>
      </c>
      <c r="C96" s="183"/>
      <c r="D96" s="184"/>
      <c r="E96" s="100">
        <v>0</v>
      </c>
      <c r="G96" s="91" t="s">
        <v>423</v>
      </c>
      <c r="H96" s="183"/>
      <c r="I96" s="184"/>
      <c r="J96" s="100">
        <v>0</v>
      </c>
      <c r="L96" s="91" t="s">
        <v>423</v>
      </c>
      <c r="M96" s="183"/>
      <c r="N96" s="184"/>
      <c r="O96" s="100">
        <v>0</v>
      </c>
    </row>
    <row r="97" spans="2:15" x14ac:dyDescent="0.3">
      <c r="B97" s="91" t="s">
        <v>250</v>
      </c>
      <c r="C97" s="183"/>
      <c r="D97" s="184"/>
      <c r="E97" s="100">
        <v>0</v>
      </c>
      <c r="G97" s="91" t="s">
        <v>250</v>
      </c>
      <c r="H97" s="183"/>
      <c r="I97" s="184"/>
      <c r="J97" s="100">
        <v>0</v>
      </c>
      <c r="L97" s="91" t="s">
        <v>250</v>
      </c>
      <c r="M97" s="183"/>
      <c r="N97" s="184"/>
      <c r="O97" s="100">
        <v>0</v>
      </c>
    </row>
    <row r="98" spans="2:15" x14ac:dyDescent="0.3">
      <c r="B98" s="91" t="s">
        <v>93</v>
      </c>
      <c r="C98" s="2"/>
      <c r="D98" s="2"/>
      <c r="E98" s="99">
        <v>810</v>
      </c>
      <c r="G98" s="91" t="s">
        <v>93</v>
      </c>
      <c r="H98" s="2"/>
      <c r="I98" s="2"/>
      <c r="J98" s="99">
        <v>940</v>
      </c>
      <c r="L98" s="91" t="s">
        <v>93</v>
      </c>
      <c r="M98" s="2"/>
      <c r="N98" s="2"/>
      <c r="O98" s="99">
        <v>1070</v>
      </c>
    </row>
    <row r="99" spans="2:15" x14ac:dyDescent="0.3">
      <c r="B99" s="91" t="s">
        <v>100</v>
      </c>
      <c r="C99" s="2"/>
      <c r="D99" s="2"/>
      <c r="E99" s="98">
        <v>50.625</v>
      </c>
      <c r="G99" s="91" t="s">
        <v>100</v>
      </c>
      <c r="H99" s="2"/>
      <c r="I99" s="2"/>
      <c r="J99" s="98">
        <v>58.75</v>
      </c>
      <c r="L99" s="91" t="s">
        <v>100</v>
      </c>
      <c r="M99" s="2"/>
      <c r="N99" s="2"/>
      <c r="O99" s="98">
        <v>66.875</v>
      </c>
    </row>
    <row r="100" spans="2:15" x14ac:dyDescent="0.3">
      <c r="B100" s="91" t="s">
        <v>369</v>
      </c>
      <c r="C100" s="2"/>
      <c r="D100" s="2"/>
      <c r="E100" s="99">
        <v>111.4</v>
      </c>
      <c r="G100" s="91" t="s">
        <v>369</v>
      </c>
      <c r="H100" s="2"/>
      <c r="I100" s="2"/>
      <c r="J100" s="99">
        <v>145</v>
      </c>
      <c r="L100" s="91" t="s">
        <v>369</v>
      </c>
      <c r="M100" s="2"/>
      <c r="N100" s="2"/>
      <c r="O100" s="99">
        <v>169</v>
      </c>
    </row>
    <row r="101" spans="2:15" ht="15" thickBot="1" x14ac:dyDescent="0.35">
      <c r="B101" s="91" t="s">
        <v>96</v>
      </c>
      <c r="C101" s="2"/>
      <c r="D101" s="185"/>
      <c r="E101" s="258">
        <v>52.87</v>
      </c>
      <c r="G101" s="91" t="s">
        <v>96</v>
      </c>
      <c r="H101" s="2"/>
      <c r="I101" s="185"/>
      <c r="J101" s="258">
        <v>24.94</v>
      </c>
      <c r="L101" s="91" t="s">
        <v>96</v>
      </c>
      <c r="M101" s="2"/>
      <c r="N101" s="185"/>
      <c r="O101" s="258">
        <v>366.6</v>
      </c>
    </row>
    <row r="102" spans="2:15" ht="15.6" thickTop="1" thickBot="1" x14ac:dyDescent="0.35">
      <c r="B102" s="96" t="s">
        <v>94</v>
      </c>
      <c r="C102" s="97"/>
      <c r="D102" s="187"/>
      <c r="E102" s="188">
        <v>921.4</v>
      </c>
      <c r="G102" s="96" t="s">
        <v>94</v>
      </c>
      <c r="H102" s="97"/>
      <c r="I102" s="187"/>
      <c r="J102" s="188">
        <v>1085</v>
      </c>
      <c r="L102" s="96" t="s">
        <v>94</v>
      </c>
      <c r="M102" s="97"/>
      <c r="N102" s="187"/>
      <c r="O102" s="188">
        <v>1239</v>
      </c>
    </row>
    <row r="103" spans="2:15" ht="15.6" thickTop="1" thickBot="1" x14ac:dyDescent="0.35">
      <c r="B103" s="96" t="s">
        <v>99</v>
      </c>
      <c r="C103" s="97"/>
      <c r="D103" s="187"/>
      <c r="E103" s="199">
        <v>921.40000000000009</v>
      </c>
      <c r="G103" s="96" t="s">
        <v>99</v>
      </c>
      <c r="H103" s="97"/>
      <c r="I103" s="187"/>
      <c r="J103" s="199">
        <v>1085</v>
      </c>
      <c r="L103" s="96" t="s">
        <v>99</v>
      </c>
      <c r="M103" s="97"/>
      <c r="N103" s="187"/>
      <c r="O103" s="199">
        <v>1238.9999999999998</v>
      </c>
    </row>
    <row r="104" spans="2:15" ht="15" thickTop="1" x14ac:dyDescent="0.3">
      <c r="E104" s="290"/>
      <c r="J104" s="290"/>
      <c r="O104" s="290"/>
    </row>
    <row r="105" spans="2:15" x14ac:dyDescent="0.3">
      <c r="E105" s="290"/>
      <c r="J105" s="290"/>
      <c r="O105" s="290"/>
    </row>
    <row r="106" spans="2:15" x14ac:dyDescent="0.3">
      <c r="E106" s="290"/>
      <c r="J106" s="290"/>
      <c r="O106" s="290"/>
    </row>
    <row r="107" spans="2:15" x14ac:dyDescent="0.3">
      <c r="E107" s="290"/>
      <c r="J107" s="290"/>
      <c r="O107" s="290"/>
    </row>
    <row r="108" spans="2:15" ht="15" thickBot="1" x14ac:dyDescent="0.35"/>
    <row r="109" spans="2:15" ht="15.6" thickTop="1" thickBot="1" x14ac:dyDescent="0.35">
      <c r="B109" s="359" t="s">
        <v>92</v>
      </c>
      <c r="C109" s="360"/>
      <c r="D109" s="259" t="s">
        <v>425</v>
      </c>
      <c r="E109" s="114">
        <v>45061</v>
      </c>
      <c r="G109" s="359" t="s">
        <v>92</v>
      </c>
      <c r="H109" s="360"/>
      <c r="I109" s="259" t="s">
        <v>425</v>
      </c>
      <c r="J109" s="114">
        <v>45092</v>
      </c>
      <c r="L109" s="359" t="s">
        <v>92</v>
      </c>
      <c r="M109" s="360"/>
      <c r="N109" s="259" t="s">
        <v>425</v>
      </c>
      <c r="O109" s="114">
        <v>45122</v>
      </c>
    </row>
    <row r="110" spans="2:15" ht="15.6" thickTop="1" thickBot="1" x14ac:dyDescent="0.35">
      <c r="B110" s="361"/>
      <c r="C110" s="362"/>
      <c r="D110" s="259" t="s">
        <v>426</v>
      </c>
      <c r="E110" s="114">
        <v>44788</v>
      </c>
      <c r="G110" s="361"/>
      <c r="H110" s="362"/>
      <c r="I110" s="259" t="s">
        <v>426</v>
      </c>
      <c r="J110" s="114">
        <v>44788</v>
      </c>
      <c r="L110" s="361"/>
      <c r="M110" s="362"/>
      <c r="N110" s="259" t="s">
        <v>426</v>
      </c>
      <c r="O110" s="114">
        <v>44788</v>
      </c>
    </row>
    <row r="111" spans="2:15" ht="15.6" thickTop="1" thickBot="1" x14ac:dyDescent="0.35">
      <c r="B111" s="363"/>
      <c r="C111" s="364"/>
      <c r="D111" s="259" t="s">
        <v>424</v>
      </c>
      <c r="E111" s="114">
        <v>45091</v>
      </c>
      <c r="G111" s="363"/>
      <c r="H111" s="364"/>
      <c r="I111" s="259" t="s">
        <v>424</v>
      </c>
      <c r="J111" s="114">
        <v>45121</v>
      </c>
      <c r="L111" s="363"/>
      <c r="M111" s="364"/>
      <c r="N111" s="259" t="s">
        <v>424</v>
      </c>
      <c r="O111" s="114">
        <v>45152</v>
      </c>
    </row>
    <row r="112" spans="2:15" ht="15.6" thickTop="1" thickBot="1" x14ac:dyDescent="0.35">
      <c r="B112" s="91" t="s">
        <v>91</v>
      </c>
      <c r="C112" s="2"/>
      <c r="D112" s="2"/>
      <c r="E112" s="173">
        <v>1300</v>
      </c>
      <c r="G112" s="91" t="s">
        <v>91</v>
      </c>
      <c r="H112" s="2"/>
      <c r="I112" s="2"/>
      <c r="J112" s="173">
        <v>1430</v>
      </c>
      <c r="L112" s="91" t="s">
        <v>91</v>
      </c>
      <c r="M112" s="2"/>
      <c r="N112" s="2"/>
      <c r="O112" s="173">
        <v>1560</v>
      </c>
    </row>
    <row r="113" spans="2:15" ht="15.6" thickTop="1" thickBot="1" x14ac:dyDescent="0.35">
      <c r="B113" s="92" t="s">
        <v>170</v>
      </c>
      <c r="C113" s="93"/>
      <c r="D113" s="93"/>
      <c r="E113" s="179"/>
      <c r="G113" s="92" t="s">
        <v>170</v>
      </c>
      <c r="H113" s="93"/>
      <c r="I113" s="93"/>
      <c r="J113" s="179"/>
      <c r="L113" s="92" t="s">
        <v>170</v>
      </c>
      <c r="M113" s="93"/>
      <c r="N113" s="93"/>
      <c r="O113" s="179"/>
    </row>
    <row r="114" spans="2:15" ht="15" thickTop="1" x14ac:dyDescent="0.3">
      <c r="B114" s="177" t="s">
        <v>227</v>
      </c>
      <c r="C114" s="2"/>
      <c r="D114" s="2"/>
      <c r="E114" s="172">
        <v>2910</v>
      </c>
      <c r="G114" s="177" t="s">
        <v>227</v>
      </c>
      <c r="H114" s="2"/>
      <c r="I114" s="2"/>
      <c r="J114" s="172">
        <v>3910</v>
      </c>
      <c r="L114" s="177" t="s">
        <v>227</v>
      </c>
      <c r="M114" s="2"/>
      <c r="N114" s="2"/>
      <c r="O114" s="172">
        <v>4210</v>
      </c>
    </row>
    <row r="115" spans="2:15" x14ac:dyDescent="0.3">
      <c r="B115" s="178" t="s">
        <v>228</v>
      </c>
      <c r="C115" s="2"/>
      <c r="D115" s="2"/>
      <c r="E115" s="100">
        <v>100</v>
      </c>
      <c r="G115" s="178" t="s">
        <v>228</v>
      </c>
      <c r="H115" s="2"/>
      <c r="I115" s="2"/>
      <c r="J115" s="100">
        <v>100</v>
      </c>
      <c r="L115" s="178" t="s">
        <v>228</v>
      </c>
      <c r="M115" s="2"/>
      <c r="N115" s="2"/>
      <c r="O115" s="100">
        <v>100</v>
      </c>
    </row>
    <row r="116" spans="2:15" x14ac:dyDescent="0.3">
      <c r="B116" s="91" t="s">
        <v>103</v>
      </c>
      <c r="C116" s="2"/>
      <c r="D116" s="2"/>
      <c r="E116" s="101">
        <v>300</v>
      </c>
      <c r="G116" s="91" t="s">
        <v>103</v>
      </c>
      <c r="H116" s="2"/>
      <c r="I116" s="2"/>
      <c r="J116" s="101">
        <v>1000</v>
      </c>
      <c r="L116" s="91" t="s">
        <v>103</v>
      </c>
      <c r="M116" s="2"/>
      <c r="N116" s="2"/>
      <c r="O116" s="101">
        <v>300</v>
      </c>
    </row>
    <row r="117" spans="2:15" x14ac:dyDescent="0.3">
      <c r="B117" s="178" t="s">
        <v>229</v>
      </c>
      <c r="C117" s="2"/>
      <c r="D117" s="2"/>
      <c r="E117" s="180">
        <v>175</v>
      </c>
      <c r="G117" s="178" t="s">
        <v>229</v>
      </c>
      <c r="H117" s="2"/>
      <c r="I117" s="2"/>
      <c r="J117" s="180">
        <v>255</v>
      </c>
      <c r="L117" s="178" t="s">
        <v>229</v>
      </c>
      <c r="M117" s="2"/>
      <c r="N117" s="2"/>
      <c r="O117" s="180">
        <v>261</v>
      </c>
    </row>
    <row r="118" spans="2:15" ht="15" thickBot="1" x14ac:dyDescent="0.35">
      <c r="B118" s="91" t="s">
        <v>105</v>
      </c>
      <c r="C118" s="2"/>
      <c r="D118" s="2"/>
      <c r="E118" s="101">
        <v>16</v>
      </c>
      <c r="G118" s="91" t="s">
        <v>105</v>
      </c>
      <c r="H118" s="2"/>
      <c r="I118" s="2"/>
      <c r="J118" s="101">
        <v>80</v>
      </c>
      <c r="L118" s="91" t="s">
        <v>105</v>
      </c>
      <c r="M118" s="2"/>
      <c r="N118" s="2"/>
      <c r="O118" s="101">
        <v>6</v>
      </c>
    </row>
    <row r="119" spans="2:15" ht="15.6" thickTop="1" thickBot="1" x14ac:dyDescent="0.35">
      <c r="B119" s="181" t="s">
        <v>39</v>
      </c>
      <c r="C119" s="93"/>
      <c r="D119" s="93"/>
      <c r="E119" s="179"/>
      <c r="G119" s="181" t="s">
        <v>39</v>
      </c>
      <c r="H119" s="93"/>
      <c r="I119" s="93"/>
      <c r="J119" s="179"/>
      <c r="L119" s="181" t="s">
        <v>39</v>
      </c>
      <c r="M119" s="93"/>
      <c r="N119" s="93"/>
      <c r="O119" s="179"/>
    </row>
    <row r="120" spans="2:15" ht="15" thickTop="1" x14ac:dyDescent="0.3">
      <c r="B120" s="91" t="s">
        <v>101</v>
      </c>
      <c r="C120" s="2"/>
      <c r="D120" s="2"/>
      <c r="E120" s="100">
        <v>2160</v>
      </c>
      <c r="G120" s="91" t="s">
        <v>101</v>
      </c>
      <c r="H120" s="2"/>
      <c r="I120" s="2"/>
      <c r="J120" s="100">
        <v>2485</v>
      </c>
      <c r="L120" s="91" t="s">
        <v>101</v>
      </c>
      <c r="M120" s="2"/>
      <c r="N120" s="2"/>
      <c r="O120" s="100">
        <v>2785</v>
      </c>
    </row>
    <row r="121" spans="2:15" x14ac:dyDescent="0.3">
      <c r="B121" s="91" t="s">
        <v>104</v>
      </c>
      <c r="C121" s="2"/>
      <c r="D121" s="2"/>
      <c r="E121" s="101">
        <v>359</v>
      </c>
      <c r="G121" s="91" t="s">
        <v>104</v>
      </c>
      <c r="H121" s="2"/>
      <c r="I121" s="2"/>
      <c r="J121" s="101">
        <v>325</v>
      </c>
      <c r="L121" s="91" t="s">
        <v>104</v>
      </c>
      <c r="M121" s="2"/>
      <c r="N121" s="2"/>
      <c r="O121" s="101">
        <v>300</v>
      </c>
    </row>
    <row r="122" spans="2:15" ht="15" thickBot="1" x14ac:dyDescent="0.35">
      <c r="B122" s="105" t="s">
        <v>95</v>
      </c>
      <c r="C122" s="104"/>
      <c r="D122" s="95"/>
      <c r="E122" s="103">
        <v>750</v>
      </c>
      <c r="G122" s="105" t="s">
        <v>95</v>
      </c>
      <c r="H122" s="104"/>
      <c r="I122" s="95"/>
      <c r="J122" s="103">
        <v>1425</v>
      </c>
      <c r="L122" s="105" t="s">
        <v>95</v>
      </c>
      <c r="M122" s="104"/>
      <c r="N122" s="95"/>
      <c r="O122" s="103">
        <v>1425</v>
      </c>
    </row>
    <row r="123" spans="2:15" ht="15" thickTop="1" x14ac:dyDescent="0.3">
      <c r="B123" s="91" t="s">
        <v>102</v>
      </c>
      <c r="C123" s="2"/>
      <c r="D123" s="2"/>
      <c r="E123" s="100">
        <v>123</v>
      </c>
      <c r="G123" s="91" t="s">
        <v>102</v>
      </c>
      <c r="H123" s="2"/>
      <c r="I123" s="2"/>
      <c r="J123" s="100">
        <v>145</v>
      </c>
      <c r="L123" s="91" t="s">
        <v>102</v>
      </c>
      <c r="M123" s="2"/>
      <c r="N123" s="2"/>
      <c r="O123" s="100">
        <v>185</v>
      </c>
    </row>
    <row r="124" spans="2:15" x14ac:dyDescent="0.3">
      <c r="B124" s="91" t="s">
        <v>106</v>
      </c>
      <c r="C124" s="2"/>
      <c r="D124" s="2"/>
      <c r="E124" s="101">
        <v>27.4</v>
      </c>
      <c r="G124" s="91" t="s">
        <v>106</v>
      </c>
      <c r="H124" s="2"/>
      <c r="I124" s="2"/>
      <c r="J124" s="101">
        <v>22</v>
      </c>
      <c r="L124" s="91" t="s">
        <v>106</v>
      </c>
      <c r="M124" s="2"/>
      <c r="N124" s="2"/>
      <c r="O124" s="101">
        <v>40</v>
      </c>
    </row>
    <row r="125" spans="2:15" ht="15" thickBot="1" x14ac:dyDescent="0.35">
      <c r="B125" s="105" t="s">
        <v>98</v>
      </c>
      <c r="C125" s="95"/>
      <c r="D125" s="95"/>
      <c r="E125" s="103">
        <v>52</v>
      </c>
      <c r="G125" s="105" t="s">
        <v>98</v>
      </c>
      <c r="H125" s="95"/>
      <c r="I125" s="95"/>
      <c r="J125" s="103">
        <v>110</v>
      </c>
      <c r="L125" s="105" t="s">
        <v>98</v>
      </c>
      <c r="M125" s="95"/>
      <c r="N125" s="95"/>
      <c r="O125" s="103">
        <v>76</v>
      </c>
    </row>
    <row r="126" spans="2:15" ht="15.6" thickTop="1" thickBot="1" x14ac:dyDescent="0.35">
      <c r="B126" s="92" t="s">
        <v>230</v>
      </c>
      <c r="C126" s="182"/>
      <c r="D126" s="93"/>
      <c r="E126" s="186"/>
      <c r="G126" s="92" t="s">
        <v>230</v>
      </c>
      <c r="H126" s="182"/>
      <c r="I126" s="93"/>
      <c r="J126" s="186"/>
      <c r="L126" s="92" t="s">
        <v>230</v>
      </c>
      <c r="M126" s="182"/>
      <c r="N126" s="93"/>
      <c r="O126" s="186"/>
    </row>
    <row r="127" spans="2:15" ht="15" thickTop="1" x14ac:dyDescent="0.3">
      <c r="B127" s="91" t="s">
        <v>302</v>
      </c>
      <c r="C127" s="174"/>
      <c r="D127" s="2"/>
      <c r="E127" s="102">
        <v>10</v>
      </c>
      <c r="G127" s="91" t="s">
        <v>302</v>
      </c>
      <c r="H127" s="174"/>
      <c r="I127" s="2"/>
      <c r="J127" s="102">
        <v>10</v>
      </c>
      <c r="L127" s="91" t="s">
        <v>302</v>
      </c>
      <c r="M127" s="174"/>
      <c r="N127" s="2"/>
      <c r="O127" s="102">
        <v>10</v>
      </c>
    </row>
    <row r="128" spans="2:15" x14ac:dyDescent="0.3">
      <c r="B128" s="91" t="s">
        <v>368</v>
      </c>
      <c r="C128" s="183"/>
      <c r="D128" s="184"/>
      <c r="E128" s="100">
        <v>0</v>
      </c>
      <c r="G128" s="91" t="s">
        <v>368</v>
      </c>
      <c r="H128" s="183"/>
      <c r="I128" s="184"/>
      <c r="J128" s="100">
        <v>0</v>
      </c>
      <c r="L128" s="91" t="s">
        <v>368</v>
      </c>
      <c r="M128" s="183"/>
      <c r="N128" s="184"/>
      <c r="O128" s="100">
        <v>0</v>
      </c>
    </row>
    <row r="129" spans="2:15" x14ac:dyDescent="0.3">
      <c r="B129" s="91" t="s">
        <v>423</v>
      </c>
      <c r="C129" s="183"/>
      <c r="D129" s="184"/>
      <c r="E129" s="100">
        <v>0</v>
      </c>
      <c r="G129" s="91" t="s">
        <v>423</v>
      </c>
      <c r="H129" s="183"/>
      <c r="I129" s="184"/>
      <c r="J129" s="100">
        <v>0</v>
      </c>
      <c r="L129" s="91" t="s">
        <v>423</v>
      </c>
      <c r="M129" s="183"/>
      <c r="N129" s="184"/>
      <c r="O129" s="100">
        <v>0</v>
      </c>
    </row>
    <row r="130" spans="2:15" x14ac:dyDescent="0.3">
      <c r="B130" s="91" t="s">
        <v>250</v>
      </c>
      <c r="C130" s="183"/>
      <c r="D130" s="184"/>
      <c r="E130" s="100">
        <v>0</v>
      </c>
      <c r="G130" s="91" t="s">
        <v>250</v>
      </c>
      <c r="H130" s="183"/>
      <c r="I130" s="184"/>
      <c r="J130" s="100">
        <v>0</v>
      </c>
      <c r="L130" s="91" t="s">
        <v>250</v>
      </c>
      <c r="M130" s="183"/>
      <c r="N130" s="184"/>
      <c r="O130" s="100">
        <v>0</v>
      </c>
    </row>
    <row r="131" spans="2:15" x14ac:dyDescent="0.3">
      <c r="B131" s="91" t="s">
        <v>93</v>
      </c>
      <c r="C131" s="2"/>
      <c r="D131" s="2"/>
      <c r="E131" s="99">
        <v>1200</v>
      </c>
      <c r="G131" s="91" t="s">
        <v>93</v>
      </c>
      <c r="H131" s="2"/>
      <c r="I131" s="2"/>
      <c r="J131" s="99">
        <v>1330</v>
      </c>
      <c r="L131" s="91" t="s">
        <v>93</v>
      </c>
      <c r="M131" s="2"/>
      <c r="N131" s="2"/>
      <c r="O131" s="99">
        <v>1460</v>
      </c>
    </row>
    <row r="132" spans="2:15" x14ac:dyDescent="0.3">
      <c r="B132" s="91" t="s">
        <v>100</v>
      </c>
      <c r="C132" s="2"/>
      <c r="D132" s="2"/>
      <c r="E132" s="98">
        <v>75</v>
      </c>
      <c r="G132" s="91" t="s">
        <v>100</v>
      </c>
      <c r="H132" s="2"/>
      <c r="I132" s="2"/>
      <c r="J132" s="98">
        <v>83.125</v>
      </c>
      <c r="L132" s="91" t="s">
        <v>100</v>
      </c>
      <c r="M132" s="2"/>
      <c r="N132" s="2"/>
      <c r="O132" s="98">
        <v>91.25</v>
      </c>
    </row>
    <row r="133" spans="2:15" x14ac:dyDescent="0.3">
      <c r="B133" s="91" t="s">
        <v>369</v>
      </c>
      <c r="C133" s="2"/>
      <c r="D133" s="2"/>
      <c r="E133" s="99">
        <v>185</v>
      </c>
      <c r="G133" s="91" t="s">
        <v>369</v>
      </c>
      <c r="H133" s="2"/>
      <c r="I133" s="2"/>
      <c r="J133" s="99">
        <v>265</v>
      </c>
      <c r="L133" s="91" t="s">
        <v>369</v>
      </c>
      <c r="M133" s="2"/>
      <c r="N133" s="2"/>
      <c r="O133" s="99">
        <v>271</v>
      </c>
    </row>
    <row r="134" spans="2:15" ht="15" thickBot="1" x14ac:dyDescent="0.35">
      <c r="B134" s="91" t="s">
        <v>96</v>
      </c>
      <c r="C134" s="2"/>
      <c r="D134" s="185"/>
      <c r="E134" s="258">
        <v>583</v>
      </c>
      <c r="G134" s="91" t="s">
        <v>96</v>
      </c>
      <c r="H134" s="2"/>
      <c r="I134" s="185"/>
      <c r="J134" s="258">
        <v>60</v>
      </c>
      <c r="L134" s="91" t="s">
        <v>96</v>
      </c>
      <c r="M134" s="2"/>
      <c r="N134" s="185"/>
      <c r="O134" s="258">
        <v>230</v>
      </c>
    </row>
    <row r="135" spans="2:15" ht="15.6" thickTop="1" thickBot="1" x14ac:dyDescent="0.35">
      <c r="B135" s="96" t="s">
        <v>94</v>
      </c>
      <c r="C135" s="97"/>
      <c r="D135" s="187"/>
      <c r="E135" s="188">
        <v>1385</v>
      </c>
      <c r="G135" s="96" t="s">
        <v>94</v>
      </c>
      <c r="H135" s="97"/>
      <c r="I135" s="187"/>
      <c r="J135" s="188">
        <v>1595</v>
      </c>
      <c r="L135" s="96" t="s">
        <v>94</v>
      </c>
      <c r="M135" s="97"/>
      <c r="N135" s="187"/>
      <c r="O135" s="188">
        <v>1731</v>
      </c>
    </row>
    <row r="136" spans="2:15" ht="15.6" thickTop="1" thickBot="1" x14ac:dyDescent="0.35">
      <c r="B136" s="96" t="s">
        <v>99</v>
      </c>
      <c r="C136" s="97"/>
      <c r="D136" s="187"/>
      <c r="E136" s="199">
        <v>1385</v>
      </c>
      <c r="G136" s="96" t="s">
        <v>99</v>
      </c>
      <c r="H136" s="97"/>
      <c r="I136" s="187"/>
      <c r="J136" s="199">
        <v>1595</v>
      </c>
      <c r="L136" s="96" t="s">
        <v>99</v>
      </c>
      <c r="M136" s="97"/>
      <c r="N136" s="187"/>
      <c r="O136" s="199">
        <v>1731</v>
      </c>
    </row>
    <row r="137" spans="2:15" ht="15" thickTop="1" x14ac:dyDescent="0.3">
      <c r="E137" s="290"/>
      <c r="J137" s="290"/>
      <c r="O137" s="290"/>
    </row>
    <row r="138" spans="2:15" x14ac:dyDescent="0.3">
      <c r="E138" s="290"/>
      <c r="J138" s="290"/>
      <c r="O138" s="290"/>
    </row>
    <row r="139" spans="2:15" x14ac:dyDescent="0.3">
      <c r="E139" s="290"/>
      <c r="J139" s="290"/>
      <c r="O139" s="290"/>
    </row>
    <row r="140" spans="2:15" x14ac:dyDescent="0.3">
      <c r="E140" s="290"/>
      <c r="J140" s="290"/>
      <c r="O140" s="290"/>
    </row>
    <row r="141" spans="2:15" ht="15" thickBot="1" x14ac:dyDescent="0.35"/>
    <row r="142" spans="2:15" ht="15.6" thickTop="1" thickBot="1" x14ac:dyDescent="0.35">
      <c r="B142" s="359" t="s">
        <v>92</v>
      </c>
      <c r="C142" s="360"/>
      <c r="D142" s="259" t="s">
        <v>425</v>
      </c>
      <c r="E142" s="114">
        <v>45153</v>
      </c>
      <c r="G142" s="359" t="s">
        <v>92</v>
      </c>
      <c r="H142" s="360"/>
      <c r="I142" s="259" t="s">
        <v>425</v>
      </c>
      <c r="J142" s="114">
        <v>45184</v>
      </c>
      <c r="L142" s="359" t="s">
        <v>92</v>
      </c>
      <c r="M142" s="360"/>
      <c r="N142" s="259" t="s">
        <v>425</v>
      </c>
      <c r="O142" s="114">
        <v>45214</v>
      </c>
    </row>
    <row r="143" spans="2:15" ht="15.6" thickTop="1" thickBot="1" x14ac:dyDescent="0.35">
      <c r="B143" s="361"/>
      <c r="C143" s="362"/>
      <c r="D143" s="259" t="s">
        <v>426</v>
      </c>
      <c r="E143" s="114">
        <v>44788</v>
      </c>
      <c r="G143" s="361"/>
      <c r="H143" s="362"/>
      <c r="I143" s="259" t="s">
        <v>426</v>
      </c>
      <c r="J143" s="114">
        <v>44788</v>
      </c>
      <c r="L143" s="361"/>
      <c r="M143" s="362"/>
      <c r="N143" s="259" t="s">
        <v>426</v>
      </c>
      <c r="O143" s="114">
        <v>44788</v>
      </c>
    </row>
    <row r="144" spans="2:15" ht="15.6" thickTop="1" thickBot="1" x14ac:dyDescent="0.35">
      <c r="B144" s="363"/>
      <c r="C144" s="364"/>
      <c r="D144" s="259" t="s">
        <v>424</v>
      </c>
      <c r="E144" s="114">
        <v>45183</v>
      </c>
      <c r="G144" s="363"/>
      <c r="H144" s="364"/>
      <c r="I144" s="259" t="s">
        <v>424</v>
      </c>
      <c r="J144" s="114">
        <v>45213</v>
      </c>
      <c r="L144" s="363"/>
      <c r="M144" s="364"/>
      <c r="N144" s="259" t="s">
        <v>424</v>
      </c>
      <c r="O144" s="114">
        <v>45244</v>
      </c>
    </row>
    <row r="145" spans="2:15" ht="15.6" thickTop="1" thickBot="1" x14ac:dyDescent="0.35">
      <c r="B145" s="91" t="s">
        <v>91</v>
      </c>
      <c r="C145" s="2"/>
      <c r="D145" s="2"/>
      <c r="E145" s="173">
        <v>1690</v>
      </c>
      <c r="G145" s="91" t="s">
        <v>91</v>
      </c>
      <c r="H145" s="2"/>
      <c r="I145" s="2"/>
      <c r="J145" s="173">
        <v>1820</v>
      </c>
      <c r="L145" s="91" t="s">
        <v>91</v>
      </c>
      <c r="M145" s="2"/>
      <c r="N145" s="2"/>
      <c r="O145" s="173">
        <v>1950</v>
      </c>
    </row>
    <row r="146" spans="2:15" ht="15.6" thickTop="1" thickBot="1" x14ac:dyDescent="0.35">
      <c r="B146" s="92" t="s">
        <v>170</v>
      </c>
      <c r="C146" s="93"/>
      <c r="D146" s="93"/>
      <c r="E146" s="179"/>
      <c r="G146" s="92" t="s">
        <v>170</v>
      </c>
      <c r="H146" s="93"/>
      <c r="I146" s="93"/>
      <c r="J146" s="179"/>
      <c r="L146" s="92" t="s">
        <v>170</v>
      </c>
      <c r="M146" s="93"/>
      <c r="N146" s="93"/>
      <c r="O146" s="179"/>
    </row>
    <row r="147" spans="2:15" ht="15" thickTop="1" x14ac:dyDescent="0.3">
      <c r="B147" s="177" t="s">
        <v>227</v>
      </c>
      <c r="C147" s="2"/>
      <c r="D147" s="2"/>
      <c r="E147" s="172">
        <v>4410</v>
      </c>
      <c r="G147" s="177" t="s">
        <v>227</v>
      </c>
      <c r="H147" s="2"/>
      <c r="I147" s="2"/>
      <c r="J147" s="172">
        <v>5110</v>
      </c>
      <c r="L147" s="177" t="s">
        <v>227</v>
      </c>
      <c r="M147" s="2"/>
      <c r="N147" s="2"/>
      <c r="O147" s="172">
        <v>6310</v>
      </c>
    </row>
    <row r="148" spans="2:15" x14ac:dyDescent="0.3">
      <c r="B148" s="178" t="s">
        <v>228</v>
      </c>
      <c r="C148" s="2"/>
      <c r="D148" s="2"/>
      <c r="E148" s="100">
        <v>100</v>
      </c>
      <c r="G148" s="178" t="s">
        <v>228</v>
      </c>
      <c r="H148" s="2"/>
      <c r="I148" s="2"/>
      <c r="J148" s="100">
        <v>100</v>
      </c>
      <c r="L148" s="178" t="s">
        <v>228</v>
      </c>
      <c r="M148" s="2"/>
      <c r="N148" s="2"/>
      <c r="O148" s="100">
        <v>100</v>
      </c>
    </row>
    <row r="149" spans="2:15" x14ac:dyDescent="0.3">
      <c r="B149" s="91" t="s">
        <v>103</v>
      </c>
      <c r="C149" s="2"/>
      <c r="D149" s="2"/>
      <c r="E149" s="101">
        <v>200</v>
      </c>
      <c r="G149" s="91" t="s">
        <v>103</v>
      </c>
      <c r="H149" s="2"/>
      <c r="I149" s="2"/>
      <c r="J149" s="101">
        <v>700</v>
      </c>
      <c r="L149" s="91" t="s">
        <v>103</v>
      </c>
      <c r="M149" s="2"/>
      <c r="N149" s="2"/>
      <c r="O149" s="101">
        <v>1200</v>
      </c>
    </row>
    <row r="150" spans="2:15" x14ac:dyDescent="0.3">
      <c r="B150" s="178" t="s">
        <v>229</v>
      </c>
      <c r="C150" s="2"/>
      <c r="D150" s="2"/>
      <c r="E150" s="180">
        <v>265</v>
      </c>
      <c r="G150" s="178" t="s">
        <v>229</v>
      </c>
      <c r="H150" s="2"/>
      <c r="I150" s="2"/>
      <c r="J150" s="180">
        <v>335</v>
      </c>
      <c r="L150" s="178" t="s">
        <v>229</v>
      </c>
      <c r="M150" s="2"/>
      <c r="N150" s="2"/>
      <c r="O150" s="180">
        <v>455</v>
      </c>
    </row>
    <row r="151" spans="2:15" ht="15" thickBot="1" x14ac:dyDescent="0.35">
      <c r="B151" s="91" t="s">
        <v>105</v>
      </c>
      <c r="C151" s="2"/>
      <c r="D151" s="2"/>
      <c r="E151" s="101">
        <v>4</v>
      </c>
      <c r="G151" s="91" t="s">
        <v>105</v>
      </c>
      <c r="H151" s="2"/>
      <c r="I151" s="2"/>
      <c r="J151" s="101">
        <v>70</v>
      </c>
      <c r="L151" s="91" t="s">
        <v>105</v>
      </c>
      <c r="M151" s="2"/>
      <c r="N151" s="2"/>
      <c r="O151" s="101">
        <v>120</v>
      </c>
    </row>
    <row r="152" spans="2:15" ht="15.6" thickTop="1" thickBot="1" x14ac:dyDescent="0.35">
      <c r="B152" s="181" t="s">
        <v>39</v>
      </c>
      <c r="C152" s="93"/>
      <c r="D152" s="93"/>
      <c r="E152" s="179"/>
      <c r="G152" s="181" t="s">
        <v>39</v>
      </c>
      <c r="H152" s="93"/>
      <c r="I152" s="93"/>
      <c r="J152" s="179"/>
      <c r="L152" s="181" t="s">
        <v>39</v>
      </c>
      <c r="M152" s="93"/>
      <c r="N152" s="93"/>
      <c r="O152" s="179"/>
    </row>
    <row r="153" spans="2:15" ht="15" thickTop="1" x14ac:dyDescent="0.3">
      <c r="B153" s="91" t="s">
        <v>101</v>
      </c>
      <c r="C153" s="2"/>
      <c r="D153" s="2"/>
      <c r="E153" s="100">
        <v>3185</v>
      </c>
      <c r="G153" s="91" t="s">
        <v>101</v>
      </c>
      <c r="H153" s="2"/>
      <c r="I153" s="2"/>
      <c r="J153" s="100">
        <v>3410</v>
      </c>
      <c r="L153" s="91" t="s">
        <v>101</v>
      </c>
      <c r="M153" s="2"/>
      <c r="N153" s="2"/>
      <c r="O153" s="100">
        <v>4535</v>
      </c>
    </row>
    <row r="154" spans="2:15" x14ac:dyDescent="0.3">
      <c r="B154" s="91" t="s">
        <v>104</v>
      </c>
      <c r="C154" s="2"/>
      <c r="D154" s="2"/>
      <c r="E154" s="101">
        <v>400</v>
      </c>
      <c r="G154" s="91" t="s">
        <v>104</v>
      </c>
      <c r="H154" s="2"/>
      <c r="I154" s="2"/>
      <c r="J154" s="101">
        <v>225</v>
      </c>
      <c r="L154" s="91" t="s">
        <v>104</v>
      </c>
      <c r="M154" s="2"/>
      <c r="N154" s="2"/>
      <c r="O154" s="101">
        <v>1125</v>
      </c>
    </row>
    <row r="155" spans="2:15" ht="15" thickBot="1" x14ac:dyDescent="0.35">
      <c r="B155" s="105" t="s">
        <v>95</v>
      </c>
      <c r="C155" s="104"/>
      <c r="D155" s="95"/>
      <c r="E155" s="103">
        <v>1225</v>
      </c>
      <c r="G155" s="105" t="s">
        <v>95</v>
      </c>
      <c r="H155" s="104"/>
      <c r="I155" s="95"/>
      <c r="J155" s="103">
        <v>1700</v>
      </c>
      <c r="L155" s="105" t="s">
        <v>95</v>
      </c>
      <c r="M155" s="104"/>
      <c r="N155" s="95"/>
      <c r="O155" s="103">
        <v>1775</v>
      </c>
    </row>
    <row r="156" spans="2:15" ht="15" thickTop="1" x14ac:dyDescent="0.3">
      <c r="B156" s="91" t="s">
        <v>102</v>
      </c>
      <c r="C156" s="2"/>
      <c r="D156" s="2"/>
      <c r="E156" s="100">
        <v>219</v>
      </c>
      <c r="G156" s="91" t="s">
        <v>102</v>
      </c>
      <c r="H156" s="2"/>
      <c r="I156" s="2"/>
      <c r="J156" s="100">
        <v>245</v>
      </c>
      <c r="L156" s="91" t="s">
        <v>102</v>
      </c>
      <c r="M156" s="2"/>
      <c r="N156" s="2"/>
      <c r="O156" s="100">
        <v>279</v>
      </c>
    </row>
    <row r="157" spans="2:15" x14ac:dyDescent="0.3">
      <c r="B157" s="91" t="s">
        <v>106</v>
      </c>
      <c r="C157" s="2"/>
      <c r="D157" s="2"/>
      <c r="E157" s="101">
        <v>34</v>
      </c>
      <c r="G157" s="91" t="s">
        <v>106</v>
      </c>
      <c r="H157" s="2"/>
      <c r="I157" s="2"/>
      <c r="J157" s="101">
        <v>26</v>
      </c>
      <c r="L157" s="91" t="s">
        <v>106</v>
      </c>
      <c r="M157" s="2"/>
      <c r="N157" s="2"/>
      <c r="O157" s="101">
        <v>34</v>
      </c>
    </row>
    <row r="158" spans="2:15" ht="15" thickBot="1" x14ac:dyDescent="0.35">
      <c r="B158" s="105" t="s">
        <v>98</v>
      </c>
      <c r="C158" s="95"/>
      <c r="D158" s="95"/>
      <c r="E158" s="103">
        <v>46</v>
      </c>
      <c r="G158" s="105" t="s">
        <v>98</v>
      </c>
      <c r="H158" s="95"/>
      <c r="I158" s="95"/>
      <c r="J158" s="103">
        <v>90</v>
      </c>
      <c r="L158" s="105" t="s">
        <v>98</v>
      </c>
      <c r="M158" s="95"/>
      <c r="N158" s="95"/>
      <c r="O158" s="103">
        <v>176</v>
      </c>
    </row>
    <row r="159" spans="2:15" ht="15.6" thickTop="1" thickBot="1" x14ac:dyDescent="0.35">
      <c r="B159" s="92" t="s">
        <v>230</v>
      </c>
      <c r="C159" s="182"/>
      <c r="D159" s="93"/>
      <c r="E159" s="186"/>
      <c r="G159" s="92" t="s">
        <v>230</v>
      </c>
      <c r="H159" s="182"/>
      <c r="I159" s="93"/>
      <c r="J159" s="186"/>
      <c r="L159" s="92" t="s">
        <v>230</v>
      </c>
      <c r="M159" s="182"/>
      <c r="N159" s="93"/>
      <c r="O159" s="186"/>
    </row>
    <row r="160" spans="2:15" ht="15" thickTop="1" x14ac:dyDescent="0.3">
      <c r="B160" s="91" t="s">
        <v>302</v>
      </c>
      <c r="C160" s="174"/>
      <c r="D160" s="2"/>
      <c r="E160" s="102">
        <v>10</v>
      </c>
      <c r="G160" s="91" t="s">
        <v>302</v>
      </c>
      <c r="H160" s="174"/>
      <c r="I160" s="2"/>
      <c r="J160" s="102">
        <v>10</v>
      </c>
      <c r="L160" s="91" t="s">
        <v>302</v>
      </c>
      <c r="M160" s="174"/>
      <c r="N160" s="2"/>
      <c r="O160" s="102">
        <v>10</v>
      </c>
    </row>
    <row r="161" spans="2:15" x14ac:dyDescent="0.3">
      <c r="B161" s="91" t="s">
        <v>368</v>
      </c>
      <c r="C161" s="183"/>
      <c r="D161" s="184"/>
      <c r="E161" s="100">
        <v>200</v>
      </c>
      <c r="G161" s="91" t="s">
        <v>368</v>
      </c>
      <c r="H161" s="183"/>
      <c r="I161" s="184"/>
      <c r="J161" s="100">
        <v>200</v>
      </c>
      <c r="L161" s="91" t="s">
        <v>368</v>
      </c>
      <c r="M161" s="183"/>
      <c r="N161" s="184"/>
      <c r="O161" s="100">
        <v>200</v>
      </c>
    </row>
    <row r="162" spans="2:15" x14ac:dyDescent="0.3">
      <c r="B162" s="91" t="s">
        <v>423</v>
      </c>
      <c r="C162" s="183"/>
      <c r="D162" s="184"/>
      <c r="E162" s="100">
        <v>0</v>
      </c>
      <c r="G162" s="91" t="s">
        <v>423</v>
      </c>
      <c r="H162" s="183"/>
      <c r="I162" s="184"/>
      <c r="J162" s="100">
        <v>0</v>
      </c>
      <c r="L162" s="91" t="s">
        <v>423</v>
      </c>
      <c r="M162" s="183"/>
      <c r="N162" s="184"/>
      <c r="O162" s="100">
        <v>0</v>
      </c>
    </row>
    <row r="163" spans="2:15" x14ac:dyDescent="0.3">
      <c r="B163" s="91" t="s">
        <v>250</v>
      </c>
      <c r="C163" s="183"/>
      <c r="D163" s="184"/>
      <c r="E163" s="100">
        <v>0</v>
      </c>
      <c r="G163" s="91" t="s">
        <v>250</v>
      </c>
      <c r="H163" s="183"/>
      <c r="I163" s="184"/>
      <c r="J163" s="100">
        <v>0</v>
      </c>
      <c r="L163" s="91" t="s">
        <v>250</v>
      </c>
      <c r="M163" s="183"/>
      <c r="N163" s="184"/>
      <c r="O163" s="100">
        <v>0</v>
      </c>
    </row>
    <row r="164" spans="2:15" x14ac:dyDescent="0.3">
      <c r="B164" s="91" t="s">
        <v>93</v>
      </c>
      <c r="C164" s="2"/>
      <c r="D164" s="2"/>
      <c r="E164" s="99">
        <v>1590</v>
      </c>
      <c r="G164" s="91" t="s">
        <v>93</v>
      </c>
      <c r="H164" s="2"/>
      <c r="I164" s="2"/>
      <c r="J164" s="99">
        <v>1720</v>
      </c>
      <c r="L164" s="91" t="s">
        <v>93</v>
      </c>
      <c r="M164" s="2"/>
      <c r="N164" s="2"/>
      <c r="O164" s="99">
        <v>1850</v>
      </c>
    </row>
    <row r="165" spans="2:15" x14ac:dyDescent="0.3">
      <c r="B165" s="91" t="s">
        <v>100</v>
      </c>
      <c r="C165" s="2"/>
      <c r="D165" s="2"/>
      <c r="E165" s="98">
        <v>99.375</v>
      </c>
      <c r="G165" s="91" t="s">
        <v>100</v>
      </c>
      <c r="H165" s="2"/>
      <c r="I165" s="2"/>
      <c r="J165" s="98">
        <v>107.5</v>
      </c>
      <c r="L165" s="91" t="s">
        <v>100</v>
      </c>
      <c r="M165" s="2"/>
      <c r="N165" s="2"/>
      <c r="O165" s="98">
        <v>115.625</v>
      </c>
    </row>
    <row r="166" spans="2:15" x14ac:dyDescent="0.3">
      <c r="B166" s="91" t="s">
        <v>369</v>
      </c>
      <c r="C166" s="2"/>
      <c r="D166" s="2"/>
      <c r="E166" s="99">
        <v>75</v>
      </c>
      <c r="G166" s="91" t="s">
        <v>369</v>
      </c>
      <c r="H166" s="2"/>
      <c r="I166" s="2"/>
      <c r="J166" s="99">
        <v>145</v>
      </c>
      <c r="L166" s="91" t="s">
        <v>369</v>
      </c>
      <c r="M166" s="2"/>
      <c r="N166" s="2"/>
      <c r="O166" s="99">
        <v>265</v>
      </c>
    </row>
    <row r="167" spans="2:15" ht="15" thickBot="1" x14ac:dyDescent="0.35">
      <c r="B167" s="91" t="s">
        <v>96</v>
      </c>
      <c r="C167" s="2"/>
      <c r="D167" s="185"/>
      <c r="E167" s="258">
        <v>394</v>
      </c>
      <c r="G167" s="91" t="s">
        <v>96</v>
      </c>
      <c r="H167" s="2"/>
      <c r="I167" s="185"/>
      <c r="J167" s="258">
        <v>75</v>
      </c>
      <c r="L167" s="91" t="s">
        <v>96</v>
      </c>
      <c r="M167" s="2"/>
      <c r="N167" s="185"/>
      <c r="O167" s="258">
        <v>164</v>
      </c>
    </row>
    <row r="168" spans="2:15" ht="15.6" thickTop="1" thickBot="1" x14ac:dyDescent="0.35">
      <c r="B168" s="96" t="s">
        <v>94</v>
      </c>
      <c r="C168" s="97"/>
      <c r="D168" s="187"/>
      <c r="E168" s="188">
        <v>1665</v>
      </c>
      <c r="G168" s="96" t="s">
        <v>94</v>
      </c>
      <c r="H168" s="97"/>
      <c r="I168" s="187"/>
      <c r="J168" s="188">
        <v>1865</v>
      </c>
      <c r="L168" s="96" t="s">
        <v>94</v>
      </c>
      <c r="M168" s="97"/>
      <c r="N168" s="187"/>
      <c r="O168" s="188">
        <v>2115</v>
      </c>
    </row>
    <row r="169" spans="2:15" ht="15.6" thickTop="1" thickBot="1" x14ac:dyDescent="0.35">
      <c r="B169" s="96" t="s">
        <v>99</v>
      </c>
      <c r="C169" s="97"/>
      <c r="D169" s="187"/>
      <c r="E169" s="199">
        <v>1665</v>
      </c>
      <c r="G169" s="96" t="s">
        <v>99</v>
      </c>
      <c r="H169" s="97"/>
      <c r="I169" s="187"/>
      <c r="J169" s="199">
        <v>1865</v>
      </c>
      <c r="L169" s="96" t="s">
        <v>99</v>
      </c>
      <c r="M169" s="97"/>
      <c r="N169" s="187"/>
      <c r="O169" s="199">
        <v>2115</v>
      </c>
    </row>
    <row r="170" spans="2:15" ht="15" thickTop="1" x14ac:dyDescent="0.3">
      <c r="E170" s="290"/>
      <c r="J170" s="290"/>
      <c r="O170" s="290"/>
    </row>
    <row r="171" spans="2:15" x14ac:dyDescent="0.3">
      <c r="E171" s="290"/>
      <c r="J171" s="290"/>
      <c r="O171" s="290"/>
    </row>
    <row r="172" spans="2:15" x14ac:dyDescent="0.3">
      <c r="E172" s="290"/>
      <c r="J172" s="290"/>
      <c r="O172" s="290"/>
    </row>
    <row r="173" spans="2:15" x14ac:dyDescent="0.3">
      <c r="E173" s="290"/>
      <c r="J173" s="290"/>
      <c r="O173" s="290"/>
    </row>
    <row r="174" spans="2:15" ht="15" thickBot="1" x14ac:dyDescent="0.35"/>
    <row r="175" spans="2:15" ht="15.6" thickTop="1" thickBot="1" x14ac:dyDescent="0.35">
      <c r="B175" s="359" t="s">
        <v>92</v>
      </c>
      <c r="C175" s="360"/>
      <c r="D175" s="259" t="s">
        <v>425</v>
      </c>
      <c r="E175" s="114">
        <v>45245</v>
      </c>
      <c r="G175" s="359" t="s">
        <v>92</v>
      </c>
      <c r="H175" s="360"/>
      <c r="I175" s="259" t="s">
        <v>425</v>
      </c>
      <c r="J175" s="114">
        <v>45275</v>
      </c>
      <c r="L175" s="359" t="s">
        <v>92</v>
      </c>
      <c r="M175" s="360"/>
      <c r="N175" s="259" t="s">
        <v>425</v>
      </c>
      <c r="O175" s="114">
        <v>45306</v>
      </c>
    </row>
    <row r="176" spans="2:15" ht="15.6" thickTop="1" thickBot="1" x14ac:dyDescent="0.35">
      <c r="B176" s="361"/>
      <c r="C176" s="362"/>
      <c r="D176" s="259" t="s">
        <v>426</v>
      </c>
      <c r="E176" s="114">
        <v>44788</v>
      </c>
      <c r="G176" s="361"/>
      <c r="H176" s="362"/>
      <c r="I176" s="259" t="s">
        <v>426</v>
      </c>
      <c r="J176" s="114">
        <v>44788</v>
      </c>
      <c r="L176" s="361"/>
      <c r="M176" s="362"/>
      <c r="N176" s="259" t="s">
        <v>426</v>
      </c>
      <c r="O176" s="114">
        <v>44788</v>
      </c>
    </row>
    <row r="177" spans="2:15" ht="15.6" thickTop="1" thickBot="1" x14ac:dyDescent="0.35">
      <c r="B177" s="363"/>
      <c r="C177" s="364"/>
      <c r="D177" s="259" t="s">
        <v>424</v>
      </c>
      <c r="E177" s="114">
        <v>45274</v>
      </c>
      <c r="G177" s="363"/>
      <c r="H177" s="364"/>
      <c r="I177" s="259" t="s">
        <v>424</v>
      </c>
      <c r="J177" s="114">
        <v>45305</v>
      </c>
      <c r="L177" s="363"/>
      <c r="M177" s="364"/>
      <c r="N177" s="259" t="s">
        <v>424</v>
      </c>
      <c r="O177" s="114">
        <v>45336</v>
      </c>
    </row>
    <row r="178" spans="2:15" ht="15.6" thickTop="1" thickBot="1" x14ac:dyDescent="0.35">
      <c r="B178" s="91" t="s">
        <v>91</v>
      </c>
      <c r="C178" s="2"/>
      <c r="D178" s="2"/>
      <c r="E178" s="173">
        <v>2080</v>
      </c>
      <c r="G178" s="91" t="s">
        <v>91</v>
      </c>
      <c r="H178" s="2"/>
      <c r="I178" s="2"/>
      <c r="J178" s="173">
        <v>2210</v>
      </c>
      <c r="L178" s="91" t="s">
        <v>91</v>
      </c>
      <c r="M178" s="2"/>
      <c r="N178" s="2"/>
      <c r="O178" s="173">
        <v>2340</v>
      </c>
    </row>
    <row r="179" spans="2:15" ht="15.6" thickTop="1" thickBot="1" x14ac:dyDescent="0.35">
      <c r="B179" s="92" t="s">
        <v>170</v>
      </c>
      <c r="C179" s="93"/>
      <c r="D179" s="93"/>
      <c r="E179" s="179"/>
      <c r="G179" s="92" t="s">
        <v>170</v>
      </c>
      <c r="H179" s="93"/>
      <c r="I179" s="93"/>
      <c r="J179" s="179"/>
      <c r="L179" s="92" t="s">
        <v>170</v>
      </c>
      <c r="M179" s="93"/>
      <c r="N179" s="93"/>
      <c r="O179" s="179"/>
    </row>
    <row r="180" spans="2:15" ht="15" thickTop="1" x14ac:dyDescent="0.3">
      <c r="B180" s="177" t="s">
        <v>227</v>
      </c>
      <c r="C180" s="2"/>
      <c r="D180" s="2"/>
      <c r="E180" s="172">
        <v>6760</v>
      </c>
      <c r="G180" s="177" t="s">
        <v>227</v>
      </c>
      <c r="H180" s="2"/>
      <c r="I180" s="2"/>
      <c r="J180" s="172">
        <v>6760</v>
      </c>
      <c r="L180" s="177" t="s">
        <v>227</v>
      </c>
      <c r="M180" s="2"/>
      <c r="N180" s="2"/>
      <c r="O180" s="172">
        <v>7360</v>
      </c>
    </row>
    <row r="181" spans="2:15" x14ac:dyDescent="0.3">
      <c r="B181" s="178" t="s">
        <v>228</v>
      </c>
      <c r="C181" s="2"/>
      <c r="D181" s="2"/>
      <c r="E181" s="100">
        <v>100</v>
      </c>
      <c r="G181" s="178" t="s">
        <v>228</v>
      </c>
      <c r="H181" s="2"/>
      <c r="I181" s="2"/>
      <c r="J181" s="100">
        <v>100</v>
      </c>
      <c r="L181" s="178" t="s">
        <v>228</v>
      </c>
      <c r="M181" s="2"/>
      <c r="N181" s="2"/>
      <c r="O181" s="100">
        <v>100</v>
      </c>
    </row>
    <row r="182" spans="2:15" x14ac:dyDescent="0.3">
      <c r="B182" s="91" t="s">
        <v>103</v>
      </c>
      <c r="C182" s="2"/>
      <c r="D182" s="2"/>
      <c r="E182" s="101">
        <v>450</v>
      </c>
      <c r="G182" s="91" t="s">
        <v>103</v>
      </c>
      <c r="H182" s="2"/>
      <c r="I182" s="2"/>
      <c r="J182" s="101">
        <v>0</v>
      </c>
      <c r="L182" s="91" t="s">
        <v>103</v>
      </c>
      <c r="M182" s="2"/>
      <c r="N182" s="2"/>
      <c r="O182" s="101">
        <v>600</v>
      </c>
    </row>
    <row r="183" spans="2:15" x14ac:dyDescent="0.3">
      <c r="B183" s="178" t="s">
        <v>229</v>
      </c>
      <c r="C183" s="2"/>
      <c r="D183" s="2"/>
      <c r="E183" s="180">
        <v>491</v>
      </c>
      <c r="G183" s="178" t="s">
        <v>229</v>
      </c>
      <c r="H183" s="2"/>
      <c r="I183" s="2"/>
      <c r="J183" s="180">
        <v>491</v>
      </c>
      <c r="L183" s="178" t="s">
        <v>229</v>
      </c>
      <c r="M183" s="2"/>
      <c r="N183" s="2"/>
      <c r="O183" s="180">
        <v>521</v>
      </c>
    </row>
    <row r="184" spans="2:15" ht="15" thickBot="1" x14ac:dyDescent="0.35">
      <c r="B184" s="91" t="s">
        <v>105</v>
      </c>
      <c r="C184" s="2"/>
      <c r="D184" s="2"/>
      <c r="E184" s="101">
        <v>36</v>
      </c>
      <c r="G184" s="91" t="s">
        <v>105</v>
      </c>
      <c r="H184" s="2"/>
      <c r="I184" s="2"/>
      <c r="J184" s="101">
        <v>0</v>
      </c>
      <c r="L184" s="91" t="s">
        <v>105</v>
      </c>
      <c r="M184" s="2"/>
      <c r="N184" s="2"/>
      <c r="O184" s="101">
        <v>30</v>
      </c>
    </row>
    <row r="185" spans="2:15" ht="15.6" thickTop="1" thickBot="1" x14ac:dyDescent="0.35">
      <c r="B185" s="181" t="s">
        <v>39</v>
      </c>
      <c r="C185" s="93"/>
      <c r="D185" s="93"/>
      <c r="E185" s="179"/>
      <c r="G185" s="181" t="s">
        <v>39</v>
      </c>
      <c r="H185" s="93"/>
      <c r="I185" s="93"/>
      <c r="J185" s="179"/>
      <c r="L185" s="181" t="s">
        <v>39</v>
      </c>
      <c r="M185" s="93"/>
      <c r="N185" s="93"/>
      <c r="O185" s="179"/>
    </row>
    <row r="186" spans="2:15" ht="15" thickTop="1" x14ac:dyDescent="0.3">
      <c r="B186" s="91" t="s">
        <v>101</v>
      </c>
      <c r="C186" s="2"/>
      <c r="D186" s="2"/>
      <c r="E186" s="100">
        <v>4667.16</v>
      </c>
      <c r="G186" s="91" t="s">
        <v>101</v>
      </c>
      <c r="H186" s="2"/>
      <c r="I186" s="2"/>
      <c r="J186" s="100">
        <v>4799.3</v>
      </c>
      <c r="L186" s="91" t="s">
        <v>101</v>
      </c>
      <c r="M186" s="2"/>
      <c r="N186" s="2"/>
      <c r="O186" s="100">
        <v>5231.4400000000005</v>
      </c>
    </row>
    <row r="187" spans="2:15" x14ac:dyDescent="0.3">
      <c r="B187" s="91" t="s">
        <v>104</v>
      </c>
      <c r="C187" s="2"/>
      <c r="D187" s="2"/>
      <c r="E187" s="101">
        <v>132.16</v>
      </c>
      <c r="G187" s="91" t="s">
        <v>104</v>
      </c>
      <c r="H187" s="2"/>
      <c r="I187" s="2"/>
      <c r="J187" s="101">
        <v>132.13999999999999</v>
      </c>
      <c r="L187" s="91" t="s">
        <v>104</v>
      </c>
      <c r="M187" s="2"/>
      <c r="N187" s="2"/>
      <c r="O187" s="101">
        <v>182.14</v>
      </c>
    </row>
    <row r="188" spans="2:15" ht="15" thickBot="1" x14ac:dyDescent="0.35">
      <c r="B188" s="105" t="s">
        <v>95</v>
      </c>
      <c r="C188" s="104"/>
      <c r="D188" s="95"/>
      <c r="E188" s="103">
        <v>2092.84</v>
      </c>
      <c r="G188" s="105" t="s">
        <v>95</v>
      </c>
      <c r="H188" s="104"/>
      <c r="I188" s="95"/>
      <c r="J188" s="103">
        <v>1960.6999999999998</v>
      </c>
      <c r="L188" s="105" t="s">
        <v>95</v>
      </c>
      <c r="M188" s="104"/>
      <c r="N188" s="95"/>
      <c r="O188" s="103">
        <v>2128.5599999999995</v>
      </c>
    </row>
    <row r="189" spans="2:15" ht="15" thickTop="1" x14ac:dyDescent="0.3">
      <c r="B189" s="91" t="s">
        <v>102</v>
      </c>
      <c r="C189" s="2"/>
      <c r="D189" s="2"/>
      <c r="E189" s="100">
        <v>315</v>
      </c>
      <c r="G189" s="91" t="s">
        <v>102</v>
      </c>
      <c r="H189" s="2"/>
      <c r="I189" s="2"/>
      <c r="J189" s="100">
        <v>360</v>
      </c>
      <c r="L189" s="91" t="s">
        <v>102</v>
      </c>
      <c r="M189" s="2"/>
      <c r="N189" s="2"/>
      <c r="O189" s="100">
        <v>419</v>
      </c>
    </row>
    <row r="190" spans="2:15" x14ac:dyDescent="0.3">
      <c r="B190" s="91" t="s">
        <v>106</v>
      </c>
      <c r="C190" s="2"/>
      <c r="D190" s="2"/>
      <c r="E190" s="101">
        <v>37.5</v>
      </c>
      <c r="G190" s="91" t="s">
        <v>106</v>
      </c>
      <c r="H190" s="2"/>
      <c r="I190" s="2"/>
      <c r="J190" s="101">
        <v>45</v>
      </c>
      <c r="L190" s="91" t="s">
        <v>106</v>
      </c>
      <c r="M190" s="2"/>
      <c r="N190" s="2"/>
      <c r="O190" s="101">
        <v>49</v>
      </c>
    </row>
    <row r="191" spans="2:15" ht="15" thickBot="1" x14ac:dyDescent="0.35">
      <c r="B191" s="105" t="s">
        <v>98</v>
      </c>
      <c r="C191" s="95"/>
      <c r="D191" s="95"/>
      <c r="E191" s="103">
        <v>176</v>
      </c>
      <c r="G191" s="105" t="s">
        <v>98</v>
      </c>
      <c r="H191" s="95"/>
      <c r="I191" s="95"/>
      <c r="J191" s="103">
        <v>131</v>
      </c>
      <c r="L191" s="105" t="s">
        <v>98</v>
      </c>
      <c r="M191" s="95"/>
      <c r="N191" s="95"/>
      <c r="O191" s="103">
        <v>102</v>
      </c>
    </row>
    <row r="192" spans="2:15" ht="15.6" thickTop="1" thickBot="1" x14ac:dyDescent="0.35">
      <c r="B192" s="92" t="s">
        <v>230</v>
      </c>
      <c r="C192" s="182"/>
      <c r="D192" s="93"/>
      <c r="E192" s="186"/>
      <c r="G192" s="92" t="s">
        <v>230</v>
      </c>
      <c r="H192" s="182"/>
      <c r="I192" s="93"/>
      <c r="J192" s="186"/>
      <c r="L192" s="92" t="s">
        <v>230</v>
      </c>
      <c r="M192" s="182"/>
      <c r="N192" s="93"/>
      <c r="O192" s="186"/>
    </row>
    <row r="193" spans="2:15" ht="15" thickTop="1" x14ac:dyDescent="0.3">
      <c r="B193" s="91" t="s">
        <v>302</v>
      </c>
      <c r="C193" s="174"/>
      <c r="D193" s="2"/>
      <c r="E193" s="102">
        <v>11.5</v>
      </c>
      <c r="G193" s="91" t="s">
        <v>302</v>
      </c>
      <c r="H193" s="174"/>
      <c r="I193" s="2"/>
      <c r="J193" s="102">
        <v>11.5</v>
      </c>
      <c r="L193" s="91" t="s">
        <v>302</v>
      </c>
      <c r="M193" s="174"/>
      <c r="N193" s="2"/>
      <c r="O193" s="102">
        <v>11.5</v>
      </c>
    </row>
    <row r="194" spans="2:15" x14ac:dyDescent="0.3">
      <c r="B194" s="91" t="s">
        <v>368</v>
      </c>
      <c r="C194" s="183"/>
      <c r="D194" s="184"/>
      <c r="E194" s="100">
        <v>200</v>
      </c>
      <c r="G194" s="91" t="s">
        <v>368</v>
      </c>
      <c r="H194" s="183"/>
      <c r="I194" s="184"/>
      <c r="J194" s="100">
        <v>200</v>
      </c>
      <c r="L194" s="91" t="s">
        <v>368</v>
      </c>
      <c r="M194" s="183"/>
      <c r="N194" s="184"/>
      <c r="O194" s="100">
        <v>200</v>
      </c>
    </row>
    <row r="195" spans="2:15" x14ac:dyDescent="0.3">
      <c r="B195" s="91" t="s">
        <v>423</v>
      </c>
      <c r="C195" s="183"/>
      <c r="D195" s="184"/>
      <c r="E195" s="100">
        <v>0</v>
      </c>
      <c r="G195" s="91" t="s">
        <v>423</v>
      </c>
      <c r="H195" s="183"/>
      <c r="I195" s="184"/>
      <c r="J195" s="100">
        <v>0</v>
      </c>
      <c r="L195" s="91" t="s">
        <v>423</v>
      </c>
      <c r="M195" s="183"/>
      <c r="N195" s="184"/>
      <c r="O195" s="100">
        <v>250</v>
      </c>
    </row>
    <row r="196" spans="2:15" x14ac:dyDescent="0.3">
      <c r="B196" s="91" t="s">
        <v>250</v>
      </c>
      <c r="C196" s="183"/>
      <c r="D196" s="184"/>
      <c r="E196" s="100">
        <v>0</v>
      </c>
      <c r="G196" s="91" t="s">
        <v>250</v>
      </c>
      <c r="H196" s="183"/>
      <c r="I196" s="184"/>
      <c r="J196" s="100">
        <v>0</v>
      </c>
      <c r="L196" s="91" t="s">
        <v>250</v>
      </c>
      <c r="M196" s="183"/>
      <c r="N196" s="184"/>
      <c r="O196" s="100">
        <v>10</v>
      </c>
    </row>
    <row r="197" spans="2:15" x14ac:dyDescent="0.3">
      <c r="B197" s="91" t="s">
        <v>93</v>
      </c>
      <c r="C197" s="2"/>
      <c r="D197" s="2"/>
      <c r="E197" s="99">
        <v>1980</v>
      </c>
      <c r="G197" s="91" t="s">
        <v>93</v>
      </c>
      <c r="H197" s="2"/>
      <c r="I197" s="2"/>
      <c r="J197" s="99">
        <v>2110</v>
      </c>
      <c r="L197" s="91" t="s">
        <v>93</v>
      </c>
      <c r="M197" s="2"/>
      <c r="N197" s="2"/>
      <c r="O197" s="99">
        <v>2240</v>
      </c>
    </row>
    <row r="198" spans="2:15" x14ac:dyDescent="0.3">
      <c r="B198" s="91" t="s">
        <v>100</v>
      </c>
      <c r="C198" s="2"/>
      <c r="D198" s="2"/>
      <c r="E198" s="98">
        <v>123.75</v>
      </c>
      <c r="G198" s="91" t="s">
        <v>100</v>
      </c>
      <c r="H198" s="2"/>
      <c r="I198" s="2"/>
      <c r="J198" s="98">
        <v>131.875</v>
      </c>
      <c r="L198" s="91" t="s">
        <v>100</v>
      </c>
      <c r="M198" s="2"/>
      <c r="N198" s="2"/>
      <c r="O198" s="98">
        <v>140</v>
      </c>
    </row>
    <row r="199" spans="2:15" x14ac:dyDescent="0.3">
      <c r="B199" s="91" t="s">
        <v>369</v>
      </c>
      <c r="C199" s="2"/>
      <c r="D199" s="2"/>
      <c r="E199" s="99">
        <v>302.5</v>
      </c>
      <c r="G199" s="91" t="s">
        <v>369</v>
      </c>
      <c r="H199" s="2"/>
      <c r="I199" s="2"/>
      <c r="J199" s="99">
        <v>302.5</v>
      </c>
      <c r="L199" s="91" t="s">
        <v>369</v>
      </c>
      <c r="M199" s="2"/>
      <c r="N199" s="2"/>
      <c r="O199" s="99">
        <v>322.5</v>
      </c>
    </row>
    <row r="200" spans="2:15" ht="15" thickBot="1" x14ac:dyDescent="0.35">
      <c r="B200" s="91" t="s">
        <v>96</v>
      </c>
      <c r="C200" s="2"/>
      <c r="D200" s="185"/>
      <c r="E200" s="258">
        <v>13.66</v>
      </c>
      <c r="G200" s="91" t="s">
        <v>96</v>
      </c>
      <c r="H200" s="2"/>
      <c r="I200" s="185"/>
      <c r="J200" s="258">
        <v>320.8</v>
      </c>
      <c r="L200" s="91" t="s">
        <v>96</v>
      </c>
      <c r="M200" s="2"/>
      <c r="N200" s="185"/>
      <c r="O200" s="258">
        <v>331.94</v>
      </c>
    </row>
    <row r="201" spans="2:15" ht="15.6" thickTop="1" thickBot="1" x14ac:dyDescent="0.35">
      <c r="B201" s="96" t="s">
        <v>94</v>
      </c>
      <c r="C201" s="97"/>
      <c r="D201" s="187"/>
      <c r="E201" s="188">
        <v>2282.5</v>
      </c>
      <c r="G201" s="96" t="s">
        <v>94</v>
      </c>
      <c r="H201" s="97"/>
      <c r="I201" s="187"/>
      <c r="J201" s="188">
        <v>2412.5</v>
      </c>
      <c r="L201" s="96" t="s">
        <v>94</v>
      </c>
      <c r="M201" s="97"/>
      <c r="N201" s="187"/>
      <c r="O201" s="188">
        <v>2562.5</v>
      </c>
    </row>
    <row r="202" spans="2:15" ht="15.6" thickTop="1" thickBot="1" x14ac:dyDescent="0.35">
      <c r="B202" s="96" t="s">
        <v>99</v>
      </c>
      <c r="C202" s="97"/>
      <c r="D202" s="187"/>
      <c r="E202" s="199">
        <v>2282.5</v>
      </c>
      <c r="G202" s="96" t="s">
        <v>99</v>
      </c>
      <c r="H202" s="97"/>
      <c r="I202" s="187"/>
      <c r="J202" s="199">
        <v>2412.5</v>
      </c>
      <c r="L202" s="96" t="s">
        <v>99</v>
      </c>
      <c r="M202" s="97"/>
      <c r="N202" s="187"/>
      <c r="O202" s="199">
        <v>2562.4999999999995</v>
      </c>
    </row>
    <row r="203" spans="2:15" ht="15" thickTop="1" x14ac:dyDescent="0.3">
      <c r="E203" s="290"/>
      <c r="J203" s="290"/>
      <c r="O203" s="290"/>
    </row>
    <row r="204" spans="2:15" x14ac:dyDescent="0.3">
      <c r="E204" s="290"/>
      <c r="J204" s="290"/>
      <c r="O204" s="290"/>
    </row>
    <row r="205" spans="2:15" x14ac:dyDescent="0.3">
      <c r="E205" s="290"/>
      <c r="J205" s="290"/>
      <c r="O205" s="290"/>
    </row>
    <row r="206" spans="2:15" x14ac:dyDescent="0.3">
      <c r="E206" s="290"/>
      <c r="J206" s="290"/>
      <c r="O206" s="290"/>
    </row>
    <row r="207" spans="2:15" ht="15" thickBot="1" x14ac:dyDescent="0.35"/>
    <row r="208" spans="2:15" ht="15.6" thickTop="1" thickBot="1" x14ac:dyDescent="0.35">
      <c r="B208" s="359" t="s">
        <v>92</v>
      </c>
      <c r="C208" s="360"/>
      <c r="D208" s="259" t="s">
        <v>425</v>
      </c>
      <c r="E208" s="114">
        <v>45337</v>
      </c>
      <c r="G208" s="359" t="s">
        <v>92</v>
      </c>
      <c r="H208" s="360"/>
      <c r="I208" s="259" t="s">
        <v>425</v>
      </c>
      <c r="J208" s="114">
        <v>45366</v>
      </c>
      <c r="L208" s="359" t="s">
        <v>92</v>
      </c>
      <c r="M208" s="360"/>
      <c r="N208" s="259" t="s">
        <v>425</v>
      </c>
      <c r="O208" s="114">
        <v>45397</v>
      </c>
    </row>
    <row r="209" spans="2:15" ht="15.6" thickTop="1" thickBot="1" x14ac:dyDescent="0.35">
      <c r="B209" s="361"/>
      <c r="C209" s="362"/>
      <c r="D209" s="259" t="s">
        <v>426</v>
      </c>
      <c r="E209" s="114">
        <v>44788</v>
      </c>
      <c r="G209" s="361"/>
      <c r="H209" s="362"/>
      <c r="I209" s="259" t="s">
        <v>426</v>
      </c>
      <c r="J209" s="114">
        <v>44788</v>
      </c>
      <c r="L209" s="361"/>
      <c r="M209" s="362"/>
      <c r="N209" s="259" t="s">
        <v>426</v>
      </c>
      <c r="O209" s="114">
        <v>44788</v>
      </c>
    </row>
    <row r="210" spans="2:15" ht="15.6" thickTop="1" thickBot="1" x14ac:dyDescent="0.35">
      <c r="B210" s="363"/>
      <c r="C210" s="364"/>
      <c r="D210" s="259" t="s">
        <v>424</v>
      </c>
      <c r="E210" s="114">
        <v>45365</v>
      </c>
      <c r="G210" s="363"/>
      <c r="H210" s="364"/>
      <c r="I210" s="259" t="s">
        <v>424</v>
      </c>
      <c r="J210" s="114">
        <v>45396</v>
      </c>
      <c r="L210" s="363"/>
      <c r="M210" s="364"/>
      <c r="N210" s="259" t="s">
        <v>424</v>
      </c>
      <c r="O210" s="114">
        <v>45426</v>
      </c>
    </row>
    <row r="211" spans="2:15" ht="15.6" thickTop="1" thickBot="1" x14ac:dyDescent="0.35">
      <c r="B211" s="91" t="s">
        <v>91</v>
      </c>
      <c r="C211" s="2"/>
      <c r="D211" s="2"/>
      <c r="E211" s="173">
        <v>2470</v>
      </c>
      <c r="G211" s="91" t="s">
        <v>91</v>
      </c>
      <c r="H211" s="2"/>
      <c r="I211" s="2"/>
      <c r="J211" s="173">
        <v>2600</v>
      </c>
      <c r="L211" s="91" t="s">
        <v>91</v>
      </c>
      <c r="M211" s="2"/>
      <c r="N211" s="2"/>
      <c r="O211" s="173">
        <v>2730</v>
      </c>
    </row>
    <row r="212" spans="2:15" ht="15.6" thickTop="1" thickBot="1" x14ac:dyDescent="0.35">
      <c r="B212" s="92" t="s">
        <v>170</v>
      </c>
      <c r="C212" s="93"/>
      <c r="D212" s="93"/>
      <c r="E212" s="179"/>
      <c r="G212" s="92" t="s">
        <v>170</v>
      </c>
      <c r="H212" s="93"/>
      <c r="I212" s="93"/>
      <c r="J212" s="179"/>
      <c r="L212" s="92" t="s">
        <v>170</v>
      </c>
      <c r="M212" s="93"/>
      <c r="N212" s="93"/>
      <c r="O212" s="179"/>
    </row>
    <row r="213" spans="2:15" ht="15" thickTop="1" x14ac:dyDescent="0.3">
      <c r="B213" s="177" t="s">
        <v>227</v>
      </c>
      <c r="C213" s="2"/>
      <c r="D213" s="2"/>
      <c r="E213" s="172">
        <v>8060</v>
      </c>
      <c r="G213" s="177" t="s">
        <v>227</v>
      </c>
      <c r="H213" s="2"/>
      <c r="I213" s="2"/>
      <c r="J213" s="172">
        <v>10160</v>
      </c>
      <c r="L213" s="177" t="s">
        <v>227</v>
      </c>
      <c r="M213" s="2"/>
      <c r="N213" s="2"/>
      <c r="O213" s="172">
        <v>10310</v>
      </c>
    </row>
    <row r="214" spans="2:15" x14ac:dyDescent="0.3">
      <c r="B214" s="178" t="s">
        <v>228</v>
      </c>
      <c r="C214" s="2"/>
      <c r="D214" s="2"/>
      <c r="E214" s="100">
        <v>100</v>
      </c>
      <c r="G214" s="178" t="s">
        <v>228</v>
      </c>
      <c r="H214" s="2"/>
      <c r="I214" s="2"/>
      <c r="J214" s="100">
        <v>100</v>
      </c>
      <c r="L214" s="178" t="s">
        <v>228</v>
      </c>
      <c r="M214" s="2"/>
      <c r="N214" s="2"/>
      <c r="O214" s="100">
        <v>200</v>
      </c>
    </row>
    <row r="215" spans="2:15" x14ac:dyDescent="0.3">
      <c r="B215" s="91" t="s">
        <v>103</v>
      </c>
      <c r="C215" s="2"/>
      <c r="D215" s="2"/>
      <c r="E215" s="101">
        <v>700</v>
      </c>
      <c r="G215" s="91" t="s">
        <v>103</v>
      </c>
      <c r="H215" s="2"/>
      <c r="I215" s="2"/>
      <c r="J215" s="101">
        <v>2100</v>
      </c>
      <c r="L215" s="91" t="s">
        <v>103</v>
      </c>
      <c r="M215" s="2"/>
      <c r="N215" s="2"/>
      <c r="O215" s="101">
        <v>250</v>
      </c>
    </row>
    <row r="216" spans="2:15" x14ac:dyDescent="0.3">
      <c r="B216" s="178" t="s">
        <v>229</v>
      </c>
      <c r="C216" s="2"/>
      <c r="D216" s="2"/>
      <c r="E216" s="180">
        <v>589</v>
      </c>
      <c r="G216" s="178" t="s">
        <v>229</v>
      </c>
      <c r="H216" s="2"/>
      <c r="I216" s="2"/>
      <c r="J216" s="180">
        <v>975</v>
      </c>
      <c r="L216" s="178" t="s">
        <v>229</v>
      </c>
      <c r="M216" s="2"/>
      <c r="N216" s="2"/>
      <c r="O216" s="180">
        <v>984</v>
      </c>
    </row>
    <row r="217" spans="2:15" ht="15" thickBot="1" x14ac:dyDescent="0.35">
      <c r="B217" s="91" t="s">
        <v>105</v>
      </c>
      <c r="C217" s="2"/>
      <c r="D217" s="2"/>
      <c r="E217" s="101">
        <v>68</v>
      </c>
      <c r="G217" s="91" t="s">
        <v>105</v>
      </c>
      <c r="H217" s="2"/>
      <c r="I217" s="2"/>
      <c r="J217" s="101">
        <v>386</v>
      </c>
      <c r="L217" s="91" t="s">
        <v>105</v>
      </c>
      <c r="M217" s="2"/>
      <c r="N217" s="2"/>
      <c r="O217" s="101">
        <v>9</v>
      </c>
    </row>
    <row r="218" spans="2:15" ht="15.6" thickTop="1" thickBot="1" x14ac:dyDescent="0.35">
      <c r="B218" s="181" t="s">
        <v>39</v>
      </c>
      <c r="C218" s="93"/>
      <c r="D218" s="93"/>
      <c r="E218" s="179"/>
      <c r="G218" s="181" t="s">
        <v>39</v>
      </c>
      <c r="H218" s="93"/>
      <c r="I218" s="93"/>
      <c r="J218" s="179"/>
      <c r="L218" s="181" t="s">
        <v>39</v>
      </c>
      <c r="M218" s="93"/>
      <c r="N218" s="93"/>
      <c r="O218" s="179"/>
    </row>
    <row r="219" spans="2:15" ht="15" thickTop="1" x14ac:dyDescent="0.3">
      <c r="B219" s="91" t="s">
        <v>101</v>
      </c>
      <c r="C219" s="2"/>
      <c r="D219" s="2"/>
      <c r="E219" s="100">
        <v>5888.5800000000008</v>
      </c>
      <c r="G219" s="91" t="s">
        <v>101</v>
      </c>
      <c r="H219" s="2"/>
      <c r="I219" s="2"/>
      <c r="J219" s="100">
        <v>7390.7200000000012</v>
      </c>
      <c r="L219" s="91" t="s">
        <v>101</v>
      </c>
      <c r="M219" s="2"/>
      <c r="N219" s="2"/>
      <c r="O219" s="100">
        <v>7862.8600000000015</v>
      </c>
    </row>
    <row r="220" spans="2:15" x14ac:dyDescent="0.3">
      <c r="B220" s="91" t="s">
        <v>104</v>
      </c>
      <c r="C220" s="2"/>
      <c r="D220" s="2"/>
      <c r="E220" s="101">
        <v>57.14</v>
      </c>
      <c r="G220" s="91" t="s">
        <v>104</v>
      </c>
      <c r="H220" s="2"/>
      <c r="I220" s="2"/>
      <c r="J220" s="101">
        <v>402.14</v>
      </c>
      <c r="L220" s="91" t="s">
        <v>104</v>
      </c>
      <c r="M220" s="2"/>
      <c r="N220" s="2"/>
      <c r="O220" s="101">
        <v>472.14</v>
      </c>
    </row>
    <row r="221" spans="2:15" ht="15" thickBot="1" x14ac:dyDescent="0.35">
      <c r="B221" s="105" t="s">
        <v>95</v>
      </c>
      <c r="C221" s="104"/>
      <c r="D221" s="95"/>
      <c r="E221" s="103">
        <v>2171.4199999999992</v>
      </c>
      <c r="G221" s="105" t="s">
        <v>95</v>
      </c>
      <c r="H221" s="104"/>
      <c r="I221" s="95"/>
      <c r="J221" s="103">
        <v>2769.2799999999988</v>
      </c>
      <c r="L221" s="105" t="s">
        <v>95</v>
      </c>
      <c r="M221" s="104"/>
      <c r="N221" s="95"/>
      <c r="O221" s="103">
        <v>2447.1399999999985</v>
      </c>
    </row>
    <row r="222" spans="2:15" ht="15" thickTop="1" x14ac:dyDescent="0.3">
      <c r="B222" s="91" t="s">
        <v>102</v>
      </c>
      <c r="C222" s="2"/>
      <c r="D222" s="2"/>
      <c r="E222" s="100">
        <v>465</v>
      </c>
      <c r="G222" s="91" t="s">
        <v>102</v>
      </c>
      <c r="H222" s="2"/>
      <c r="I222" s="2"/>
      <c r="J222" s="100">
        <v>519</v>
      </c>
      <c r="L222" s="91" t="s">
        <v>102</v>
      </c>
      <c r="M222" s="2"/>
      <c r="N222" s="2"/>
      <c r="O222" s="100">
        <v>583</v>
      </c>
    </row>
    <row r="223" spans="2:15" x14ac:dyDescent="0.3">
      <c r="B223" s="91" t="s">
        <v>106</v>
      </c>
      <c r="C223" s="2"/>
      <c r="D223" s="2"/>
      <c r="E223" s="101">
        <v>54</v>
      </c>
      <c r="G223" s="91" t="s">
        <v>106</v>
      </c>
      <c r="H223" s="2"/>
      <c r="I223" s="2"/>
      <c r="J223" s="101">
        <v>48</v>
      </c>
      <c r="L223" s="91" t="s">
        <v>106</v>
      </c>
      <c r="M223" s="2"/>
      <c r="N223" s="2"/>
      <c r="O223" s="101">
        <v>64</v>
      </c>
    </row>
    <row r="224" spans="2:15" ht="15" thickBot="1" x14ac:dyDescent="0.35">
      <c r="B224" s="105" t="s">
        <v>98</v>
      </c>
      <c r="C224" s="95"/>
      <c r="D224" s="95"/>
      <c r="E224" s="103">
        <v>124</v>
      </c>
      <c r="G224" s="105" t="s">
        <v>98</v>
      </c>
      <c r="H224" s="95"/>
      <c r="I224" s="95"/>
      <c r="J224" s="103">
        <v>456</v>
      </c>
      <c r="L224" s="105" t="s">
        <v>98</v>
      </c>
      <c r="M224" s="95"/>
      <c r="N224" s="95"/>
      <c r="O224" s="103">
        <v>401</v>
      </c>
    </row>
    <row r="225" spans="2:15" ht="15.6" thickTop="1" thickBot="1" x14ac:dyDescent="0.35">
      <c r="B225" s="92" t="s">
        <v>230</v>
      </c>
      <c r="C225" s="182"/>
      <c r="D225" s="93"/>
      <c r="E225" s="186"/>
      <c r="G225" s="92" t="s">
        <v>230</v>
      </c>
      <c r="H225" s="182"/>
      <c r="I225" s="93"/>
      <c r="J225" s="186"/>
      <c r="L225" s="92" t="s">
        <v>230</v>
      </c>
      <c r="M225" s="182"/>
      <c r="N225" s="93"/>
      <c r="O225" s="186"/>
    </row>
    <row r="226" spans="2:15" ht="15" thickTop="1" x14ac:dyDescent="0.3">
      <c r="B226" s="91" t="s">
        <v>302</v>
      </c>
      <c r="C226" s="174"/>
      <c r="D226" s="2"/>
      <c r="E226" s="102">
        <v>19.5</v>
      </c>
      <c r="G226" s="91" t="s">
        <v>302</v>
      </c>
      <c r="H226" s="174"/>
      <c r="I226" s="2"/>
      <c r="J226" s="102">
        <v>19.5</v>
      </c>
      <c r="L226" s="91" t="s">
        <v>302</v>
      </c>
      <c r="M226" s="174"/>
      <c r="N226" s="2"/>
      <c r="O226" s="102">
        <v>19.5</v>
      </c>
    </row>
    <row r="227" spans="2:15" x14ac:dyDescent="0.3">
      <c r="B227" s="91" t="s">
        <v>368</v>
      </c>
      <c r="C227" s="183"/>
      <c r="D227" s="184"/>
      <c r="E227" s="100">
        <v>200</v>
      </c>
      <c r="G227" s="91" t="s">
        <v>368</v>
      </c>
      <c r="H227" s="183"/>
      <c r="I227" s="184"/>
      <c r="J227" s="100">
        <v>200</v>
      </c>
      <c r="L227" s="91" t="s">
        <v>368</v>
      </c>
      <c r="M227" s="183"/>
      <c r="N227" s="184"/>
      <c r="O227" s="100">
        <v>200</v>
      </c>
    </row>
    <row r="228" spans="2:15" x14ac:dyDescent="0.3">
      <c r="B228" s="91" t="s">
        <v>423</v>
      </c>
      <c r="C228" s="183"/>
      <c r="D228" s="184"/>
      <c r="E228" s="100">
        <v>600</v>
      </c>
      <c r="G228" s="91" t="s">
        <v>423</v>
      </c>
      <c r="H228" s="183"/>
      <c r="I228" s="184"/>
      <c r="J228" s="100">
        <v>1100</v>
      </c>
      <c r="L228" s="91" t="s">
        <v>423</v>
      </c>
      <c r="M228" s="183"/>
      <c r="N228" s="184"/>
      <c r="O228" s="100">
        <v>0</v>
      </c>
    </row>
    <row r="229" spans="2:15" x14ac:dyDescent="0.3">
      <c r="B229" s="91" t="s">
        <v>250</v>
      </c>
      <c r="C229" s="183"/>
      <c r="D229" s="184"/>
      <c r="E229" s="100">
        <v>10</v>
      </c>
      <c r="G229" s="91" t="s">
        <v>250</v>
      </c>
      <c r="H229" s="183"/>
      <c r="I229" s="184"/>
      <c r="J229" s="100">
        <v>16</v>
      </c>
      <c r="L229" s="91" t="s">
        <v>250</v>
      </c>
      <c r="M229" s="183"/>
      <c r="N229" s="184"/>
      <c r="O229" s="100">
        <v>16</v>
      </c>
    </row>
    <row r="230" spans="2:15" x14ac:dyDescent="0.3">
      <c r="B230" s="91" t="s">
        <v>93</v>
      </c>
      <c r="C230" s="2"/>
      <c r="D230" s="2"/>
      <c r="E230" s="99">
        <v>2370</v>
      </c>
      <c r="G230" s="91" t="s">
        <v>93</v>
      </c>
      <c r="H230" s="2"/>
      <c r="I230" s="2"/>
      <c r="J230" s="99">
        <v>2500</v>
      </c>
      <c r="L230" s="91" t="s">
        <v>93</v>
      </c>
      <c r="M230" s="2"/>
      <c r="N230" s="2"/>
      <c r="O230" s="99">
        <v>2530</v>
      </c>
    </row>
    <row r="231" spans="2:15" x14ac:dyDescent="0.3">
      <c r="B231" s="91" t="s">
        <v>100</v>
      </c>
      <c r="C231" s="2"/>
      <c r="D231" s="2"/>
      <c r="E231" s="98">
        <v>148.125</v>
      </c>
      <c r="G231" s="91" t="s">
        <v>100</v>
      </c>
      <c r="H231" s="2"/>
      <c r="I231" s="2"/>
      <c r="J231" s="98">
        <v>156.25</v>
      </c>
      <c r="L231" s="91" t="s">
        <v>100</v>
      </c>
      <c r="M231" s="2"/>
      <c r="N231" s="2"/>
      <c r="O231" s="98">
        <v>158.125</v>
      </c>
    </row>
    <row r="232" spans="2:15" x14ac:dyDescent="0.3">
      <c r="B232" s="91" t="s">
        <v>369</v>
      </c>
      <c r="C232" s="2"/>
      <c r="D232" s="2"/>
      <c r="E232" s="99">
        <v>398.5</v>
      </c>
      <c r="G232" s="91" t="s">
        <v>369</v>
      </c>
      <c r="H232" s="2"/>
      <c r="I232" s="2"/>
      <c r="J232" s="99">
        <v>778.5</v>
      </c>
      <c r="L232" s="91" t="s">
        <v>369</v>
      </c>
      <c r="M232" s="2"/>
      <c r="N232" s="2"/>
      <c r="O232" s="99">
        <v>787.5</v>
      </c>
    </row>
    <row r="233" spans="2:15" ht="15" thickBot="1" x14ac:dyDescent="0.35">
      <c r="B233" s="91" t="s">
        <v>96</v>
      </c>
      <c r="C233" s="2"/>
      <c r="D233" s="185"/>
      <c r="E233" s="258">
        <v>473.08</v>
      </c>
      <c r="G233" s="91" t="s">
        <v>96</v>
      </c>
      <c r="H233" s="2"/>
      <c r="I233" s="185"/>
      <c r="J233" s="258">
        <v>53.22</v>
      </c>
      <c r="L233" s="91" t="s">
        <v>96</v>
      </c>
      <c r="M233" s="2"/>
      <c r="N233" s="185"/>
      <c r="O233" s="258">
        <v>469.36</v>
      </c>
    </row>
    <row r="234" spans="2:15" ht="15.6" thickTop="1" thickBot="1" x14ac:dyDescent="0.35">
      <c r="B234" s="96" t="s">
        <v>94</v>
      </c>
      <c r="C234" s="97"/>
      <c r="D234" s="187"/>
      <c r="E234" s="188">
        <v>2768.5</v>
      </c>
      <c r="G234" s="96" t="s">
        <v>94</v>
      </c>
      <c r="H234" s="97"/>
      <c r="I234" s="187"/>
      <c r="J234" s="188">
        <v>3278.5</v>
      </c>
      <c r="L234" s="96" t="s">
        <v>94</v>
      </c>
      <c r="M234" s="97"/>
      <c r="N234" s="187"/>
      <c r="O234" s="188">
        <v>3317.5</v>
      </c>
    </row>
    <row r="235" spans="2:15" ht="15.6" thickTop="1" thickBot="1" x14ac:dyDescent="0.35">
      <c r="B235" s="96" t="s">
        <v>99</v>
      </c>
      <c r="C235" s="97"/>
      <c r="D235" s="187"/>
      <c r="E235" s="199">
        <v>2768.4999999999991</v>
      </c>
      <c r="G235" s="96" t="s">
        <v>99</v>
      </c>
      <c r="H235" s="97"/>
      <c r="I235" s="187"/>
      <c r="J235" s="199">
        <v>3278.4999999999986</v>
      </c>
      <c r="L235" s="96" t="s">
        <v>99</v>
      </c>
      <c r="M235" s="97"/>
      <c r="N235" s="187"/>
      <c r="O235" s="199">
        <v>3317.4999999999986</v>
      </c>
    </row>
    <row r="236" spans="2:15" ht="15" thickTop="1" x14ac:dyDescent="0.3">
      <c r="E236" s="290"/>
      <c r="J236" s="290"/>
      <c r="O236" s="290"/>
    </row>
    <row r="237" spans="2:15" x14ac:dyDescent="0.3">
      <c r="E237" s="290"/>
      <c r="J237" s="290"/>
      <c r="O237" s="290"/>
    </row>
    <row r="238" spans="2:15" x14ac:dyDescent="0.3">
      <c r="E238" s="290"/>
      <c r="J238" s="290"/>
      <c r="O238" s="290"/>
    </row>
    <row r="239" spans="2:15" x14ac:dyDescent="0.3">
      <c r="E239" s="290"/>
      <c r="J239" s="290"/>
      <c r="O239" s="290"/>
    </row>
    <row r="240" spans="2:15" ht="15" thickBot="1" x14ac:dyDescent="0.35"/>
    <row r="241" spans="2:15" ht="15.6" thickTop="1" thickBot="1" x14ac:dyDescent="0.35">
      <c r="B241" s="359" t="s">
        <v>92</v>
      </c>
      <c r="C241" s="360"/>
      <c r="D241" s="259" t="s">
        <v>425</v>
      </c>
      <c r="E241" s="114">
        <v>45427</v>
      </c>
      <c r="G241" s="359" t="s">
        <v>92</v>
      </c>
      <c r="H241" s="360"/>
      <c r="I241" s="259" t="s">
        <v>425</v>
      </c>
      <c r="J241" s="114">
        <v>45458</v>
      </c>
      <c r="L241" s="359" t="s">
        <v>92</v>
      </c>
      <c r="M241" s="360"/>
      <c r="N241" s="259" t="s">
        <v>425</v>
      </c>
      <c r="O241" s="114">
        <v>45488</v>
      </c>
    </row>
    <row r="242" spans="2:15" ht="15.6" thickTop="1" thickBot="1" x14ac:dyDescent="0.35">
      <c r="B242" s="361"/>
      <c r="C242" s="362"/>
      <c r="D242" s="259" t="s">
        <v>426</v>
      </c>
      <c r="E242" s="114">
        <v>44788</v>
      </c>
      <c r="G242" s="361"/>
      <c r="H242" s="362"/>
      <c r="I242" s="259" t="s">
        <v>426</v>
      </c>
      <c r="J242" s="114">
        <v>44788</v>
      </c>
      <c r="L242" s="361"/>
      <c r="M242" s="362"/>
      <c r="N242" s="259" t="s">
        <v>426</v>
      </c>
      <c r="O242" s="114">
        <v>44788</v>
      </c>
    </row>
    <row r="243" spans="2:15" ht="15.6" thickTop="1" thickBot="1" x14ac:dyDescent="0.35">
      <c r="B243" s="363"/>
      <c r="C243" s="364"/>
      <c r="D243" s="259" t="s">
        <v>424</v>
      </c>
      <c r="E243" s="114">
        <v>45457</v>
      </c>
      <c r="G243" s="363"/>
      <c r="H243" s="364"/>
      <c r="I243" s="259" t="s">
        <v>424</v>
      </c>
      <c r="J243" s="114">
        <v>45487</v>
      </c>
      <c r="L243" s="363"/>
      <c r="M243" s="364"/>
      <c r="N243" s="259" t="s">
        <v>424</v>
      </c>
      <c r="O243" s="114">
        <v>45518</v>
      </c>
    </row>
    <row r="244" spans="2:15" ht="15.6" thickTop="1" thickBot="1" x14ac:dyDescent="0.35">
      <c r="B244" s="91" t="s">
        <v>91</v>
      </c>
      <c r="C244" s="2"/>
      <c r="D244" s="2"/>
      <c r="E244" s="173">
        <v>2860</v>
      </c>
      <c r="G244" s="91" t="s">
        <v>91</v>
      </c>
      <c r="H244" s="2"/>
      <c r="I244" s="2"/>
      <c r="J244" s="173">
        <v>2990</v>
      </c>
      <c r="L244" s="91" t="s">
        <v>91</v>
      </c>
      <c r="M244" s="2"/>
      <c r="N244" s="2"/>
      <c r="O244" s="173">
        <v>3120</v>
      </c>
    </row>
    <row r="245" spans="2:15" ht="15.6" thickTop="1" thickBot="1" x14ac:dyDescent="0.35">
      <c r="B245" s="92" t="s">
        <v>170</v>
      </c>
      <c r="C245" s="93"/>
      <c r="D245" s="93"/>
      <c r="E245" s="179"/>
      <c r="G245" s="92" t="s">
        <v>170</v>
      </c>
      <c r="H245" s="93"/>
      <c r="I245" s="93"/>
      <c r="J245" s="179"/>
      <c r="L245" s="92" t="s">
        <v>170</v>
      </c>
      <c r="M245" s="93"/>
      <c r="N245" s="93"/>
      <c r="O245" s="179"/>
    </row>
    <row r="246" spans="2:15" ht="15" thickTop="1" x14ac:dyDescent="0.3">
      <c r="B246" s="177" t="s">
        <v>227</v>
      </c>
      <c r="C246" s="2"/>
      <c r="D246" s="2"/>
      <c r="E246" s="172">
        <v>11310</v>
      </c>
      <c r="G246" s="177" t="s">
        <v>227</v>
      </c>
      <c r="H246" s="2"/>
      <c r="I246" s="2"/>
      <c r="J246" s="172">
        <v>12310</v>
      </c>
      <c r="L246" s="177" t="s">
        <v>227</v>
      </c>
      <c r="M246" s="2"/>
      <c r="N246" s="2"/>
      <c r="O246" s="172">
        <v>13310</v>
      </c>
    </row>
    <row r="247" spans="2:15" x14ac:dyDescent="0.3">
      <c r="B247" s="178" t="s">
        <v>228</v>
      </c>
      <c r="C247" s="2"/>
      <c r="D247" s="2"/>
      <c r="E247" s="100">
        <v>200</v>
      </c>
      <c r="G247" s="178" t="s">
        <v>228</v>
      </c>
      <c r="H247" s="2"/>
      <c r="I247" s="2"/>
      <c r="J247" s="100">
        <v>200</v>
      </c>
      <c r="L247" s="178" t="s">
        <v>228</v>
      </c>
      <c r="M247" s="2"/>
      <c r="N247" s="2"/>
      <c r="O247" s="100">
        <v>200</v>
      </c>
    </row>
    <row r="248" spans="2:15" x14ac:dyDescent="0.3">
      <c r="B248" s="91" t="s">
        <v>103</v>
      </c>
      <c r="C248" s="2"/>
      <c r="D248" s="2"/>
      <c r="E248" s="101">
        <v>1000</v>
      </c>
      <c r="G248" s="91" t="s">
        <v>103</v>
      </c>
      <c r="H248" s="2"/>
      <c r="I248" s="2"/>
      <c r="J248" s="101">
        <v>1000</v>
      </c>
      <c r="L248" s="91" t="s">
        <v>103</v>
      </c>
      <c r="M248" s="2"/>
      <c r="N248" s="2"/>
      <c r="O248" s="101">
        <v>1000</v>
      </c>
    </row>
    <row r="249" spans="2:15" x14ac:dyDescent="0.3">
      <c r="B249" s="178" t="s">
        <v>229</v>
      </c>
      <c r="C249" s="2"/>
      <c r="D249" s="2"/>
      <c r="E249" s="180">
        <v>1100</v>
      </c>
      <c r="G249" s="178" t="s">
        <v>229</v>
      </c>
      <c r="H249" s="2"/>
      <c r="I249" s="2"/>
      <c r="J249" s="180">
        <v>1188</v>
      </c>
      <c r="L249" s="178" t="s">
        <v>229</v>
      </c>
      <c r="M249" s="2"/>
      <c r="N249" s="2"/>
      <c r="O249" s="180">
        <v>1358</v>
      </c>
    </row>
    <row r="250" spans="2:15" ht="15" thickBot="1" x14ac:dyDescent="0.35">
      <c r="B250" s="91" t="s">
        <v>105</v>
      </c>
      <c r="C250" s="2"/>
      <c r="D250" s="2"/>
      <c r="E250" s="101">
        <v>116</v>
      </c>
      <c r="G250" s="91" t="s">
        <v>105</v>
      </c>
      <c r="H250" s="2"/>
      <c r="I250" s="2"/>
      <c r="J250" s="101">
        <v>88</v>
      </c>
      <c r="L250" s="91" t="s">
        <v>105</v>
      </c>
      <c r="M250" s="2"/>
      <c r="N250" s="2"/>
      <c r="O250" s="101">
        <v>170</v>
      </c>
    </row>
    <row r="251" spans="2:15" ht="15.6" thickTop="1" thickBot="1" x14ac:dyDescent="0.35">
      <c r="B251" s="181" t="s">
        <v>39</v>
      </c>
      <c r="C251" s="93"/>
      <c r="D251" s="93"/>
      <c r="E251" s="179"/>
      <c r="G251" s="181" t="s">
        <v>39</v>
      </c>
      <c r="H251" s="93"/>
      <c r="I251" s="93"/>
      <c r="J251" s="179"/>
      <c r="L251" s="181" t="s">
        <v>39</v>
      </c>
      <c r="M251" s="93"/>
      <c r="N251" s="93"/>
      <c r="O251" s="179"/>
    </row>
    <row r="252" spans="2:15" ht="15" thickTop="1" x14ac:dyDescent="0.3">
      <c r="B252" s="91" t="s">
        <v>101</v>
      </c>
      <c r="C252" s="2"/>
      <c r="D252" s="2"/>
      <c r="E252" s="100">
        <v>8335.0000000000018</v>
      </c>
      <c r="G252" s="91" t="s">
        <v>101</v>
      </c>
      <c r="H252" s="2"/>
      <c r="I252" s="2"/>
      <c r="J252" s="100">
        <v>9035.7400000000016</v>
      </c>
      <c r="L252" s="91" t="s">
        <v>101</v>
      </c>
      <c r="M252" s="2"/>
      <c r="N252" s="2"/>
      <c r="O252" s="100">
        <v>9901.4500000000007</v>
      </c>
    </row>
    <row r="253" spans="2:15" x14ac:dyDescent="0.3">
      <c r="B253" s="91" t="s">
        <v>104</v>
      </c>
      <c r="C253" s="2"/>
      <c r="D253" s="2"/>
      <c r="E253" s="101">
        <v>472.14</v>
      </c>
      <c r="G253" s="91" t="s">
        <v>104</v>
      </c>
      <c r="H253" s="2"/>
      <c r="I253" s="2"/>
      <c r="J253" s="101">
        <v>500.74</v>
      </c>
      <c r="L253" s="91" t="s">
        <v>104</v>
      </c>
      <c r="M253" s="2"/>
      <c r="N253" s="2"/>
      <c r="O253" s="101">
        <v>865.71</v>
      </c>
    </row>
    <row r="254" spans="2:15" ht="15" thickBot="1" x14ac:dyDescent="0.35">
      <c r="B254" s="105" t="s">
        <v>95</v>
      </c>
      <c r="C254" s="104"/>
      <c r="D254" s="95"/>
      <c r="E254" s="103">
        <v>2974.9999999999982</v>
      </c>
      <c r="G254" s="105" t="s">
        <v>95</v>
      </c>
      <c r="H254" s="104"/>
      <c r="I254" s="95"/>
      <c r="J254" s="103">
        <v>3274.2599999999984</v>
      </c>
      <c r="L254" s="105" t="s">
        <v>95</v>
      </c>
      <c r="M254" s="104"/>
      <c r="N254" s="95"/>
      <c r="O254" s="103">
        <v>3408.5499999999993</v>
      </c>
    </row>
    <row r="255" spans="2:15" ht="15" thickTop="1" x14ac:dyDescent="0.3">
      <c r="B255" s="91" t="s">
        <v>102</v>
      </c>
      <c r="C255" s="2"/>
      <c r="D255" s="2"/>
      <c r="E255" s="100">
        <v>647</v>
      </c>
      <c r="G255" s="91" t="s">
        <v>102</v>
      </c>
      <c r="H255" s="2"/>
      <c r="I255" s="2"/>
      <c r="J255" s="100">
        <v>731</v>
      </c>
      <c r="L255" s="91" t="s">
        <v>102</v>
      </c>
      <c r="M255" s="2"/>
      <c r="N255" s="2"/>
      <c r="O255" s="100">
        <v>826</v>
      </c>
    </row>
    <row r="256" spans="2:15" x14ac:dyDescent="0.3">
      <c r="B256" s="91" t="s">
        <v>106</v>
      </c>
      <c r="C256" s="2"/>
      <c r="D256" s="2"/>
      <c r="E256" s="101">
        <v>68</v>
      </c>
      <c r="G256" s="91" t="s">
        <v>106</v>
      </c>
      <c r="H256" s="2"/>
      <c r="I256" s="2"/>
      <c r="J256" s="101">
        <v>76</v>
      </c>
      <c r="L256" s="91" t="s">
        <v>106</v>
      </c>
      <c r="M256" s="2"/>
      <c r="N256" s="2"/>
      <c r="O256" s="101">
        <v>95</v>
      </c>
    </row>
    <row r="257" spans="2:15" ht="15" thickBot="1" x14ac:dyDescent="0.35">
      <c r="B257" s="105" t="s">
        <v>98</v>
      </c>
      <c r="C257" s="95"/>
      <c r="D257" s="95"/>
      <c r="E257" s="103">
        <v>453</v>
      </c>
      <c r="G257" s="105" t="s">
        <v>98</v>
      </c>
      <c r="H257" s="95"/>
      <c r="I257" s="95"/>
      <c r="J257" s="103">
        <v>457</v>
      </c>
      <c r="L257" s="105" t="s">
        <v>98</v>
      </c>
      <c r="M257" s="95"/>
      <c r="N257" s="95"/>
      <c r="O257" s="103">
        <v>532</v>
      </c>
    </row>
    <row r="258" spans="2:15" ht="15.6" thickTop="1" thickBot="1" x14ac:dyDescent="0.35">
      <c r="B258" s="92" t="s">
        <v>230</v>
      </c>
      <c r="C258" s="182"/>
      <c r="D258" s="93"/>
      <c r="E258" s="186"/>
      <c r="G258" s="92" t="s">
        <v>230</v>
      </c>
      <c r="H258" s="182"/>
      <c r="I258" s="93"/>
      <c r="J258" s="186"/>
      <c r="L258" s="92" t="s">
        <v>230</v>
      </c>
      <c r="M258" s="182"/>
      <c r="N258" s="93"/>
      <c r="O258" s="186"/>
    </row>
    <row r="259" spans="2:15" ht="15" thickTop="1" x14ac:dyDescent="0.3">
      <c r="B259" s="91" t="s">
        <v>302</v>
      </c>
      <c r="C259" s="174"/>
      <c r="D259" s="2"/>
      <c r="E259" s="102">
        <v>23.5</v>
      </c>
      <c r="G259" s="91" t="s">
        <v>302</v>
      </c>
      <c r="H259" s="174"/>
      <c r="I259" s="2"/>
      <c r="J259" s="102">
        <v>23.5</v>
      </c>
      <c r="L259" s="91" t="s">
        <v>302</v>
      </c>
      <c r="M259" s="174"/>
      <c r="N259" s="2"/>
      <c r="O259" s="102">
        <v>23.5</v>
      </c>
    </row>
    <row r="260" spans="2:15" x14ac:dyDescent="0.3">
      <c r="B260" s="91" t="s">
        <v>368</v>
      </c>
      <c r="C260" s="183"/>
      <c r="D260" s="184"/>
      <c r="E260" s="100">
        <v>200</v>
      </c>
      <c r="G260" s="91" t="s">
        <v>368</v>
      </c>
      <c r="H260" s="183"/>
      <c r="I260" s="184"/>
      <c r="J260" s="100">
        <v>200</v>
      </c>
      <c r="L260" s="91" t="s">
        <v>368</v>
      </c>
      <c r="M260" s="183"/>
      <c r="N260" s="184"/>
      <c r="O260" s="100">
        <v>200</v>
      </c>
    </row>
    <row r="261" spans="2:15" x14ac:dyDescent="0.3">
      <c r="B261" s="91" t="s">
        <v>423</v>
      </c>
      <c r="C261" s="183"/>
      <c r="D261" s="184"/>
      <c r="E261" s="100">
        <v>0</v>
      </c>
      <c r="G261" s="91" t="s">
        <v>423</v>
      </c>
      <c r="H261" s="183"/>
      <c r="I261" s="184"/>
      <c r="J261" s="100">
        <v>200</v>
      </c>
      <c r="L261" s="91" t="s">
        <v>423</v>
      </c>
      <c r="M261" s="183"/>
      <c r="N261" s="184"/>
      <c r="O261" s="100">
        <v>0</v>
      </c>
    </row>
    <row r="262" spans="2:15" x14ac:dyDescent="0.3">
      <c r="B262" s="91" t="s">
        <v>250</v>
      </c>
      <c r="C262" s="183"/>
      <c r="D262" s="184"/>
      <c r="E262" s="100">
        <v>16</v>
      </c>
      <c r="G262" s="91" t="s">
        <v>250</v>
      </c>
      <c r="H262" s="183"/>
      <c r="I262" s="184"/>
      <c r="J262" s="100">
        <v>24</v>
      </c>
      <c r="L262" s="91" t="s">
        <v>250</v>
      </c>
      <c r="M262" s="183"/>
      <c r="N262" s="184"/>
      <c r="O262" s="100">
        <v>24</v>
      </c>
    </row>
    <row r="263" spans="2:15" x14ac:dyDescent="0.3">
      <c r="B263" s="91" t="s">
        <v>93</v>
      </c>
      <c r="C263" s="2"/>
      <c r="D263" s="2"/>
      <c r="E263" s="99">
        <v>2660</v>
      </c>
      <c r="G263" s="91" t="s">
        <v>93</v>
      </c>
      <c r="H263" s="2"/>
      <c r="I263" s="2"/>
      <c r="J263" s="99">
        <v>2790</v>
      </c>
      <c r="L263" s="91" t="s">
        <v>93</v>
      </c>
      <c r="M263" s="2"/>
      <c r="N263" s="2"/>
      <c r="O263" s="99">
        <v>2920</v>
      </c>
    </row>
    <row r="264" spans="2:15" x14ac:dyDescent="0.3">
      <c r="B264" s="91" t="s">
        <v>100</v>
      </c>
      <c r="C264" s="2"/>
      <c r="D264" s="2"/>
      <c r="E264" s="98">
        <v>166.25</v>
      </c>
      <c r="G264" s="91" t="s">
        <v>100</v>
      </c>
      <c r="H264" s="2"/>
      <c r="I264" s="2"/>
      <c r="J264" s="98">
        <v>174.375</v>
      </c>
      <c r="L264" s="91" t="s">
        <v>100</v>
      </c>
      <c r="M264" s="2"/>
      <c r="N264" s="2"/>
      <c r="O264" s="98">
        <v>182.5</v>
      </c>
    </row>
    <row r="265" spans="2:15" x14ac:dyDescent="0.3">
      <c r="B265" s="91" t="s">
        <v>369</v>
      </c>
      <c r="C265" s="2"/>
      <c r="D265" s="2"/>
      <c r="E265" s="99">
        <v>907.5</v>
      </c>
      <c r="G265" s="91" t="s">
        <v>369</v>
      </c>
      <c r="H265" s="2"/>
      <c r="I265" s="2"/>
      <c r="J265" s="99">
        <v>987.5</v>
      </c>
      <c r="L265" s="91" t="s">
        <v>369</v>
      </c>
      <c r="M265" s="2"/>
      <c r="N265" s="2"/>
      <c r="O265" s="99">
        <v>1157.5</v>
      </c>
    </row>
    <row r="266" spans="2:15" ht="15" thickBot="1" x14ac:dyDescent="0.35">
      <c r="B266" s="91" t="s">
        <v>96</v>
      </c>
      <c r="C266" s="2"/>
      <c r="D266" s="185"/>
      <c r="E266" s="258">
        <v>139.5</v>
      </c>
      <c r="G266" s="91" t="s">
        <v>96</v>
      </c>
      <c r="H266" s="2"/>
      <c r="I266" s="185"/>
      <c r="J266" s="258">
        <v>46.24</v>
      </c>
      <c r="L266" s="91" t="s">
        <v>96</v>
      </c>
      <c r="M266" s="2"/>
      <c r="N266" s="185"/>
      <c r="O266" s="258">
        <v>136.94999999999999</v>
      </c>
    </row>
    <row r="267" spans="2:15" ht="15.6" thickTop="1" thickBot="1" x14ac:dyDescent="0.35">
      <c r="B267" s="96" t="s">
        <v>94</v>
      </c>
      <c r="C267" s="97"/>
      <c r="D267" s="187"/>
      <c r="E267" s="188">
        <v>3567.5</v>
      </c>
      <c r="G267" s="96" t="s">
        <v>94</v>
      </c>
      <c r="H267" s="97"/>
      <c r="I267" s="187"/>
      <c r="J267" s="188">
        <v>3777.5</v>
      </c>
      <c r="L267" s="96" t="s">
        <v>94</v>
      </c>
      <c r="M267" s="97"/>
      <c r="N267" s="187"/>
      <c r="O267" s="188">
        <v>4077.5</v>
      </c>
    </row>
    <row r="268" spans="2:15" ht="15.6" thickTop="1" thickBot="1" x14ac:dyDescent="0.35">
      <c r="B268" s="96" t="s">
        <v>99</v>
      </c>
      <c r="C268" s="97"/>
      <c r="D268" s="187"/>
      <c r="E268" s="199">
        <v>3567.4999999999982</v>
      </c>
      <c r="G268" s="96" t="s">
        <v>99</v>
      </c>
      <c r="H268" s="97"/>
      <c r="I268" s="187"/>
      <c r="J268" s="199">
        <v>3777.4999999999982</v>
      </c>
      <c r="L268" s="96" t="s">
        <v>99</v>
      </c>
      <c r="M268" s="97"/>
      <c r="N268" s="187"/>
      <c r="O268" s="199">
        <v>4077.4999999999991</v>
      </c>
    </row>
    <row r="269" spans="2:15" ht="15" thickTop="1" x14ac:dyDescent="0.3">
      <c r="E269" s="290"/>
      <c r="J269" s="290"/>
      <c r="O269" s="290"/>
    </row>
    <row r="270" spans="2:15" x14ac:dyDescent="0.3">
      <c r="E270" s="290"/>
      <c r="J270" s="290"/>
      <c r="O270" s="290"/>
    </row>
    <row r="271" spans="2:15" x14ac:dyDescent="0.3">
      <c r="E271" s="290"/>
      <c r="J271" s="290"/>
      <c r="O271" s="290"/>
    </row>
    <row r="272" spans="2:15" x14ac:dyDescent="0.3">
      <c r="E272" s="290"/>
      <c r="J272" s="290"/>
      <c r="O272" s="290"/>
    </row>
    <row r="273" spans="2:15" ht="15" thickBot="1" x14ac:dyDescent="0.35"/>
    <row r="274" spans="2:15" ht="15.6" thickTop="1" thickBot="1" x14ac:dyDescent="0.35">
      <c r="B274" s="359" t="s">
        <v>92</v>
      </c>
      <c r="C274" s="360"/>
      <c r="D274" s="259" t="s">
        <v>425</v>
      </c>
      <c r="E274" s="114">
        <v>45519</v>
      </c>
      <c r="G274" s="359" t="s">
        <v>92</v>
      </c>
      <c r="H274" s="360"/>
      <c r="I274" s="259" t="s">
        <v>425</v>
      </c>
      <c r="J274" s="114">
        <v>45550</v>
      </c>
      <c r="L274" s="359" t="s">
        <v>92</v>
      </c>
      <c r="M274" s="360"/>
      <c r="N274" s="259" t="s">
        <v>425</v>
      </c>
      <c r="O274" s="114">
        <v>45580</v>
      </c>
    </row>
    <row r="275" spans="2:15" ht="15.6" thickTop="1" thickBot="1" x14ac:dyDescent="0.35">
      <c r="B275" s="361"/>
      <c r="C275" s="362"/>
      <c r="D275" s="259" t="s">
        <v>426</v>
      </c>
      <c r="E275" s="114">
        <v>44788</v>
      </c>
      <c r="G275" s="361"/>
      <c r="H275" s="362"/>
      <c r="I275" s="259" t="s">
        <v>426</v>
      </c>
      <c r="J275" s="114">
        <v>44788</v>
      </c>
      <c r="L275" s="361"/>
      <c r="M275" s="362"/>
      <c r="N275" s="259" t="s">
        <v>426</v>
      </c>
      <c r="O275" s="114">
        <v>44788</v>
      </c>
    </row>
    <row r="276" spans="2:15" ht="15.6" thickTop="1" thickBot="1" x14ac:dyDescent="0.35">
      <c r="B276" s="363"/>
      <c r="C276" s="364"/>
      <c r="D276" s="259" t="s">
        <v>424</v>
      </c>
      <c r="E276" s="114">
        <v>45549</v>
      </c>
      <c r="G276" s="363"/>
      <c r="H276" s="364"/>
      <c r="I276" s="259" t="s">
        <v>424</v>
      </c>
      <c r="J276" s="114">
        <v>45579</v>
      </c>
      <c r="L276" s="363"/>
      <c r="M276" s="364"/>
      <c r="N276" s="259" t="s">
        <v>424</v>
      </c>
      <c r="O276" s="114">
        <v>45610</v>
      </c>
    </row>
    <row r="277" spans="2:15" ht="15.6" thickTop="1" thickBot="1" x14ac:dyDescent="0.35">
      <c r="B277" s="91" t="s">
        <v>91</v>
      </c>
      <c r="C277" s="2"/>
      <c r="D277" s="2"/>
      <c r="E277" s="173">
        <v>3250</v>
      </c>
      <c r="G277" s="91" t="s">
        <v>91</v>
      </c>
      <c r="H277" s="2"/>
      <c r="I277" s="2"/>
      <c r="J277" s="173">
        <v>3380</v>
      </c>
      <c r="L277" s="91" t="s">
        <v>91</v>
      </c>
      <c r="M277" s="2"/>
      <c r="N277" s="2"/>
      <c r="O277" s="173">
        <v>3510</v>
      </c>
    </row>
    <row r="278" spans="2:15" ht="15.6" thickTop="1" thickBot="1" x14ac:dyDescent="0.35">
      <c r="B278" s="92" t="s">
        <v>170</v>
      </c>
      <c r="C278" s="93"/>
      <c r="D278" s="93"/>
      <c r="E278" s="179"/>
      <c r="G278" s="92" t="s">
        <v>170</v>
      </c>
      <c r="H278" s="93"/>
      <c r="I278" s="93"/>
      <c r="J278" s="179"/>
      <c r="L278" s="92" t="s">
        <v>170</v>
      </c>
      <c r="M278" s="93"/>
      <c r="N278" s="93"/>
      <c r="O278" s="179"/>
    </row>
    <row r="279" spans="2:15" ht="15" thickTop="1" x14ac:dyDescent="0.3">
      <c r="B279" s="177" t="s">
        <v>227</v>
      </c>
      <c r="C279" s="2"/>
      <c r="D279" s="2"/>
      <c r="E279" s="172">
        <v>14210</v>
      </c>
      <c r="G279" s="177" t="s">
        <v>227</v>
      </c>
      <c r="H279" s="2"/>
      <c r="I279" s="2"/>
      <c r="J279" s="172">
        <v>14610</v>
      </c>
      <c r="L279" s="177" t="s">
        <v>227</v>
      </c>
      <c r="M279" s="2"/>
      <c r="N279" s="2"/>
      <c r="O279" s="172">
        <v>15610</v>
      </c>
    </row>
    <row r="280" spans="2:15" x14ac:dyDescent="0.3">
      <c r="B280" s="178" t="s">
        <v>228</v>
      </c>
      <c r="C280" s="2"/>
      <c r="D280" s="2"/>
      <c r="E280" s="100">
        <v>200</v>
      </c>
      <c r="G280" s="178" t="s">
        <v>228</v>
      </c>
      <c r="H280" s="2"/>
      <c r="I280" s="2"/>
      <c r="J280" s="100">
        <v>460</v>
      </c>
      <c r="L280" s="178" t="s">
        <v>228</v>
      </c>
      <c r="M280" s="2"/>
      <c r="N280" s="2"/>
      <c r="O280" s="100">
        <v>460</v>
      </c>
    </row>
    <row r="281" spans="2:15" x14ac:dyDescent="0.3">
      <c r="B281" s="91" t="s">
        <v>103</v>
      </c>
      <c r="C281" s="2"/>
      <c r="D281" s="2"/>
      <c r="E281" s="101">
        <v>900</v>
      </c>
      <c r="G281" s="91" t="s">
        <v>103</v>
      </c>
      <c r="H281" s="2"/>
      <c r="I281" s="2"/>
      <c r="J281" s="101">
        <v>660</v>
      </c>
      <c r="L281" s="91" t="s">
        <v>103</v>
      </c>
      <c r="M281" s="2"/>
      <c r="N281" s="2"/>
      <c r="O281" s="101">
        <v>1000</v>
      </c>
    </row>
    <row r="282" spans="2:15" x14ac:dyDescent="0.3">
      <c r="B282" s="178" t="s">
        <v>229</v>
      </c>
      <c r="C282" s="2"/>
      <c r="D282" s="2"/>
      <c r="E282" s="180">
        <v>1466</v>
      </c>
      <c r="G282" s="178" t="s">
        <v>229</v>
      </c>
      <c r="H282" s="2"/>
      <c r="I282" s="2"/>
      <c r="J282" s="180">
        <v>1498</v>
      </c>
      <c r="L282" s="178" t="s">
        <v>229</v>
      </c>
      <c r="M282" s="2"/>
      <c r="N282" s="2"/>
      <c r="O282" s="180">
        <v>1578</v>
      </c>
    </row>
    <row r="283" spans="2:15" ht="15" thickBot="1" x14ac:dyDescent="0.35">
      <c r="B283" s="91" t="s">
        <v>105</v>
      </c>
      <c r="C283" s="2"/>
      <c r="D283" s="2"/>
      <c r="E283" s="101">
        <v>108</v>
      </c>
      <c r="G283" s="91" t="s">
        <v>105</v>
      </c>
      <c r="H283" s="2"/>
      <c r="I283" s="2"/>
      <c r="J283" s="101">
        <v>32</v>
      </c>
      <c r="L283" s="91" t="s">
        <v>105</v>
      </c>
      <c r="M283" s="2"/>
      <c r="N283" s="2"/>
      <c r="O283" s="101">
        <v>80</v>
      </c>
    </row>
    <row r="284" spans="2:15" ht="15.6" thickTop="1" thickBot="1" x14ac:dyDescent="0.35">
      <c r="B284" s="181" t="s">
        <v>39</v>
      </c>
      <c r="C284" s="93"/>
      <c r="D284" s="93"/>
      <c r="E284" s="179"/>
      <c r="G284" s="181" t="s">
        <v>39</v>
      </c>
      <c r="H284" s="93"/>
      <c r="I284" s="93"/>
      <c r="J284" s="179"/>
      <c r="L284" s="181" t="s">
        <v>39</v>
      </c>
      <c r="M284" s="93"/>
      <c r="N284" s="93"/>
      <c r="O284" s="179"/>
    </row>
    <row r="285" spans="2:15" ht="15" thickTop="1" x14ac:dyDescent="0.3">
      <c r="B285" s="91" t="s">
        <v>101</v>
      </c>
      <c r="C285" s="2"/>
      <c r="D285" s="2"/>
      <c r="E285" s="100">
        <v>10638.83</v>
      </c>
      <c r="G285" s="91" t="s">
        <v>101</v>
      </c>
      <c r="H285" s="2"/>
      <c r="I285" s="2"/>
      <c r="J285" s="100">
        <v>11506.21</v>
      </c>
      <c r="L285" s="91" t="s">
        <v>101</v>
      </c>
      <c r="M285" s="2"/>
      <c r="N285" s="2"/>
      <c r="O285" s="100">
        <v>12413.589999999998</v>
      </c>
    </row>
    <row r="286" spans="2:15" x14ac:dyDescent="0.3">
      <c r="B286" s="91" t="s">
        <v>104</v>
      </c>
      <c r="C286" s="2"/>
      <c r="D286" s="2"/>
      <c r="E286" s="101">
        <v>737.38</v>
      </c>
      <c r="G286" s="91" t="s">
        <v>104</v>
      </c>
      <c r="H286" s="2"/>
      <c r="I286" s="2"/>
      <c r="J286" s="101">
        <v>867.38</v>
      </c>
      <c r="L286" s="91" t="s">
        <v>104</v>
      </c>
      <c r="M286" s="2"/>
      <c r="N286" s="2"/>
      <c r="O286" s="101">
        <v>934.08</v>
      </c>
    </row>
    <row r="287" spans="2:15" ht="15" thickBot="1" x14ac:dyDescent="0.35">
      <c r="B287" s="105" t="s">
        <v>95</v>
      </c>
      <c r="C287" s="104"/>
      <c r="D287" s="95"/>
      <c r="E287" s="103">
        <v>3571.17</v>
      </c>
      <c r="G287" s="105" t="s">
        <v>95</v>
      </c>
      <c r="H287" s="104"/>
      <c r="I287" s="95"/>
      <c r="J287" s="103">
        <v>3103.7900000000009</v>
      </c>
      <c r="L287" s="105" t="s">
        <v>95</v>
      </c>
      <c r="M287" s="104"/>
      <c r="N287" s="95"/>
      <c r="O287" s="103">
        <v>3196.4100000000017</v>
      </c>
    </row>
    <row r="288" spans="2:15" ht="15" thickTop="1" x14ac:dyDescent="0.3">
      <c r="B288" s="91" t="s">
        <v>102</v>
      </c>
      <c r="C288" s="2"/>
      <c r="D288" s="2"/>
      <c r="E288" s="100">
        <v>920</v>
      </c>
      <c r="G288" s="91" t="s">
        <v>102</v>
      </c>
      <c r="H288" s="2"/>
      <c r="I288" s="2"/>
      <c r="J288" s="100">
        <v>1030</v>
      </c>
      <c r="L288" s="91" t="s">
        <v>102</v>
      </c>
      <c r="M288" s="2"/>
      <c r="N288" s="2"/>
      <c r="O288" s="100">
        <v>1148</v>
      </c>
    </row>
    <row r="289" spans="2:15" x14ac:dyDescent="0.3">
      <c r="B289" s="91" t="s">
        <v>106</v>
      </c>
      <c r="C289" s="2"/>
      <c r="D289" s="2"/>
      <c r="E289" s="101">
        <v>94</v>
      </c>
      <c r="G289" s="91" t="s">
        <v>106</v>
      </c>
      <c r="H289" s="2"/>
      <c r="I289" s="2"/>
      <c r="J289" s="101">
        <v>110</v>
      </c>
      <c r="L289" s="91" t="s">
        <v>106</v>
      </c>
      <c r="M289" s="2"/>
      <c r="N289" s="2"/>
      <c r="O289" s="101">
        <v>104</v>
      </c>
    </row>
    <row r="290" spans="2:15" ht="15" thickBot="1" x14ac:dyDescent="0.35">
      <c r="B290" s="105" t="s">
        <v>98</v>
      </c>
      <c r="C290" s="95"/>
      <c r="D290" s="95"/>
      <c r="E290" s="103">
        <v>546</v>
      </c>
      <c r="G290" s="105" t="s">
        <v>98</v>
      </c>
      <c r="H290" s="95"/>
      <c r="I290" s="95"/>
      <c r="J290" s="103">
        <v>468</v>
      </c>
      <c r="L290" s="105" t="s">
        <v>98</v>
      </c>
      <c r="M290" s="95"/>
      <c r="N290" s="95"/>
      <c r="O290" s="103">
        <v>430</v>
      </c>
    </row>
    <row r="291" spans="2:15" ht="15.6" thickTop="1" thickBot="1" x14ac:dyDescent="0.35">
      <c r="B291" s="92" t="s">
        <v>230</v>
      </c>
      <c r="C291" s="182"/>
      <c r="D291" s="93"/>
      <c r="E291" s="186"/>
      <c r="G291" s="92" t="s">
        <v>230</v>
      </c>
      <c r="H291" s="182"/>
      <c r="I291" s="93"/>
      <c r="J291" s="186"/>
      <c r="L291" s="92" t="s">
        <v>230</v>
      </c>
      <c r="M291" s="182"/>
      <c r="N291" s="93"/>
      <c r="O291" s="186"/>
    </row>
    <row r="292" spans="2:15" ht="15" thickTop="1" x14ac:dyDescent="0.3">
      <c r="B292" s="91" t="s">
        <v>302</v>
      </c>
      <c r="C292" s="174"/>
      <c r="D292" s="2"/>
      <c r="E292" s="102">
        <v>23.5</v>
      </c>
      <c r="G292" s="91" t="s">
        <v>302</v>
      </c>
      <c r="H292" s="174"/>
      <c r="I292" s="2"/>
      <c r="J292" s="102">
        <v>23.5</v>
      </c>
      <c r="L292" s="91" t="s">
        <v>302</v>
      </c>
      <c r="M292" s="174"/>
      <c r="N292" s="2"/>
      <c r="O292" s="102">
        <v>50.2</v>
      </c>
    </row>
    <row r="293" spans="2:15" x14ac:dyDescent="0.3">
      <c r="B293" s="91" t="s">
        <v>368</v>
      </c>
      <c r="C293" s="183"/>
      <c r="D293" s="184"/>
      <c r="E293" s="100">
        <v>200</v>
      </c>
      <c r="G293" s="91" t="s">
        <v>368</v>
      </c>
      <c r="H293" s="183"/>
      <c r="I293" s="184"/>
      <c r="J293" s="100">
        <v>200</v>
      </c>
      <c r="L293" s="91" t="s">
        <v>368</v>
      </c>
      <c r="M293" s="183"/>
      <c r="N293" s="184"/>
      <c r="O293" s="100">
        <v>400</v>
      </c>
    </row>
    <row r="294" spans="2:15" x14ac:dyDescent="0.3">
      <c r="B294" s="91" t="s">
        <v>423</v>
      </c>
      <c r="C294" s="183"/>
      <c r="D294" s="184"/>
      <c r="E294" s="100">
        <v>0</v>
      </c>
      <c r="G294" s="91" t="s">
        <v>423</v>
      </c>
      <c r="H294" s="183"/>
      <c r="I294" s="184"/>
      <c r="J294" s="100">
        <v>0</v>
      </c>
      <c r="L294" s="91" t="s">
        <v>423</v>
      </c>
      <c r="M294" s="183"/>
      <c r="N294" s="184"/>
      <c r="O294" s="100">
        <v>0</v>
      </c>
    </row>
    <row r="295" spans="2:15" x14ac:dyDescent="0.3">
      <c r="B295" s="91" t="s">
        <v>250</v>
      </c>
      <c r="C295" s="183"/>
      <c r="D295" s="184"/>
      <c r="E295" s="100">
        <v>24</v>
      </c>
      <c r="G295" s="91" t="s">
        <v>250</v>
      </c>
      <c r="H295" s="183"/>
      <c r="I295" s="184"/>
      <c r="J295" s="100">
        <v>24</v>
      </c>
      <c r="L295" s="91" t="s">
        <v>250</v>
      </c>
      <c r="M295" s="183"/>
      <c r="N295" s="184"/>
      <c r="O295" s="100">
        <v>38</v>
      </c>
    </row>
    <row r="296" spans="2:15" x14ac:dyDescent="0.3">
      <c r="B296" s="91" t="s">
        <v>93</v>
      </c>
      <c r="C296" s="2"/>
      <c r="D296" s="2"/>
      <c r="E296" s="99">
        <v>3050</v>
      </c>
      <c r="G296" s="91" t="s">
        <v>93</v>
      </c>
      <c r="H296" s="2"/>
      <c r="I296" s="2"/>
      <c r="J296" s="99">
        <v>2920</v>
      </c>
      <c r="L296" s="91" t="s">
        <v>93</v>
      </c>
      <c r="M296" s="2"/>
      <c r="N296" s="2"/>
      <c r="O296" s="99">
        <v>3050</v>
      </c>
    </row>
    <row r="297" spans="2:15" x14ac:dyDescent="0.3">
      <c r="B297" s="91" t="s">
        <v>100</v>
      </c>
      <c r="C297" s="2"/>
      <c r="D297" s="2"/>
      <c r="E297" s="98">
        <v>190.625</v>
      </c>
      <c r="G297" s="91" t="s">
        <v>100</v>
      </c>
      <c r="H297" s="2"/>
      <c r="I297" s="2"/>
      <c r="J297" s="98">
        <v>182.5</v>
      </c>
      <c r="L297" s="91" t="s">
        <v>100</v>
      </c>
      <c r="M297" s="2"/>
      <c r="N297" s="2"/>
      <c r="O297" s="98">
        <v>190.625</v>
      </c>
    </row>
    <row r="298" spans="2:15" x14ac:dyDescent="0.3">
      <c r="B298" s="91" t="s">
        <v>369</v>
      </c>
      <c r="C298" s="2"/>
      <c r="D298" s="2"/>
      <c r="E298" s="99">
        <v>1265.5</v>
      </c>
      <c r="G298" s="91" t="s">
        <v>369</v>
      </c>
      <c r="H298" s="2"/>
      <c r="I298" s="2"/>
      <c r="J298" s="99">
        <v>1297.5</v>
      </c>
      <c r="L298" s="91" t="s">
        <v>369</v>
      </c>
      <c r="M298" s="2"/>
      <c r="N298" s="2"/>
      <c r="O298" s="99">
        <v>1190.2</v>
      </c>
    </row>
    <row r="299" spans="2:15" ht="15" thickBot="1" x14ac:dyDescent="0.35">
      <c r="B299" s="91" t="s">
        <v>96</v>
      </c>
      <c r="C299" s="2"/>
      <c r="D299" s="185"/>
      <c r="E299" s="258">
        <v>198.33</v>
      </c>
      <c r="G299" s="91" t="s">
        <v>96</v>
      </c>
      <c r="H299" s="2"/>
      <c r="I299" s="185"/>
      <c r="J299" s="258">
        <v>645.71</v>
      </c>
      <c r="L299" s="91" t="s">
        <v>96</v>
      </c>
      <c r="M299" s="2"/>
      <c r="N299" s="185"/>
      <c r="O299" s="258">
        <v>613.79</v>
      </c>
    </row>
    <row r="300" spans="2:15" ht="15.6" thickTop="1" thickBot="1" x14ac:dyDescent="0.35">
      <c r="B300" s="96" t="s">
        <v>94</v>
      </c>
      <c r="C300" s="97"/>
      <c r="D300" s="187"/>
      <c r="E300" s="188">
        <v>4315.5</v>
      </c>
      <c r="G300" s="96" t="s">
        <v>94</v>
      </c>
      <c r="H300" s="97"/>
      <c r="I300" s="187"/>
      <c r="J300" s="188">
        <v>4217.5</v>
      </c>
      <c r="L300" s="96" t="s">
        <v>94</v>
      </c>
      <c r="M300" s="97"/>
      <c r="N300" s="187"/>
      <c r="O300" s="188">
        <v>4240.2</v>
      </c>
    </row>
    <row r="301" spans="2:15" ht="15.6" thickTop="1" thickBot="1" x14ac:dyDescent="0.35">
      <c r="B301" s="96" t="s">
        <v>99</v>
      </c>
      <c r="C301" s="97"/>
      <c r="D301" s="187"/>
      <c r="E301" s="199">
        <v>4315.5</v>
      </c>
      <c r="G301" s="96" t="s">
        <v>99</v>
      </c>
      <c r="H301" s="97"/>
      <c r="I301" s="187"/>
      <c r="J301" s="199">
        <v>4217.5000000000009</v>
      </c>
      <c r="L301" s="96" t="s">
        <v>99</v>
      </c>
      <c r="M301" s="97"/>
      <c r="N301" s="187"/>
      <c r="O301" s="199">
        <v>4240.2000000000016</v>
      </c>
    </row>
    <row r="302" spans="2:15" ht="15" thickTop="1" x14ac:dyDescent="0.3">
      <c r="E302" s="290"/>
      <c r="J302" s="290"/>
      <c r="O302" s="290"/>
    </row>
    <row r="303" spans="2:15" x14ac:dyDescent="0.3">
      <c r="E303" s="290"/>
      <c r="J303" s="290"/>
      <c r="O303" s="290"/>
    </row>
    <row r="304" spans="2:15" x14ac:dyDescent="0.3">
      <c r="E304" s="290"/>
      <c r="J304" s="290"/>
      <c r="O304" s="290"/>
    </row>
    <row r="305" spans="2:15" x14ac:dyDescent="0.3">
      <c r="E305" s="290"/>
      <c r="J305" s="290"/>
      <c r="O305" s="290"/>
    </row>
    <row r="306" spans="2:15" ht="15" thickBot="1" x14ac:dyDescent="0.35"/>
    <row r="307" spans="2:15" ht="15.6" thickTop="1" thickBot="1" x14ac:dyDescent="0.35">
      <c r="B307" s="359" t="s">
        <v>92</v>
      </c>
      <c r="C307" s="360"/>
      <c r="D307" s="259" t="s">
        <v>425</v>
      </c>
      <c r="E307" s="114">
        <v>45611</v>
      </c>
      <c r="G307" s="359" t="s">
        <v>92</v>
      </c>
      <c r="H307" s="360"/>
      <c r="I307" s="259" t="s">
        <v>425</v>
      </c>
      <c r="J307" s="114">
        <v>45641</v>
      </c>
      <c r="L307" s="359" t="s">
        <v>92</v>
      </c>
      <c r="M307" s="360"/>
      <c r="N307" s="259" t="s">
        <v>425</v>
      </c>
      <c r="O307" s="114">
        <v>45672</v>
      </c>
    </row>
    <row r="308" spans="2:15" ht="15.6" thickTop="1" thickBot="1" x14ac:dyDescent="0.35">
      <c r="B308" s="361"/>
      <c r="C308" s="362"/>
      <c r="D308" s="259" t="s">
        <v>426</v>
      </c>
      <c r="E308" s="114">
        <v>44788</v>
      </c>
      <c r="G308" s="361"/>
      <c r="H308" s="362"/>
      <c r="I308" s="259" t="s">
        <v>426</v>
      </c>
      <c r="J308" s="114">
        <v>44788</v>
      </c>
      <c r="L308" s="361"/>
      <c r="M308" s="362"/>
      <c r="N308" s="259" t="s">
        <v>426</v>
      </c>
      <c r="O308" s="114">
        <v>44788</v>
      </c>
    </row>
    <row r="309" spans="2:15" ht="15.6" thickTop="1" thickBot="1" x14ac:dyDescent="0.35">
      <c r="B309" s="363"/>
      <c r="C309" s="364"/>
      <c r="D309" s="259" t="s">
        <v>424</v>
      </c>
      <c r="E309" s="114">
        <v>45640</v>
      </c>
      <c r="G309" s="363"/>
      <c r="H309" s="364"/>
      <c r="I309" s="259" t="s">
        <v>424</v>
      </c>
      <c r="J309" s="114">
        <v>45671</v>
      </c>
      <c r="L309" s="363"/>
      <c r="M309" s="364"/>
      <c r="N309" s="259" t="s">
        <v>424</v>
      </c>
      <c r="O309" s="114">
        <v>45702</v>
      </c>
    </row>
    <row r="310" spans="2:15" ht="15.6" thickTop="1" thickBot="1" x14ac:dyDescent="0.35">
      <c r="B310" s="91" t="s">
        <v>91</v>
      </c>
      <c r="C310" s="2"/>
      <c r="D310" s="2"/>
      <c r="E310" s="173">
        <v>3640</v>
      </c>
      <c r="G310" s="91" t="s">
        <v>91</v>
      </c>
      <c r="H310" s="2"/>
      <c r="I310" s="2"/>
      <c r="J310" s="173">
        <v>3770</v>
      </c>
      <c r="L310" s="91" t="s">
        <v>91</v>
      </c>
      <c r="M310" s="2"/>
      <c r="N310" s="2"/>
      <c r="O310" s="173">
        <v>3900</v>
      </c>
    </row>
    <row r="311" spans="2:15" ht="15.6" thickTop="1" thickBot="1" x14ac:dyDescent="0.35">
      <c r="B311" s="92" t="s">
        <v>170</v>
      </c>
      <c r="C311" s="93"/>
      <c r="D311" s="93"/>
      <c r="E311" s="179"/>
      <c r="G311" s="92" t="s">
        <v>170</v>
      </c>
      <c r="H311" s="93"/>
      <c r="I311" s="93"/>
      <c r="J311" s="179"/>
      <c r="L311" s="92" t="s">
        <v>170</v>
      </c>
      <c r="M311" s="93"/>
      <c r="N311" s="93"/>
      <c r="O311" s="179"/>
    </row>
    <row r="312" spans="2:15" ht="15" thickTop="1" x14ac:dyDescent="0.3">
      <c r="B312" s="177" t="s">
        <v>227</v>
      </c>
      <c r="C312" s="2"/>
      <c r="D312" s="2"/>
      <c r="E312" s="172">
        <v>17310</v>
      </c>
      <c r="G312" s="177" t="s">
        <v>227</v>
      </c>
      <c r="H312" s="2"/>
      <c r="I312" s="2"/>
      <c r="J312" s="172">
        <v>18890</v>
      </c>
      <c r="L312" s="177" t="s">
        <v>227</v>
      </c>
      <c r="M312" s="2"/>
      <c r="N312" s="2"/>
      <c r="O312" s="172">
        <v>20440</v>
      </c>
    </row>
    <row r="313" spans="2:15" x14ac:dyDescent="0.3">
      <c r="B313" s="178" t="s">
        <v>228</v>
      </c>
      <c r="C313" s="2"/>
      <c r="D313" s="2"/>
      <c r="E313" s="100">
        <v>460</v>
      </c>
      <c r="G313" s="178" t="s">
        <v>228</v>
      </c>
      <c r="H313" s="2"/>
      <c r="I313" s="2"/>
      <c r="J313" s="100">
        <v>460</v>
      </c>
      <c r="L313" s="178" t="s">
        <v>228</v>
      </c>
      <c r="M313" s="2"/>
      <c r="N313" s="2"/>
      <c r="O313" s="100">
        <v>460</v>
      </c>
    </row>
    <row r="314" spans="2:15" x14ac:dyDescent="0.3">
      <c r="B314" s="91" t="s">
        <v>103</v>
      </c>
      <c r="C314" s="2"/>
      <c r="D314" s="2"/>
      <c r="E314" s="101">
        <v>1700</v>
      </c>
      <c r="G314" s="91" t="s">
        <v>103</v>
      </c>
      <c r="H314" s="2"/>
      <c r="I314" s="2"/>
      <c r="J314" s="101">
        <v>1580</v>
      </c>
      <c r="L314" s="91" t="s">
        <v>103</v>
      </c>
      <c r="M314" s="2"/>
      <c r="N314" s="2"/>
      <c r="O314" s="101">
        <v>1550</v>
      </c>
    </row>
    <row r="315" spans="2:15" x14ac:dyDescent="0.3">
      <c r="B315" s="178" t="s">
        <v>229</v>
      </c>
      <c r="C315" s="2"/>
      <c r="D315" s="2"/>
      <c r="E315" s="180">
        <v>1828</v>
      </c>
      <c r="G315" s="178" t="s">
        <v>229</v>
      </c>
      <c r="H315" s="2"/>
      <c r="I315" s="2"/>
      <c r="J315" s="180">
        <v>2079.6</v>
      </c>
      <c r="L315" s="178" t="s">
        <v>229</v>
      </c>
      <c r="M315" s="2"/>
      <c r="N315" s="2"/>
      <c r="O315" s="180">
        <v>2281.6</v>
      </c>
    </row>
    <row r="316" spans="2:15" ht="15" thickBot="1" x14ac:dyDescent="0.35">
      <c r="B316" s="91" t="s">
        <v>105</v>
      </c>
      <c r="C316" s="2"/>
      <c r="D316" s="2"/>
      <c r="E316" s="101">
        <v>250</v>
      </c>
      <c r="G316" s="91" t="s">
        <v>105</v>
      </c>
      <c r="H316" s="2"/>
      <c r="I316" s="2"/>
      <c r="J316" s="101">
        <v>251.6</v>
      </c>
      <c r="L316" s="91" t="s">
        <v>105</v>
      </c>
      <c r="M316" s="2"/>
      <c r="N316" s="2"/>
      <c r="O316" s="101">
        <v>202</v>
      </c>
    </row>
    <row r="317" spans="2:15" ht="15.6" thickTop="1" thickBot="1" x14ac:dyDescent="0.35">
      <c r="B317" s="181" t="s">
        <v>39</v>
      </c>
      <c r="C317" s="93"/>
      <c r="D317" s="93"/>
      <c r="E317" s="179"/>
      <c r="G317" s="181" t="s">
        <v>39</v>
      </c>
      <c r="H317" s="93"/>
      <c r="I317" s="93"/>
      <c r="J317" s="179"/>
      <c r="L317" s="181" t="s">
        <v>39</v>
      </c>
      <c r="M317" s="93"/>
      <c r="N317" s="93"/>
      <c r="O317" s="179"/>
    </row>
    <row r="318" spans="2:15" ht="15" thickTop="1" x14ac:dyDescent="0.3">
      <c r="B318" s="91" t="s">
        <v>101</v>
      </c>
      <c r="C318" s="2"/>
      <c r="D318" s="2"/>
      <c r="E318" s="100">
        <v>13376.679999999997</v>
      </c>
      <c r="G318" s="91" t="s">
        <v>101</v>
      </c>
      <c r="H318" s="2"/>
      <c r="I318" s="2"/>
      <c r="J318" s="100">
        <v>14575.019999999997</v>
      </c>
      <c r="L318" s="91" t="s">
        <v>101</v>
      </c>
      <c r="M318" s="2"/>
      <c r="N318" s="2"/>
      <c r="O318" s="100">
        <v>15978.359999999997</v>
      </c>
    </row>
    <row r="319" spans="2:15" x14ac:dyDescent="0.3">
      <c r="B319" s="91" t="s">
        <v>104</v>
      </c>
      <c r="C319" s="2"/>
      <c r="D319" s="2"/>
      <c r="E319" s="101">
        <v>984.18000000000018</v>
      </c>
      <c r="G319" s="91" t="s">
        <v>104</v>
      </c>
      <c r="H319" s="2"/>
      <c r="I319" s="2"/>
      <c r="J319" s="101">
        <v>1025.0400000000002</v>
      </c>
      <c r="L319" s="91" t="s">
        <v>104</v>
      </c>
      <c r="M319" s="2"/>
      <c r="N319" s="2"/>
      <c r="O319" s="101">
        <v>1016.24</v>
      </c>
    </row>
    <row r="320" spans="2:15" ht="15" thickBot="1" x14ac:dyDescent="0.35">
      <c r="B320" s="105" t="s">
        <v>95</v>
      </c>
      <c r="C320" s="104"/>
      <c r="D320" s="95"/>
      <c r="E320" s="103">
        <v>3933.3200000000033</v>
      </c>
      <c r="G320" s="105" t="s">
        <v>95</v>
      </c>
      <c r="H320" s="104"/>
      <c r="I320" s="95"/>
      <c r="J320" s="103">
        <v>4314.9800000000032</v>
      </c>
      <c r="L320" s="105" t="s">
        <v>95</v>
      </c>
      <c r="M320" s="104"/>
      <c r="N320" s="95"/>
      <c r="O320" s="103">
        <v>4461.6400000000031</v>
      </c>
    </row>
    <row r="321" spans="2:15" ht="15" thickTop="1" x14ac:dyDescent="0.3">
      <c r="B321" s="91" t="s">
        <v>102</v>
      </c>
      <c r="C321" s="2"/>
      <c r="D321" s="2"/>
      <c r="E321" s="100">
        <v>1270</v>
      </c>
      <c r="G321" s="91" t="s">
        <v>102</v>
      </c>
      <c r="H321" s="2"/>
      <c r="I321" s="2"/>
      <c r="J321" s="100">
        <v>1410</v>
      </c>
      <c r="L321" s="91" t="s">
        <v>102</v>
      </c>
      <c r="M321" s="2"/>
      <c r="N321" s="2"/>
      <c r="O321" s="100">
        <v>1577.6</v>
      </c>
    </row>
    <row r="322" spans="2:15" x14ac:dyDescent="0.3">
      <c r="B322" s="91" t="s">
        <v>106</v>
      </c>
      <c r="C322" s="2"/>
      <c r="D322" s="2"/>
      <c r="E322" s="101">
        <v>110</v>
      </c>
      <c r="G322" s="91" t="s">
        <v>106</v>
      </c>
      <c r="H322" s="2"/>
      <c r="I322" s="2"/>
      <c r="J322" s="101">
        <v>122</v>
      </c>
      <c r="L322" s="91" t="s">
        <v>106</v>
      </c>
      <c r="M322" s="2"/>
      <c r="N322" s="2"/>
      <c r="O322" s="101">
        <v>129.6</v>
      </c>
    </row>
    <row r="323" spans="2:15" ht="15" thickBot="1" x14ac:dyDescent="0.35">
      <c r="B323" s="105" t="s">
        <v>98</v>
      </c>
      <c r="C323" s="95"/>
      <c r="D323" s="95"/>
      <c r="E323" s="103">
        <v>558</v>
      </c>
      <c r="G323" s="105" t="s">
        <v>98</v>
      </c>
      <c r="H323" s="95"/>
      <c r="I323" s="95"/>
      <c r="J323" s="103">
        <v>669.59999999999991</v>
      </c>
      <c r="L323" s="105" t="s">
        <v>98</v>
      </c>
      <c r="M323" s="95"/>
      <c r="N323" s="95"/>
      <c r="O323" s="103">
        <v>704</v>
      </c>
    </row>
    <row r="324" spans="2:15" ht="15.6" thickTop="1" thickBot="1" x14ac:dyDescent="0.35">
      <c r="B324" s="92" t="s">
        <v>230</v>
      </c>
      <c r="C324" s="182"/>
      <c r="D324" s="93"/>
      <c r="E324" s="186"/>
      <c r="G324" s="92" t="s">
        <v>230</v>
      </c>
      <c r="H324" s="182"/>
      <c r="I324" s="93"/>
      <c r="J324" s="186"/>
      <c r="L324" s="92" t="s">
        <v>230</v>
      </c>
      <c r="M324" s="182"/>
      <c r="N324" s="93"/>
      <c r="O324" s="186"/>
    </row>
    <row r="325" spans="2:15" ht="15" thickTop="1" x14ac:dyDescent="0.3">
      <c r="B325" s="91" t="s">
        <v>302</v>
      </c>
      <c r="C325" s="174"/>
      <c r="D325" s="2"/>
      <c r="E325" s="102">
        <v>156.99999999999997</v>
      </c>
      <c r="G325" s="91" t="s">
        <v>302</v>
      </c>
      <c r="H325" s="174"/>
      <c r="I325" s="2"/>
      <c r="J325" s="102">
        <v>183.69999999999996</v>
      </c>
      <c r="L325" s="91" t="s">
        <v>302</v>
      </c>
      <c r="M325" s="174"/>
      <c r="N325" s="2"/>
      <c r="O325" s="102">
        <v>183.69999999999996</v>
      </c>
    </row>
    <row r="326" spans="2:15" x14ac:dyDescent="0.3">
      <c r="B326" s="91" t="s">
        <v>368</v>
      </c>
      <c r="C326" s="183"/>
      <c r="D326" s="184"/>
      <c r="E326" s="100">
        <v>400</v>
      </c>
      <c r="G326" s="91" t="s">
        <v>368</v>
      </c>
      <c r="H326" s="183"/>
      <c r="I326" s="184"/>
      <c r="J326" s="100">
        <v>400</v>
      </c>
      <c r="L326" s="91" t="s">
        <v>368</v>
      </c>
      <c r="M326" s="183"/>
      <c r="N326" s="184"/>
      <c r="O326" s="100">
        <v>400</v>
      </c>
    </row>
    <row r="327" spans="2:15" x14ac:dyDescent="0.3">
      <c r="B327" s="91" t="s">
        <v>423</v>
      </c>
      <c r="C327" s="183"/>
      <c r="D327" s="184"/>
      <c r="E327" s="100">
        <v>85.71</v>
      </c>
      <c r="G327" s="91" t="s">
        <v>423</v>
      </c>
      <c r="H327" s="183"/>
      <c r="I327" s="184"/>
      <c r="J327" s="100">
        <v>200</v>
      </c>
      <c r="L327" s="91" t="s">
        <v>423</v>
      </c>
      <c r="M327" s="183"/>
      <c r="N327" s="184"/>
      <c r="O327" s="100">
        <v>387.1</v>
      </c>
    </row>
    <row r="328" spans="2:15" x14ac:dyDescent="0.3">
      <c r="B328" s="91" t="s">
        <v>250</v>
      </c>
      <c r="C328" s="183"/>
      <c r="D328" s="184"/>
      <c r="E328" s="100">
        <v>50</v>
      </c>
      <c r="G328" s="91" t="s">
        <v>250</v>
      </c>
      <c r="H328" s="183"/>
      <c r="I328" s="184"/>
      <c r="J328" s="100">
        <v>68</v>
      </c>
      <c r="L328" s="91" t="s">
        <v>250</v>
      </c>
      <c r="M328" s="183"/>
      <c r="N328" s="184"/>
      <c r="O328" s="100">
        <v>106</v>
      </c>
    </row>
    <row r="329" spans="2:15" x14ac:dyDescent="0.3">
      <c r="B329" s="91" t="s">
        <v>93</v>
      </c>
      <c r="C329" s="2"/>
      <c r="D329" s="2"/>
      <c r="E329" s="99">
        <v>3180</v>
      </c>
      <c r="G329" s="91" t="s">
        <v>93</v>
      </c>
      <c r="H329" s="2"/>
      <c r="I329" s="2"/>
      <c r="J329" s="99">
        <v>3310</v>
      </c>
      <c r="L329" s="91" t="s">
        <v>93</v>
      </c>
      <c r="M329" s="2"/>
      <c r="N329" s="2"/>
      <c r="O329" s="99">
        <v>3440</v>
      </c>
    </row>
    <row r="330" spans="2:15" x14ac:dyDescent="0.3">
      <c r="B330" s="91" t="s">
        <v>100</v>
      </c>
      <c r="C330" s="2"/>
      <c r="D330" s="2"/>
      <c r="E330" s="98">
        <v>198.75</v>
      </c>
      <c r="G330" s="91" t="s">
        <v>100</v>
      </c>
      <c r="H330" s="2"/>
      <c r="I330" s="2"/>
      <c r="J330" s="98">
        <v>206.875</v>
      </c>
      <c r="L330" s="91" t="s">
        <v>100</v>
      </c>
      <c r="M330" s="2"/>
      <c r="N330" s="2"/>
      <c r="O330" s="98">
        <v>215</v>
      </c>
    </row>
    <row r="331" spans="2:15" x14ac:dyDescent="0.3">
      <c r="B331" s="91" t="s">
        <v>369</v>
      </c>
      <c r="C331" s="2"/>
      <c r="D331" s="2"/>
      <c r="E331" s="99">
        <v>1535</v>
      </c>
      <c r="G331" s="91" t="s">
        <v>369</v>
      </c>
      <c r="H331" s="2"/>
      <c r="I331" s="2"/>
      <c r="J331" s="99">
        <v>1795.3</v>
      </c>
      <c r="L331" s="91" t="s">
        <v>369</v>
      </c>
      <c r="M331" s="2"/>
      <c r="N331" s="2"/>
      <c r="O331" s="99">
        <v>1959.3</v>
      </c>
    </row>
    <row r="332" spans="2:15" ht="15" thickBot="1" x14ac:dyDescent="0.35">
      <c r="B332" s="91" t="s">
        <v>96</v>
      </c>
      <c r="C332" s="2"/>
      <c r="D332" s="185"/>
      <c r="E332" s="258">
        <v>223.68</v>
      </c>
      <c r="G332" s="91" t="s">
        <v>96</v>
      </c>
      <c r="H332" s="2"/>
      <c r="I332" s="185"/>
      <c r="J332" s="258">
        <v>120.72</v>
      </c>
      <c r="L332" s="91" t="s">
        <v>96</v>
      </c>
      <c r="M332" s="2"/>
      <c r="N332" s="185"/>
      <c r="O332" s="258">
        <v>233.66</v>
      </c>
    </row>
    <row r="333" spans="2:15" ht="15.6" thickTop="1" thickBot="1" x14ac:dyDescent="0.35">
      <c r="B333" s="96" t="s">
        <v>94</v>
      </c>
      <c r="C333" s="97"/>
      <c r="D333" s="187"/>
      <c r="E333" s="188">
        <v>4715</v>
      </c>
      <c r="G333" s="96" t="s">
        <v>94</v>
      </c>
      <c r="H333" s="97"/>
      <c r="I333" s="187"/>
      <c r="J333" s="188">
        <v>5105.3</v>
      </c>
      <c r="L333" s="96" t="s">
        <v>94</v>
      </c>
      <c r="M333" s="97"/>
      <c r="N333" s="187"/>
      <c r="O333" s="188">
        <v>5399.3</v>
      </c>
    </row>
    <row r="334" spans="2:15" ht="15.6" thickTop="1" thickBot="1" x14ac:dyDescent="0.35">
      <c r="B334" s="96" t="s">
        <v>99</v>
      </c>
      <c r="C334" s="97"/>
      <c r="D334" s="187"/>
      <c r="E334" s="199">
        <v>4715.0000000000036</v>
      </c>
      <c r="G334" s="96" t="s">
        <v>99</v>
      </c>
      <c r="H334" s="97"/>
      <c r="I334" s="187"/>
      <c r="J334" s="199">
        <v>5105.3000000000038</v>
      </c>
      <c r="L334" s="96" t="s">
        <v>99</v>
      </c>
      <c r="M334" s="97"/>
      <c r="N334" s="187"/>
      <c r="O334" s="199">
        <v>5399.3000000000029</v>
      </c>
    </row>
    <row r="335" spans="2:15" ht="15" thickTop="1" x14ac:dyDescent="0.3">
      <c r="E335" s="290"/>
      <c r="J335" s="290"/>
      <c r="O335" s="290"/>
    </row>
    <row r="336" spans="2:15" x14ac:dyDescent="0.3">
      <c r="E336" s="290"/>
      <c r="J336" s="290"/>
      <c r="O336" s="290"/>
    </row>
    <row r="337" spans="2:15" x14ac:dyDescent="0.3">
      <c r="E337" s="290"/>
      <c r="J337" s="290"/>
      <c r="O337" s="290"/>
    </row>
    <row r="338" spans="2:15" x14ac:dyDescent="0.3">
      <c r="E338" s="290"/>
      <c r="J338" s="290"/>
      <c r="O338" s="290"/>
    </row>
    <row r="339" spans="2:15" ht="15" thickBot="1" x14ac:dyDescent="0.35"/>
    <row r="340" spans="2:15" ht="15.6" thickTop="1" thickBot="1" x14ac:dyDescent="0.35">
      <c r="B340" s="359" t="s">
        <v>92</v>
      </c>
      <c r="C340" s="360"/>
      <c r="D340" s="259" t="s">
        <v>425</v>
      </c>
      <c r="E340" s="114">
        <v>45703</v>
      </c>
      <c r="G340" s="359" t="s">
        <v>92</v>
      </c>
      <c r="H340" s="360"/>
      <c r="I340" s="259" t="s">
        <v>425</v>
      </c>
      <c r="J340" s="114">
        <v>45731</v>
      </c>
      <c r="L340" s="359" t="s">
        <v>92</v>
      </c>
      <c r="M340" s="360"/>
      <c r="N340" s="259" t="s">
        <v>425</v>
      </c>
      <c r="O340" s="114">
        <v>45762</v>
      </c>
    </row>
    <row r="341" spans="2:15" ht="15.6" thickTop="1" thickBot="1" x14ac:dyDescent="0.35">
      <c r="B341" s="361"/>
      <c r="C341" s="362"/>
      <c r="D341" s="259" t="s">
        <v>426</v>
      </c>
      <c r="E341" s="114">
        <v>44788</v>
      </c>
      <c r="G341" s="361"/>
      <c r="H341" s="362"/>
      <c r="I341" s="259" t="s">
        <v>426</v>
      </c>
      <c r="J341" s="114">
        <v>44788</v>
      </c>
      <c r="L341" s="361"/>
      <c r="M341" s="362"/>
      <c r="N341" s="259" t="s">
        <v>426</v>
      </c>
      <c r="O341" s="114">
        <v>44788</v>
      </c>
    </row>
    <row r="342" spans="2:15" ht="15.6" thickTop="1" thickBot="1" x14ac:dyDescent="0.35">
      <c r="B342" s="363"/>
      <c r="C342" s="364"/>
      <c r="D342" s="259" t="s">
        <v>424</v>
      </c>
      <c r="E342" s="114">
        <v>45730</v>
      </c>
      <c r="G342" s="363"/>
      <c r="H342" s="364"/>
      <c r="I342" s="259" t="s">
        <v>424</v>
      </c>
      <c r="J342" s="114">
        <v>45761</v>
      </c>
      <c r="L342" s="363"/>
      <c r="M342" s="364"/>
      <c r="N342" s="259" t="s">
        <v>424</v>
      </c>
      <c r="O342" s="114">
        <v>45791</v>
      </c>
    </row>
    <row r="343" spans="2:15" ht="15.6" thickTop="1" thickBot="1" x14ac:dyDescent="0.35">
      <c r="B343" s="91" t="s">
        <v>91</v>
      </c>
      <c r="C343" s="2"/>
      <c r="D343" s="2"/>
      <c r="E343" s="173">
        <v>4030</v>
      </c>
      <c r="G343" s="91" t="s">
        <v>91</v>
      </c>
      <c r="H343" s="2"/>
      <c r="I343" s="2"/>
      <c r="J343" s="173">
        <v>4160</v>
      </c>
      <c r="L343" s="91" t="s">
        <v>91</v>
      </c>
      <c r="M343" s="2"/>
      <c r="N343" s="2"/>
      <c r="O343" s="173">
        <v>4810</v>
      </c>
    </row>
    <row r="344" spans="2:15" ht="15.6" thickTop="1" thickBot="1" x14ac:dyDescent="0.35">
      <c r="B344" s="92" t="s">
        <v>170</v>
      </c>
      <c r="C344" s="93"/>
      <c r="D344" s="93"/>
      <c r="E344" s="179"/>
      <c r="G344" s="92" t="s">
        <v>170</v>
      </c>
      <c r="H344" s="93"/>
      <c r="I344" s="93"/>
      <c r="J344" s="179"/>
      <c r="L344" s="92" t="s">
        <v>170</v>
      </c>
      <c r="M344" s="93"/>
      <c r="N344" s="93"/>
      <c r="O344" s="179"/>
    </row>
    <row r="345" spans="2:15" ht="15" thickTop="1" x14ac:dyDescent="0.3">
      <c r="B345" s="177" t="s">
        <v>227</v>
      </c>
      <c r="C345" s="2"/>
      <c r="D345" s="2"/>
      <c r="E345" s="172">
        <v>21640</v>
      </c>
      <c r="G345" s="177" t="s">
        <v>227</v>
      </c>
      <c r="H345" s="2"/>
      <c r="I345" s="2"/>
      <c r="J345" s="172">
        <v>23540</v>
      </c>
      <c r="L345" s="177" t="s">
        <v>227</v>
      </c>
      <c r="M345" s="2"/>
      <c r="N345" s="2"/>
      <c r="O345" s="172">
        <v>24840</v>
      </c>
    </row>
    <row r="346" spans="2:15" x14ac:dyDescent="0.3">
      <c r="B346" s="178" t="s">
        <v>228</v>
      </c>
      <c r="C346" s="2"/>
      <c r="D346" s="2"/>
      <c r="E346" s="100">
        <v>460</v>
      </c>
      <c r="G346" s="178" t="s">
        <v>228</v>
      </c>
      <c r="H346" s="2"/>
      <c r="I346" s="2"/>
      <c r="J346" s="100">
        <v>460</v>
      </c>
      <c r="L346" s="178" t="s">
        <v>228</v>
      </c>
      <c r="M346" s="2"/>
      <c r="N346" s="2"/>
      <c r="O346" s="100">
        <v>460</v>
      </c>
    </row>
    <row r="347" spans="2:15" x14ac:dyDescent="0.3">
      <c r="B347" s="91" t="s">
        <v>103</v>
      </c>
      <c r="C347" s="2"/>
      <c r="D347" s="2"/>
      <c r="E347" s="101">
        <v>1200</v>
      </c>
      <c r="G347" s="91" t="s">
        <v>103</v>
      </c>
      <c r="H347" s="2"/>
      <c r="I347" s="2"/>
      <c r="J347" s="101">
        <v>1900</v>
      </c>
      <c r="L347" s="91" t="s">
        <v>103</v>
      </c>
      <c r="M347" s="2"/>
      <c r="N347" s="2"/>
      <c r="O347" s="101">
        <v>1300</v>
      </c>
    </row>
    <row r="348" spans="2:15" x14ac:dyDescent="0.3">
      <c r="B348" s="178" t="s">
        <v>229</v>
      </c>
      <c r="C348" s="2"/>
      <c r="D348" s="2"/>
      <c r="E348" s="180">
        <v>2357.6</v>
      </c>
      <c r="G348" s="178" t="s">
        <v>229</v>
      </c>
      <c r="H348" s="2"/>
      <c r="I348" s="2"/>
      <c r="J348" s="180">
        <v>2423.6</v>
      </c>
      <c r="L348" s="178" t="s">
        <v>229</v>
      </c>
      <c r="M348" s="2"/>
      <c r="N348" s="2"/>
      <c r="O348" s="180">
        <v>2529.6</v>
      </c>
    </row>
    <row r="349" spans="2:15" ht="15" thickBot="1" x14ac:dyDescent="0.35">
      <c r="B349" s="91" t="s">
        <v>105</v>
      </c>
      <c r="C349" s="2"/>
      <c r="D349" s="2"/>
      <c r="E349" s="101">
        <v>76</v>
      </c>
      <c r="G349" s="91" t="s">
        <v>105</v>
      </c>
      <c r="H349" s="2"/>
      <c r="I349" s="2"/>
      <c r="J349" s="101">
        <v>66</v>
      </c>
      <c r="L349" s="91" t="s">
        <v>105</v>
      </c>
      <c r="M349" s="2"/>
      <c r="N349" s="2"/>
      <c r="O349" s="101">
        <v>106</v>
      </c>
    </row>
    <row r="350" spans="2:15" ht="15.6" thickTop="1" thickBot="1" x14ac:dyDescent="0.35">
      <c r="B350" s="181" t="s">
        <v>39</v>
      </c>
      <c r="C350" s="93"/>
      <c r="D350" s="93"/>
      <c r="E350" s="179"/>
      <c r="G350" s="181" t="s">
        <v>39</v>
      </c>
      <c r="H350" s="93"/>
      <c r="I350" s="93"/>
      <c r="J350" s="179"/>
      <c r="L350" s="181" t="s">
        <v>39</v>
      </c>
      <c r="M350" s="93"/>
      <c r="N350" s="93"/>
      <c r="O350" s="179"/>
    </row>
    <row r="351" spans="2:15" ht="15" thickTop="1" x14ac:dyDescent="0.3">
      <c r="B351" s="91" t="s">
        <v>101</v>
      </c>
      <c r="C351" s="2"/>
      <c r="D351" s="2"/>
      <c r="E351" s="100">
        <v>17026.699999999997</v>
      </c>
      <c r="G351" s="91" t="s">
        <v>101</v>
      </c>
      <c r="H351" s="2"/>
      <c r="I351" s="2"/>
      <c r="J351" s="100">
        <v>18333.369999999995</v>
      </c>
      <c r="L351" s="91" t="s">
        <v>101</v>
      </c>
      <c r="M351" s="2"/>
      <c r="N351" s="2"/>
      <c r="O351" s="100">
        <v>20415.039999999994</v>
      </c>
    </row>
    <row r="352" spans="2:15" x14ac:dyDescent="0.3">
      <c r="B352" s="91" t="s">
        <v>104</v>
      </c>
      <c r="C352" s="2"/>
      <c r="D352" s="2"/>
      <c r="E352" s="101">
        <v>1048.3400000000001</v>
      </c>
      <c r="G352" s="91" t="s">
        <v>104</v>
      </c>
      <c r="H352" s="2"/>
      <c r="I352" s="2"/>
      <c r="J352" s="101">
        <v>1306.67</v>
      </c>
      <c r="L352" s="91" t="s">
        <v>104</v>
      </c>
      <c r="M352" s="2"/>
      <c r="N352" s="2"/>
      <c r="O352" s="101">
        <v>1941.67</v>
      </c>
    </row>
    <row r="353" spans="2:15" ht="15" thickBot="1" x14ac:dyDescent="0.35">
      <c r="B353" s="105" t="s">
        <v>95</v>
      </c>
      <c r="C353" s="104"/>
      <c r="D353" s="95"/>
      <c r="E353" s="103">
        <v>4613.3000000000029</v>
      </c>
      <c r="G353" s="105" t="s">
        <v>95</v>
      </c>
      <c r="H353" s="104"/>
      <c r="I353" s="95"/>
      <c r="J353" s="103">
        <v>5206.6300000000047</v>
      </c>
      <c r="L353" s="105" t="s">
        <v>95</v>
      </c>
      <c r="M353" s="104"/>
      <c r="N353" s="95"/>
      <c r="O353" s="103">
        <v>4424.9600000000064</v>
      </c>
    </row>
    <row r="354" spans="2:15" ht="15" thickTop="1" x14ac:dyDescent="0.3">
      <c r="B354" s="91" t="s">
        <v>102</v>
      </c>
      <c r="C354" s="2"/>
      <c r="D354" s="2"/>
      <c r="E354" s="100">
        <v>1710.6</v>
      </c>
      <c r="G354" s="91" t="s">
        <v>102</v>
      </c>
      <c r="H354" s="2"/>
      <c r="I354" s="2"/>
      <c r="J354" s="100">
        <v>1841.6</v>
      </c>
      <c r="L354" s="91" t="s">
        <v>102</v>
      </c>
      <c r="M354" s="2"/>
      <c r="N354" s="2"/>
      <c r="O354" s="100">
        <v>1979.6</v>
      </c>
    </row>
    <row r="355" spans="2:15" x14ac:dyDescent="0.3">
      <c r="B355" s="91" t="s">
        <v>106</v>
      </c>
      <c r="C355" s="2"/>
      <c r="D355" s="2"/>
      <c r="E355" s="101">
        <v>134</v>
      </c>
      <c r="G355" s="91" t="s">
        <v>106</v>
      </c>
      <c r="H355" s="2"/>
      <c r="I355" s="2"/>
      <c r="J355" s="101">
        <v>131</v>
      </c>
      <c r="L355" s="91" t="s">
        <v>106</v>
      </c>
      <c r="M355" s="2"/>
      <c r="N355" s="2"/>
      <c r="O355" s="101">
        <v>128</v>
      </c>
    </row>
    <row r="356" spans="2:15" ht="15" thickBot="1" x14ac:dyDescent="0.35">
      <c r="B356" s="105" t="s">
        <v>98</v>
      </c>
      <c r="C356" s="95"/>
      <c r="D356" s="95"/>
      <c r="E356" s="103">
        <v>647</v>
      </c>
      <c r="G356" s="105" t="s">
        <v>98</v>
      </c>
      <c r="H356" s="95"/>
      <c r="I356" s="95"/>
      <c r="J356" s="103">
        <v>582</v>
      </c>
      <c r="L356" s="105" t="s">
        <v>98</v>
      </c>
      <c r="M356" s="95"/>
      <c r="N356" s="95"/>
      <c r="O356" s="103">
        <v>550</v>
      </c>
    </row>
    <row r="357" spans="2:15" ht="15.6" thickTop="1" thickBot="1" x14ac:dyDescent="0.35">
      <c r="B357" s="92" t="s">
        <v>230</v>
      </c>
      <c r="C357" s="182"/>
      <c r="D357" s="93"/>
      <c r="E357" s="186"/>
      <c r="G357" s="92" t="s">
        <v>230</v>
      </c>
      <c r="H357" s="182"/>
      <c r="I357" s="93"/>
      <c r="J357" s="186"/>
      <c r="L357" s="92" t="s">
        <v>230</v>
      </c>
      <c r="M357" s="182"/>
      <c r="N357" s="93"/>
      <c r="O357" s="186"/>
    </row>
    <row r="358" spans="2:15" ht="15" thickTop="1" x14ac:dyDescent="0.3">
      <c r="B358" s="91" t="s">
        <v>302</v>
      </c>
      <c r="C358" s="174"/>
      <c r="D358" s="2"/>
      <c r="E358" s="102">
        <v>184.69999999999996</v>
      </c>
      <c r="G358" s="91" t="s">
        <v>302</v>
      </c>
      <c r="H358" s="174"/>
      <c r="I358" s="2"/>
      <c r="J358" s="102">
        <v>184.69999999999996</v>
      </c>
      <c r="L358" s="91" t="s">
        <v>302</v>
      </c>
      <c r="M358" s="174"/>
      <c r="N358" s="2"/>
      <c r="O358" s="102">
        <v>184.69999999999996</v>
      </c>
    </row>
    <row r="359" spans="2:15" x14ac:dyDescent="0.3">
      <c r="B359" s="91" t="s">
        <v>368</v>
      </c>
      <c r="C359" s="183"/>
      <c r="D359" s="184"/>
      <c r="E359" s="100">
        <v>400</v>
      </c>
      <c r="G359" s="91" t="s">
        <v>368</v>
      </c>
      <c r="H359" s="183"/>
      <c r="I359" s="184"/>
      <c r="J359" s="100">
        <v>400</v>
      </c>
      <c r="L359" s="91" t="s">
        <v>368</v>
      </c>
      <c r="M359" s="183"/>
      <c r="N359" s="184"/>
      <c r="O359" s="100">
        <v>400</v>
      </c>
    </row>
    <row r="360" spans="2:15" x14ac:dyDescent="0.3">
      <c r="B360" s="91" t="s">
        <v>423</v>
      </c>
      <c r="C360" s="183"/>
      <c r="D360" s="184"/>
      <c r="E360" s="100">
        <v>0</v>
      </c>
      <c r="G360" s="91" t="s">
        <v>423</v>
      </c>
      <c r="H360" s="183"/>
      <c r="I360" s="184"/>
      <c r="J360" s="100">
        <v>0</v>
      </c>
      <c r="L360" s="91" t="s">
        <v>423</v>
      </c>
      <c r="M360" s="183"/>
      <c r="N360" s="184"/>
      <c r="O360" s="100">
        <v>140</v>
      </c>
    </row>
    <row r="361" spans="2:15" x14ac:dyDescent="0.3">
      <c r="B361" s="91" t="s">
        <v>250</v>
      </c>
      <c r="C361" s="183"/>
      <c r="D361" s="184"/>
      <c r="E361" s="100">
        <v>106</v>
      </c>
      <c r="G361" s="91" t="s">
        <v>250</v>
      </c>
      <c r="H361" s="183"/>
      <c r="I361" s="184"/>
      <c r="J361" s="100">
        <v>106</v>
      </c>
      <c r="L361" s="91" t="s">
        <v>250</v>
      </c>
      <c r="M361" s="183"/>
      <c r="N361" s="184"/>
      <c r="O361" s="100">
        <v>116</v>
      </c>
    </row>
    <row r="362" spans="2:15" x14ac:dyDescent="0.3">
      <c r="B362" s="91" t="s">
        <v>93</v>
      </c>
      <c r="C362" s="2"/>
      <c r="D362" s="2"/>
      <c r="E362" s="99">
        <v>3570</v>
      </c>
      <c r="G362" s="91" t="s">
        <v>93</v>
      </c>
      <c r="H362" s="2"/>
      <c r="I362" s="2"/>
      <c r="J362" s="99">
        <v>3700</v>
      </c>
      <c r="L362" s="91" t="s">
        <v>93</v>
      </c>
      <c r="M362" s="2"/>
      <c r="N362" s="2"/>
      <c r="O362" s="99">
        <v>4350</v>
      </c>
    </row>
    <row r="363" spans="2:15" x14ac:dyDescent="0.3">
      <c r="B363" s="91" t="s">
        <v>100</v>
      </c>
      <c r="C363" s="2"/>
      <c r="D363" s="2"/>
      <c r="E363" s="98">
        <v>223.125</v>
      </c>
      <c r="G363" s="91" t="s">
        <v>100</v>
      </c>
      <c r="H363" s="2"/>
      <c r="I363" s="2"/>
      <c r="J363" s="98">
        <v>231.25</v>
      </c>
      <c r="L363" s="91" t="s">
        <v>100</v>
      </c>
      <c r="M363" s="2"/>
      <c r="N363" s="2"/>
      <c r="O363" s="98">
        <v>271.875</v>
      </c>
    </row>
    <row r="364" spans="2:15" x14ac:dyDescent="0.3">
      <c r="B364" s="91" t="s">
        <v>369</v>
      </c>
      <c r="C364" s="2"/>
      <c r="D364" s="2"/>
      <c r="E364" s="99">
        <v>2036.3</v>
      </c>
      <c r="G364" s="91" t="s">
        <v>369</v>
      </c>
      <c r="H364" s="2"/>
      <c r="I364" s="2"/>
      <c r="J364" s="99">
        <v>2102.2999999999997</v>
      </c>
      <c r="L364" s="91" t="s">
        <v>369</v>
      </c>
      <c r="M364" s="2"/>
      <c r="N364" s="2"/>
      <c r="O364" s="99">
        <v>2198.2999999999997</v>
      </c>
    </row>
    <row r="365" spans="2:15" ht="15" thickBot="1" x14ac:dyDescent="0.35">
      <c r="B365" s="91" t="s">
        <v>96</v>
      </c>
      <c r="C365" s="2"/>
      <c r="D365" s="185"/>
      <c r="E365" s="258">
        <v>346</v>
      </c>
      <c r="G365" s="91" t="s">
        <v>96</v>
      </c>
      <c r="H365" s="2"/>
      <c r="I365" s="185"/>
      <c r="J365" s="258">
        <v>13.67</v>
      </c>
      <c r="L365" s="91" t="s">
        <v>96</v>
      </c>
      <c r="M365" s="2"/>
      <c r="N365" s="185"/>
      <c r="O365" s="258">
        <v>1573.34</v>
      </c>
    </row>
    <row r="366" spans="2:15" ht="15.6" thickTop="1" thickBot="1" x14ac:dyDescent="0.35">
      <c r="B366" s="96" t="s">
        <v>94</v>
      </c>
      <c r="C366" s="97"/>
      <c r="D366" s="187"/>
      <c r="E366" s="188">
        <v>5606.3</v>
      </c>
      <c r="G366" s="96" t="s">
        <v>94</v>
      </c>
      <c r="H366" s="97"/>
      <c r="I366" s="187"/>
      <c r="J366" s="188">
        <v>5802.2999999999993</v>
      </c>
      <c r="L366" s="96" t="s">
        <v>94</v>
      </c>
      <c r="M366" s="97"/>
      <c r="N366" s="187"/>
      <c r="O366" s="188">
        <v>6548.2999999999993</v>
      </c>
    </row>
    <row r="367" spans="2:15" ht="15.6" thickTop="1" thickBot="1" x14ac:dyDescent="0.35">
      <c r="B367" s="96" t="s">
        <v>99</v>
      </c>
      <c r="C367" s="97"/>
      <c r="D367" s="187"/>
      <c r="E367" s="199">
        <v>5606.3000000000029</v>
      </c>
      <c r="G367" s="96" t="s">
        <v>99</v>
      </c>
      <c r="H367" s="97"/>
      <c r="I367" s="187"/>
      <c r="J367" s="199">
        <v>5802.3000000000047</v>
      </c>
      <c r="L367" s="96" t="s">
        <v>99</v>
      </c>
      <c r="M367" s="97"/>
      <c r="N367" s="187"/>
      <c r="O367" s="199">
        <v>6548.3000000000065</v>
      </c>
    </row>
    <row r="368" spans="2:15" ht="15" thickTop="1" x14ac:dyDescent="0.3">
      <c r="E368" s="290"/>
      <c r="J368" s="290"/>
      <c r="O368" s="290"/>
    </row>
    <row r="369" spans="2:15" x14ac:dyDescent="0.3">
      <c r="E369" s="290"/>
      <c r="J369" s="290"/>
      <c r="O369" s="290"/>
    </row>
    <row r="370" spans="2:15" x14ac:dyDescent="0.3">
      <c r="E370" s="290"/>
      <c r="J370" s="290"/>
      <c r="O370" s="290"/>
    </row>
    <row r="371" spans="2:15" x14ac:dyDescent="0.3">
      <c r="E371" s="290"/>
      <c r="J371" s="290"/>
      <c r="O371" s="290"/>
    </row>
    <row r="372" spans="2:15" ht="15" thickBot="1" x14ac:dyDescent="0.35"/>
    <row r="373" spans="2:15" ht="15.6" thickTop="1" thickBot="1" x14ac:dyDescent="0.35">
      <c r="B373" s="359" t="s">
        <v>92</v>
      </c>
      <c r="C373" s="360"/>
      <c r="D373" s="259" t="s">
        <v>425</v>
      </c>
      <c r="E373" s="114">
        <v>45792</v>
      </c>
      <c r="G373" s="359" t="s">
        <v>92</v>
      </c>
      <c r="H373" s="360"/>
      <c r="I373" s="259" t="s">
        <v>425</v>
      </c>
      <c r="J373" s="114">
        <v>45823</v>
      </c>
      <c r="L373" s="359" t="s">
        <v>92</v>
      </c>
      <c r="M373" s="360"/>
      <c r="N373" s="259" t="s">
        <v>425</v>
      </c>
      <c r="O373" s="114">
        <v>45853</v>
      </c>
    </row>
    <row r="374" spans="2:15" ht="15.6" thickTop="1" thickBot="1" x14ac:dyDescent="0.35">
      <c r="B374" s="361"/>
      <c r="C374" s="362"/>
      <c r="D374" s="259" t="s">
        <v>426</v>
      </c>
      <c r="E374" s="114">
        <v>44788</v>
      </c>
      <c r="G374" s="361"/>
      <c r="H374" s="362"/>
      <c r="I374" s="259" t="s">
        <v>426</v>
      </c>
      <c r="J374" s="114">
        <v>44788</v>
      </c>
      <c r="L374" s="361"/>
      <c r="M374" s="362"/>
      <c r="N374" s="259" t="s">
        <v>426</v>
      </c>
      <c r="O374" s="114">
        <v>44788</v>
      </c>
    </row>
    <row r="375" spans="2:15" ht="15.6" thickTop="1" thickBot="1" x14ac:dyDescent="0.35">
      <c r="B375" s="363"/>
      <c r="C375" s="364"/>
      <c r="D375" s="259" t="s">
        <v>424</v>
      </c>
      <c r="E375" s="114">
        <v>45822</v>
      </c>
      <c r="G375" s="363"/>
      <c r="H375" s="364"/>
      <c r="I375" s="259" t="s">
        <v>424</v>
      </c>
      <c r="J375" s="114">
        <v>45852</v>
      </c>
      <c r="L375" s="363"/>
      <c r="M375" s="364"/>
      <c r="N375" s="259" t="s">
        <v>424</v>
      </c>
      <c r="O375" s="114">
        <v>45883</v>
      </c>
    </row>
    <row r="376" spans="2:15" ht="15.6" thickTop="1" thickBot="1" x14ac:dyDescent="0.35">
      <c r="B376" s="91" t="s">
        <v>91</v>
      </c>
      <c r="C376" s="2"/>
      <c r="D376" s="2"/>
      <c r="E376" s="173">
        <v>5290</v>
      </c>
      <c r="G376" s="91" t="s">
        <v>91</v>
      </c>
      <c r="H376" s="2"/>
      <c r="I376" s="2"/>
      <c r="J376" s="173">
        <v>5450</v>
      </c>
      <c r="L376" s="91" t="s">
        <v>91</v>
      </c>
      <c r="M376" s="2"/>
      <c r="N376" s="2"/>
      <c r="O376" s="173">
        <v>5760</v>
      </c>
    </row>
    <row r="377" spans="2:15" ht="15.6" thickTop="1" thickBot="1" x14ac:dyDescent="0.35">
      <c r="B377" s="92" t="s">
        <v>170</v>
      </c>
      <c r="C377" s="93"/>
      <c r="D377" s="93"/>
      <c r="E377" s="179"/>
      <c r="G377" s="92" t="s">
        <v>170</v>
      </c>
      <c r="H377" s="93"/>
      <c r="I377" s="93"/>
      <c r="J377" s="179"/>
      <c r="L377" s="92" t="s">
        <v>170</v>
      </c>
      <c r="M377" s="93"/>
      <c r="N377" s="93"/>
      <c r="O377" s="179"/>
    </row>
    <row r="378" spans="2:15" ht="15" thickTop="1" x14ac:dyDescent="0.3">
      <c r="B378" s="177" t="s">
        <v>227</v>
      </c>
      <c r="C378" s="2"/>
      <c r="D378" s="2"/>
      <c r="E378" s="172">
        <v>28380</v>
      </c>
      <c r="G378" s="177" t="s">
        <v>227</v>
      </c>
      <c r="H378" s="2"/>
      <c r="I378" s="2"/>
      <c r="J378" s="172">
        <v>28380</v>
      </c>
      <c r="L378" s="177" t="s">
        <v>227</v>
      </c>
      <c r="M378" s="2"/>
      <c r="N378" s="2"/>
      <c r="O378" s="172">
        <v>28480</v>
      </c>
    </row>
    <row r="379" spans="2:15" x14ac:dyDescent="0.3">
      <c r="B379" s="178" t="s">
        <v>228</v>
      </c>
      <c r="C379" s="2"/>
      <c r="D379" s="2"/>
      <c r="E379" s="100">
        <v>460</v>
      </c>
      <c r="G379" s="178" t="s">
        <v>228</v>
      </c>
      <c r="H379" s="2"/>
      <c r="I379" s="2"/>
      <c r="J379" s="100">
        <v>460</v>
      </c>
      <c r="L379" s="178" t="s">
        <v>228</v>
      </c>
      <c r="M379" s="2"/>
      <c r="N379" s="2"/>
      <c r="O379" s="100">
        <v>460</v>
      </c>
    </row>
    <row r="380" spans="2:15" x14ac:dyDescent="0.3">
      <c r="B380" s="91" t="s">
        <v>103</v>
      </c>
      <c r="C380" s="2"/>
      <c r="D380" s="2"/>
      <c r="E380" s="101">
        <v>3540</v>
      </c>
      <c r="G380" s="91" t="s">
        <v>103</v>
      </c>
      <c r="H380" s="2"/>
      <c r="I380" s="2"/>
      <c r="J380" s="101">
        <v>0</v>
      </c>
      <c r="L380" s="91" t="s">
        <v>103</v>
      </c>
      <c r="M380" s="2"/>
      <c r="N380" s="2"/>
      <c r="O380" s="101">
        <v>100</v>
      </c>
    </row>
    <row r="381" spans="2:15" x14ac:dyDescent="0.3">
      <c r="B381" s="178" t="s">
        <v>229</v>
      </c>
      <c r="C381" s="2"/>
      <c r="D381" s="2"/>
      <c r="E381" s="180">
        <v>3316.4</v>
      </c>
      <c r="G381" s="178" t="s">
        <v>229</v>
      </c>
      <c r="H381" s="2"/>
      <c r="I381" s="2"/>
      <c r="J381" s="180">
        <v>3316.4</v>
      </c>
      <c r="L381" s="178" t="s">
        <v>229</v>
      </c>
      <c r="M381" s="2"/>
      <c r="N381" s="2"/>
      <c r="O381" s="180">
        <v>3318.4</v>
      </c>
    </row>
    <row r="382" spans="2:15" ht="15" thickBot="1" x14ac:dyDescent="0.35">
      <c r="B382" s="91" t="s">
        <v>105</v>
      </c>
      <c r="C382" s="2"/>
      <c r="D382" s="2"/>
      <c r="E382" s="101">
        <v>786.8</v>
      </c>
      <c r="G382" s="91" t="s">
        <v>105</v>
      </c>
      <c r="H382" s="2"/>
      <c r="I382" s="2"/>
      <c r="J382" s="101">
        <v>0</v>
      </c>
      <c r="L382" s="91" t="s">
        <v>105</v>
      </c>
      <c r="M382" s="2"/>
      <c r="N382" s="2"/>
      <c r="O382" s="101">
        <v>2</v>
      </c>
    </row>
    <row r="383" spans="2:15" ht="15.6" thickTop="1" thickBot="1" x14ac:dyDescent="0.35">
      <c r="B383" s="181" t="s">
        <v>39</v>
      </c>
      <c r="C383" s="93"/>
      <c r="D383" s="93"/>
      <c r="E383" s="179"/>
      <c r="G383" s="181" t="s">
        <v>39</v>
      </c>
      <c r="H383" s="93"/>
      <c r="I383" s="93"/>
      <c r="J383" s="179"/>
      <c r="L383" s="181" t="s">
        <v>39</v>
      </c>
      <c r="M383" s="93"/>
      <c r="N383" s="93"/>
      <c r="O383" s="179"/>
    </row>
    <row r="384" spans="2:15" ht="15" thickTop="1" x14ac:dyDescent="0.3">
      <c r="B384" s="91" t="s">
        <v>101</v>
      </c>
      <c r="C384" s="2"/>
      <c r="D384" s="2"/>
      <c r="E384" s="100">
        <v>21830.039999999994</v>
      </c>
      <c r="G384" s="91" t="s">
        <v>101</v>
      </c>
      <c r="H384" s="2"/>
      <c r="I384" s="2"/>
      <c r="J384" s="100">
        <v>23251.709999999992</v>
      </c>
      <c r="L384" s="91" t="s">
        <v>101</v>
      </c>
      <c r="M384" s="2"/>
      <c r="N384" s="2"/>
      <c r="O384" s="100">
        <v>24733.389999999989</v>
      </c>
    </row>
    <row r="385" spans="2:15" x14ac:dyDescent="0.3">
      <c r="B385" s="91" t="s">
        <v>104</v>
      </c>
      <c r="C385" s="2"/>
      <c r="D385" s="2"/>
      <c r="E385" s="101">
        <v>1215</v>
      </c>
      <c r="G385" s="91" t="s">
        <v>104</v>
      </c>
      <c r="H385" s="2"/>
      <c r="I385" s="2"/>
      <c r="J385" s="101">
        <v>1421.67</v>
      </c>
      <c r="L385" s="91" t="s">
        <v>104</v>
      </c>
      <c r="M385" s="2"/>
      <c r="N385" s="2"/>
      <c r="O385" s="101">
        <v>1481.68</v>
      </c>
    </row>
    <row r="386" spans="2:15" ht="15" thickBot="1" x14ac:dyDescent="0.35">
      <c r="B386" s="105" t="s">
        <v>95</v>
      </c>
      <c r="C386" s="104"/>
      <c r="D386" s="95"/>
      <c r="E386" s="103">
        <v>6549.9600000000064</v>
      </c>
      <c r="G386" s="105" t="s">
        <v>95</v>
      </c>
      <c r="H386" s="104"/>
      <c r="I386" s="95"/>
      <c r="J386" s="103">
        <v>5128.2900000000081</v>
      </c>
      <c r="L386" s="105" t="s">
        <v>95</v>
      </c>
      <c r="M386" s="104"/>
      <c r="N386" s="95"/>
      <c r="O386" s="103">
        <v>3746.6100000000115</v>
      </c>
    </row>
    <row r="387" spans="2:15" ht="15" thickTop="1" x14ac:dyDescent="0.3">
      <c r="B387" s="91" t="s">
        <v>102</v>
      </c>
      <c r="C387" s="2"/>
      <c r="D387" s="2"/>
      <c r="E387" s="100">
        <v>2137.6</v>
      </c>
      <c r="G387" s="91" t="s">
        <v>102</v>
      </c>
      <c r="H387" s="2"/>
      <c r="I387" s="2"/>
      <c r="J387" s="100">
        <v>2326.4</v>
      </c>
      <c r="L387" s="91" t="s">
        <v>102</v>
      </c>
      <c r="M387" s="2"/>
      <c r="N387" s="2"/>
      <c r="O387" s="100">
        <v>2516.4</v>
      </c>
    </row>
    <row r="388" spans="2:15" x14ac:dyDescent="0.3">
      <c r="B388" s="91" t="s">
        <v>106</v>
      </c>
      <c r="C388" s="2"/>
      <c r="D388" s="2"/>
      <c r="E388" s="101">
        <v>138</v>
      </c>
      <c r="G388" s="91" t="s">
        <v>106</v>
      </c>
      <c r="H388" s="2"/>
      <c r="I388" s="2"/>
      <c r="J388" s="101">
        <v>188.8</v>
      </c>
      <c r="L388" s="91" t="s">
        <v>106</v>
      </c>
      <c r="M388" s="2"/>
      <c r="N388" s="2"/>
      <c r="O388" s="101">
        <v>190</v>
      </c>
    </row>
    <row r="389" spans="2:15" ht="15" thickBot="1" x14ac:dyDescent="0.35">
      <c r="B389" s="105" t="s">
        <v>98</v>
      </c>
      <c r="C389" s="95"/>
      <c r="D389" s="95"/>
      <c r="E389" s="103">
        <v>1178.8000000000002</v>
      </c>
      <c r="G389" s="105" t="s">
        <v>98</v>
      </c>
      <c r="H389" s="95"/>
      <c r="I389" s="95"/>
      <c r="J389" s="103">
        <v>990</v>
      </c>
      <c r="L389" s="105" t="s">
        <v>98</v>
      </c>
      <c r="M389" s="95"/>
      <c r="N389" s="95"/>
      <c r="O389" s="103">
        <v>802</v>
      </c>
    </row>
    <row r="390" spans="2:15" ht="15.6" thickTop="1" thickBot="1" x14ac:dyDescent="0.35">
      <c r="B390" s="92" t="s">
        <v>230</v>
      </c>
      <c r="C390" s="182"/>
      <c r="D390" s="93"/>
      <c r="E390" s="186"/>
      <c r="G390" s="92" t="s">
        <v>230</v>
      </c>
      <c r="H390" s="182"/>
      <c r="I390" s="93"/>
      <c r="J390" s="186"/>
      <c r="L390" s="92" t="s">
        <v>230</v>
      </c>
      <c r="M390" s="182"/>
      <c r="N390" s="93"/>
      <c r="O390" s="186"/>
    </row>
    <row r="391" spans="2:15" ht="15" thickTop="1" x14ac:dyDescent="0.3">
      <c r="B391" s="91" t="s">
        <v>302</v>
      </c>
      <c r="C391" s="174"/>
      <c r="D391" s="2"/>
      <c r="E391" s="102">
        <v>184.69999999999996</v>
      </c>
      <c r="G391" s="91" t="s">
        <v>302</v>
      </c>
      <c r="H391" s="174"/>
      <c r="I391" s="2"/>
      <c r="J391" s="102">
        <v>184.69999999999996</v>
      </c>
      <c r="L391" s="91" t="s">
        <v>302</v>
      </c>
      <c r="M391" s="174"/>
      <c r="N391" s="2"/>
      <c r="O391" s="102">
        <v>184.69999999999996</v>
      </c>
    </row>
    <row r="392" spans="2:15" x14ac:dyDescent="0.3">
      <c r="B392" s="91" t="s">
        <v>368</v>
      </c>
      <c r="C392" s="183"/>
      <c r="D392" s="184"/>
      <c r="E392" s="100">
        <v>400</v>
      </c>
      <c r="G392" s="91" t="s">
        <v>368</v>
      </c>
      <c r="H392" s="183"/>
      <c r="I392" s="184"/>
      <c r="J392" s="100">
        <v>400</v>
      </c>
      <c r="L392" s="91" t="s">
        <v>368</v>
      </c>
      <c r="M392" s="183"/>
      <c r="N392" s="184"/>
      <c r="O392" s="100">
        <v>400</v>
      </c>
    </row>
    <row r="393" spans="2:15" x14ac:dyDescent="0.3">
      <c r="B393" s="91" t="s">
        <v>423</v>
      </c>
      <c r="C393" s="183"/>
      <c r="D393" s="184"/>
      <c r="E393" s="100">
        <v>200</v>
      </c>
      <c r="G393" s="91" t="s">
        <v>423</v>
      </c>
      <c r="H393" s="183"/>
      <c r="I393" s="184"/>
      <c r="J393" s="100">
        <v>0</v>
      </c>
      <c r="L393" s="91" t="s">
        <v>423</v>
      </c>
      <c r="M393" s="183"/>
      <c r="N393" s="184"/>
      <c r="O393" s="100">
        <v>0</v>
      </c>
    </row>
    <row r="394" spans="2:15" x14ac:dyDescent="0.3">
      <c r="B394" s="91" t="s">
        <v>250</v>
      </c>
      <c r="C394" s="183"/>
      <c r="D394" s="184"/>
      <c r="E394" s="100">
        <v>136</v>
      </c>
      <c r="G394" s="91" t="s">
        <v>250</v>
      </c>
      <c r="H394" s="183"/>
      <c r="I394" s="184"/>
      <c r="J394" s="100">
        <v>136</v>
      </c>
      <c r="L394" s="91" t="s">
        <v>250</v>
      </c>
      <c r="M394" s="183"/>
      <c r="N394" s="184"/>
      <c r="O394" s="100">
        <v>136</v>
      </c>
    </row>
    <row r="395" spans="2:15" x14ac:dyDescent="0.3">
      <c r="B395" s="91" t="s">
        <v>93</v>
      </c>
      <c r="C395" s="2"/>
      <c r="D395" s="2"/>
      <c r="E395" s="99">
        <v>4830</v>
      </c>
      <c r="G395" s="91" t="s">
        <v>93</v>
      </c>
      <c r="H395" s="2"/>
      <c r="I395" s="2"/>
      <c r="J395" s="99">
        <v>4990</v>
      </c>
      <c r="L395" s="91" t="s">
        <v>93</v>
      </c>
      <c r="M395" s="2"/>
      <c r="N395" s="2"/>
      <c r="O395" s="99">
        <v>5300</v>
      </c>
    </row>
    <row r="396" spans="2:15" x14ac:dyDescent="0.3">
      <c r="B396" s="91" t="s">
        <v>100</v>
      </c>
      <c r="C396" s="2"/>
      <c r="D396" s="2"/>
      <c r="E396" s="98">
        <v>301.875</v>
      </c>
      <c r="G396" s="91" t="s">
        <v>100</v>
      </c>
      <c r="H396" s="2"/>
      <c r="I396" s="2"/>
      <c r="J396" s="98">
        <v>311.875</v>
      </c>
      <c r="L396" s="91" t="s">
        <v>100</v>
      </c>
      <c r="M396" s="2"/>
      <c r="N396" s="2"/>
      <c r="O396" s="98">
        <v>331.25</v>
      </c>
    </row>
    <row r="397" spans="2:15" x14ac:dyDescent="0.3">
      <c r="B397" s="91" t="s">
        <v>369</v>
      </c>
      <c r="C397" s="2"/>
      <c r="D397" s="2"/>
      <c r="E397" s="99">
        <v>2965.1</v>
      </c>
      <c r="G397" s="91" t="s">
        <v>369</v>
      </c>
      <c r="H397" s="2"/>
      <c r="I397" s="2"/>
      <c r="J397" s="99">
        <v>2965.1</v>
      </c>
      <c r="L397" s="91" t="s">
        <v>369</v>
      </c>
      <c r="M397" s="2"/>
      <c r="N397" s="2"/>
      <c r="O397" s="99">
        <v>2967.1</v>
      </c>
    </row>
    <row r="398" spans="2:15" ht="15" thickBot="1" x14ac:dyDescent="0.35">
      <c r="B398" s="91" t="s">
        <v>96</v>
      </c>
      <c r="C398" s="2"/>
      <c r="D398" s="185"/>
      <c r="E398" s="258">
        <v>66.34</v>
      </c>
      <c r="G398" s="91" t="s">
        <v>96</v>
      </c>
      <c r="H398" s="2"/>
      <c r="I398" s="185"/>
      <c r="J398" s="258">
        <v>1836.81</v>
      </c>
      <c r="L398" s="91" t="s">
        <v>96</v>
      </c>
      <c r="M398" s="2"/>
      <c r="N398" s="185"/>
      <c r="O398" s="258">
        <v>3718.49</v>
      </c>
    </row>
    <row r="399" spans="2:15" ht="15.6" thickTop="1" thickBot="1" x14ac:dyDescent="0.35">
      <c r="B399" s="96" t="s">
        <v>94</v>
      </c>
      <c r="C399" s="97"/>
      <c r="D399" s="187"/>
      <c r="E399" s="188">
        <v>7795.1</v>
      </c>
      <c r="G399" s="96" t="s">
        <v>94</v>
      </c>
      <c r="H399" s="97"/>
      <c r="I399" s="187"/>
      <c r="J399" s="188">
        <v>7955.1</v>
      </c>
      <c r="L399" s="96" t="s">
        <v>94</v>
      </c>
      <c r="M399" s="97"/>
      <c r="N399" s="187"/>
      <c r="O399" s="188">
        <v>8267.1</v>
      </c>
    </row>
    <row r="400" spans="2:15" ht="15.6" thickTop="1" thickBot="1" x14ac:dyDescent="0.35">
      <c r="B400" s="96" t="s">
        <v>99</v>
      </c>
      <c r="C400" s="97"/>
      <c r="D400" s="187"/>
      <c r="E400" s="199">
        <v>7795.1000000000067</v>
      </c>
      <c r="G400" s="96" t="s">
        <v>99</v>
      </c>
      <c r="H400" s="97"/>
      <c r="I400" s="187"/>
      <c r="J400" s="199">
        <v>7955.1000000000076</v>
      </c>
      <c r="L400" s="96" t="s">
        <v>99</v>
      </c>
      <c r="M400" s="97"/>
      <c r="N400" s="187"/>
      <c r="O400" s="199">
        <v>8267.1000000000113</v>
      </c>
    </row>
    <row r="401" ht="15" thickTop="1" x14ac:dyDescent="0.3"/>
  </sheetData>
  <mergeCells count="37">
    <mergeCell ref="L340:M342"/>
    <mergeCell ref="B373:C375"/>
    <mergeCell ref="G373:H375"/>
    <mergeCell ref="L373:M375"/>
    <mergeCell ref="B208:C210"/>
    <mergeCell ref="G208:H210"/>
    <mergeCell ref="L208:M210"/>
    <mergeCell ref="B241:C243"/>
    <mergeCell ref="G241:H243"/>
    <mergeCell ref="L241:M243"/>
    <mergeCell ref="B274:C276"/>
    <mergeCell ref="G274:H276"/>
    <mergeCell ref="B307:C309"/>
    <mergeCell ref="G307:H309"/>
    <mergeCell ref="B340:C342"/>
    <mergeCell ref="G340:H342"/>
    <mergeCell ref="G76:H78"/>
    <mergeCell ref="L76:M78"/>
    <mergeCell ref="B109:C111"/>
    <mergeCell ref="G109:H111"/>
    <mergeCell ref="L109:M111"/>
    <mergeCell ref="L274:M276"/>
    <mergeCell ref="L307:M309"/>
    <mergeCell ref="B2:O4"/>
    <mergeCell ref="B142:C144"/>
    <mergeCell ref="G142:H144"/>
    <mergeCell ref="L142:M144"/>
    <mergeCell ref="B175:C177"/>
    <mergeCell ref="G175:H177"/>
    <mergeCell ref="L175:M177"/>
    <mergeCell ref="B10:C12"/>
    <mergeCell ref="G10:H12"/>
    <mergeCell ref="L10:M12"/>
    <mergeCell ref="B43:C45"/>
    <mergeCell ref="G43:H45"/>
    <mergeCell ref="L43:M45"/>
    <mergeCell ref="B76:C78"/>
  </mergeCells>
  <pageMargins left="0.19685039370078741" right="0.19685039370078741" top="0.19685039370078741" bottom="0.19685039370078741" header="0" footer="0"/>
  <pageSetup paperSize="9" scale="5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65" t="s">
        <v>303</v>
      </c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</row>
    <row r="3" spans="2:17" x14ac:dyDescent="0.3"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365"/>
      <c r="O3" s="365"/>
      <c r="Q3" s="24"/>
    </row>
    <row r="4" spans="2:17" x14ac:dyDescent="0.3"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Q4" s="24"/>
    </row>
    <row r="5" spans="2:17" ht="15" thickBot="1" x14ac:dyDescent="0.35">
      <c r="Q5" s="24"/>
    </row>
    <row r="6" spans="2:17" ht="15.6" thickTop="1" thickBot="1" x14ac:dyDescent="0.35">
      <c r="B6" s="359" t="s">
        <v>92</v>
      </c>
      <c r="C6" s="366"/>
      <c r="D6" s="360"/>
      <c r="E6" s="114">
        <v>44788</v>
      </c>
      <c r="G6" s="359" t="s">
        <v>92</v>
      </c>
      <c r="H6" s="366"/>
      <c r="I6" s="360"/>
      <c r="J6" s="114">
        <v>44788</v>
      </c>
      <c r="L6" s="359" t="s">
        <v>92</v>
      </c>
      <c r="M6" s="366"/>
      <c r="N6" s="360"/>
      <c r="O6" s="114">
        <v>44788</v>
      </c>
      <c r="Q6" s="24"/>
    </row>
    <row r="7" spans="2:17" ht="15.6" thickTop="1" thickBot="1" x14ac:dyDescent="0.35">
      <c r="B7" s="363"/>
      <c r="C7" s="367"/>
      <c r="D7" s="364"/>
      <c r="E7" s="114">
        <v>44788</v>
      </c>
      <c r="G7" s="363"/>
      <c r="H7" s="367"/>
      <c r="I7" s="364"/>
      <c r="J7" s="114">
        <v>44819</v>
      </c>
      <c r="L7" s="363"/>
      <c r="M7" s="367"/>
      <c r="N7" s="364"/>
      <c r="O7" s="114">
        <v>44849</v>
      </c>
      <c r="Q7" s="24"/>
    </row>
    <row r="8" spans="2:17" ht="15.6" thickTop="1" thickBot="1" x14ac:dyDescent="0.35">
      <c r="B8" s="91" t="s">
        <v>91</v>
      </c>
      <c r="C8" s="2"/>
      <c r="D8" s="2"/>
      <c r="E8" s="173">
        <v>130</v>
      </c>
      <c r="G8" s="91" t="s">
        <v>91</v>
      </c>
      <c r="H8" s="2"/>
      <c r="I8" s="2"/>
      <c r="J8" s="173">
        <v>260</v>
      </c>
      <c r="L8" s="91" t="s">
        <v>91</v>
      </c>
      <c r="M8" s="2"/>
      <c r="N8" s="2"/>
      <c r="O8" s="173">
        <v>390</v>
      </c>
      <c r="Q8" s="24"/>
    </row>
    <row r="9" spans="2:17" ht="15.6" thickTop="1" thickBot="1" x14ac:dyDescent="0.35">
      <c r="B9" s="92" t="s">
        <v>170</v>
      </c>
      <c r="C9" s="93"/>
      <c r="D9" s="93"/>
      <c r="E9" s="179"/>
      <c r="G9" s="92" t="s">
        <v>170</v>
      </c>
      <c r="H9" s="93"/>
      <c r="I9" s="93"/>
      <c r="J9" s="179"/>
      <c r="L9" s="92" t="s">
        <v>170</v>
      </c>
      <c r="M9" s="93"/>
      <c r="N9" s="93"/>
      <c r="O9" s="179"/>
      <c r="Q9" s="24"/>
    </row>
    <row r="10" spans="2:17" ht="15" thickTop="1" x14ac:dyDescent="0.3">
      <c r="B10" s="177" t="s">
        <v>227</v>
      </c>
      <c r="C10" s="2"/>
      <c r="D10" s="2"/>
      <c r="E10" s="172">
        <v>0</v>
      </c>
      <c r="G10" s="177" t="s">
        <v>227</v>
      </c>
      <c r="H10" s="2"/>
      <c r="I10" s="2"/>
      <c r="J10" s="172">
        <v>160</v>
      </c>
      <c r="L10" s="177" t="s">
        <v>227</v>
      </c>
      <c r="M10" s="2"/>
      <c r="N10" s="2"/>
      <c r="O10" s="172">
        <v>360</v>
      </c>
      <c r="Q10" s="24"/>
    </row>
    <row r="11" spans="2:17" x14ac:dyDescent="0.3">
      <c r="B11" s="178" t="s">
        <v>228</v>
      </c>
      <c r="C11" s="2"/>
      <c r="D11" s="2"/>
      <c r="E11" s="100">
        <v>0</v>
      </c>
      <c r="G11" s="178" t="s">
        <v>228</v>
      </c>
      <c r="H11" s="2"/>
      <c r="I11" s="2"/>
      <c r="J11" s="100">
        <v>100</v>
      </c>
      <c r="L11" s="178" t="s">
        <v>228</v>
      </c>
      <c r="M11" s="2"/>
      <c r="N11" s="2"/>
      <c r="O11" s="100">
        <v>100</v>
      </c>
    </row>
    <row r="12" spans="2:17" x14ac:dyDescent="0.3">
      <c r="B12" s="91" t="s">
        <v>103</v>
      </c>
      <c r="C12" s="2"/>
      <c r="D12" s="2"/>
      <c r="E12" s="101">
        <v>0</v>
      </c>
      <c r="G12" s="91" t="s">
        <v>103</v>
      </c>
      <c r="H12" s="2"/>
      <c r="I12" s="2"/>
      <c r="J12" s="101">
        <v>160</v>
      </c>
      <c r="L12" s="91" t="s">
        <v>103</v>
      </c>
      <c r="M12" s="2"/>
      <c r="N12" s="2"/>
      <c r="O12" s="101">
        <v>200</v>
      </c>
    </row>
    <row r="13" spans="2:17" x14ac:dyDescent="0.3">
      <c r="B13" s="178" t="s">
        <v>229</v>
      </c>
      <c r="C13" s="2"/>
      <c r="D13" s="2"/>
      <c r="E13" s="180">
        <v>0</v>
      </c>
      <c r="G13" s="178" t="s">
        <v>229</v>
      </c>
      <c r="H13" s="2"/>
      <c r="I13" s="2"/>
      <c r="J13" s="180">
        <v>6.4</v>
      </c>
      <c r="L13" s="178" t="s">
        <v>229</v>
      </c>
      <c r="M13" s="2"/>
      <c r="N13" s="2"/>
      <c r="O13" s="180">
        <v>10.4</v>
      </c>
    </row>
    <row r="14" spans="2:17" ht="15" thickBot="1" x14ac:dyDescent="0.35">
      <c r="B14" s="91" t="s">
        <v>105</v>
      </c>
      <c r="C14" s="2"/>
      <c r="D14" s="2"/>
      <c r="E14" s="101">
        <v>0</v>
      </c>
      <c r="G14" s="91" t="s">
        <v>105</v>
      </c>
      <c r="H14" s="2"/>
      <c r="I14" s="2"/>
      <c r="J14" s="101">
        <v>6.4</v>
      </c>
      <c r="L14" s="91" t="s">
        <v>105</v>
      </c>
      <c r="M14" s="2"/>
      <c r="N14" s="2"/>
      <c r="O14" s="101">
        <v>4</v>
      </c>
    </row>
    <row r="15" spans="2:17" ht="15.6" thickTop="1" thickBot="1" x14ac:dyDescent="0.35">
      <c r="B15" s="181" t="s">
        <v>39</v>
      </c>
      <c r="C15" s="93"/>
      <c r="D15" s="93"/>
      <c r="E15" s="179"/>
      <c r="G15" s="181" t="s">
        <v>39</v>
      </c>
      <c r="H15" s="93"/>
      <c r="I15" s="93"/>
      <c r="J15" s="179"/>
      <c r="L15" s="181" t="s">
        <v>39</v>
      </c>
      <c r="M15" s="93"/>
      <c r="N15" s="93"/>
      <c r="O15" s="179"/>
    </row>
    <row r="16" spans="2:17" ht="15" thickTop="1" x14ac:dyDescent="0.3">
      <c r="B16" s="91" t="s">
        <v>101</v>
      </c>
      <c r="C16" s="2"/>
      <c r="D16" s="2"/>
      <c r="E16" s="100">
        <v>0</v>
      </c>
      <c r="G16" s="91" t="s">
        <v>101</v>
      </c>
      <c r="H16" s="2"/>
      <c r="I16" s="2"/>
      <c r="J16" s="100">
        <v>0</v>
      </c>
      <c r="L16" s="91" t="s">
        <v>101</v>
      </c>
      <c r="M16" s="2"/>
      <c r="N16" s="2"/>
      <c r="O16" s="100">
        <v>160</v>
      </c>
    </row>
    <row r="17" spans="2:15" x14ac:dyDescent="0.3">
      <c r="B17" s="91" t="s">
        <v>104</v>
      </c>
      <c r="C17" s="2"/>
      <c r="D17" s="2"/>
      <c r="E17" s="101">
        <v>0</v>
      </c>
      <c r="G17" s="91" t="s">
        <v>104</v>
      </c>
      <c r="H17" s="2"/>
      <c r="I17" s="2"/>
      <c r="J17" s="101">
        <v>0</v>
      </c>
      <c r="L17" s="91" t="s">
        <v>104</v>
      </c>
      <c r="M17" s="2"/>
      <c r="N17" s="2"/>
      <c r="O17" s="101">
        <v>160</v>
      </c>
    </row>
    <row r="18" spans="2:15" ht="15" thickBot="1" x14ac:dyDescent="0.35">
      <c r="B18" s="105" t="s">
        <v>95</v>
      </c>
      <c r="C18" s="104"/>
      <c r="D18" s="95"/>
      <c r="E18" s="103">
        <v>0</v>
      </c>
      <c r="G18" s="105" t="s">
        <v>95</v>
      </c>
      <c r="H18" s="104"/>
      <c r="I18" s="95"/>
      <c r="J18" s="103">
        <v>160</v>
      </c>
      <c r="L18" s="105" t="s">
        <v>95</v>
      </c>
      <c r="M18" s="104"/>
      <c r="N18" s="95"/>
      <c r="O18" s="103">
        <v>200</v>
      </c>
    </row>
    <row r="19" spans="2:15" ht="15" thickTop="1" x14ac:dyDescent="0.3">
      <c r="B19" s="91" t="s">
        <v>102</v>
      </c>
      <c r="C19" s="2"/>
      <c r="D19" s="2"/>
      <c r="E19" s="100">
        <v>0</v>
      </c>
      <c r="G19" s="91" t="s">
        <v>102</v>
      </c>
      <c r="H19" s="2"/>
      <c r="I19" s="2"/>
      <c r="J19" s="100">
        <v>0</v>
      </c>
      <c r="L19" s="91" t="s">
        <v>102</v>
      </c>
      <c r="M19" s="2"/>
      <c r="N19" s="2"/>
      <c r="O19" s="100">
        <v>6.4</v>
      </c>
    </row>
    <row r="20" spans="2:15" x14ac:dyDescent="0.3">
      <c r="B20" s="91" t="s">
        <v>106</v>
      </c>
      <c r="C20" s="2"/>
      <c r="D20" s="2"/>
      <c r="E20" s="101">
        <v>0</v>
      </c>
      <c r="G20" s="91" t="s">
        <v>106</v>
      </c>
      <c r="H20" s="2"/>
      <c r="I20" s="2"/>
      <c r="J20" s="101">
        <v>0</v>
      </c>
      <c r="L20" s="91" t="s">
        <v>106</v>
      </c>
      <c r="M20" s="2"/>
      <c r="N20" s="2"/>
      <c r="O20" s="101">
        <v>6.4</v>
      </c>
    </row>
    <row r="21" spans="2:15" ht="15" thickBot="1" x14ac:dyDescent="0.35">
      <c r="B21" s="105" t="s">
        <v>98</v>
      </c>
      <c r="C21" s="95"/>
      <c r="D21" s="95"/>
      <c r="E21" s="103">
        <v>0</v>
      </c>
      <c r="G21" s="105" t="s">
        <v>98</v>
      </c>
      <c r="H21" s="95"/>
      <c r="I21" s="95"/>
      <c r="J21" s="103">
        <v>6.4</v>
      </c>
      <c r="L21" s="105" t="s">
        <v>98</v>
      </c>
      <c r="M21" s="95"/>
      <c r="N21" s="95"/>
      <c r="O21" s="103">
        <v>4</v>
      </c>
    </row>
    <row r="22" spans="2:15" ht="15.6" thickTop="1" thickBot="1" x14ac:dyDescent="0.35">
      <c r="B22" s="92" t="s">
        <v>230</v>
      </c>
      <c r="C22" s="182"/>
      <c r="D22" s="93"/>
      <c r="E22" s="186"/>
      <c r="G22" s="92" t="s">
        <v>230</v>
      </c>
      <c r="H22" s="182"/>
      <c r="I22" s="93"/>
      <c r="J22" s="186"/>
      <c r="L22" s="92" t="s">
        <v>230</v>
      </c>
      <c r="M22" s="182"/>
      <c r="N22" s="93"/>
      <c r="O22" s="186"/>
    </row>
    <row r="23" spans="2:15" ht="15" thickTop="1" x14ac:dyDescent="0.3">
      <c r="B23" s="91" t="s">
        <v>231</v>
      </c>
      <c r="C23" s="174"/>
      <c r="D23" s="2"/>
      <c r="E23" s="102">
        <v>0</v>
      </c>
      <c r="G23" s="91" t="s">
        <v>231</v>
      </c>
      <c r="H23" s="174"/>
      <c r="I23" s="2"/>
      <c r="J23" s="102">
        <v>0</v>
      </c>
      <c r="L23" s="91" t="s">
        <v>231</v>
      </c>
      <c r="M23" s="174"/>
      <c r="N23" s="2"/>
      <c r="O23" s="102">
        <v>0</v>
      </c>
    </row>
    <row r="24" spans="2:15" x14ac:dyDescent="0.3">
      <c r="B24" s="91" t="s">
        <v>251</v>
      </c>
      <c r="C24" s="183"/>
      <c r="D24" s="184"/>
      <c r="E24" s="100">
        <v>0</v>
      </c>
      <c r="G24" s="91" t="s">
        <v>251</v>
      </c>
      <c r="H24" s="183"/>
      <c r="I24" s="184"/>
      <c r="J24" s="100">
        <v>0</v>
      </c>
      <c r="L24" s="91" t="s">
        <v>251</v>
      </c>
      <c r="M24" s="183"/>
      <c r="N24" s="184"/>
      <c r="O24" s="100">
        <v>0</v>
      </c>
    </row>
    <row r="25" spans="2:15" x14ac:dyDescent="0.3">
      <c r="B25" s="91" t="s">
        <v>250</v>
      </c>
      <c r="C25" s="183"/>
      <c r="D25" s="184"/>
      <c r="E25" s="100">
        <v>0</v>
      </c>
      <c r="G25" s="91" t="s">
        <v>250</v>
      </c>
      <c r="H25" s="183"/>
      <c r="I25" s="184"/>
      <c r="J25" s="100">
        <v>0</v>
      </c>
      <c r="L25" s="91" t="s">
        <v>250</v>
      </c>
      <c r="M25" s="183"/>
      <c r="N25" s="184"/>
      <c r="O25" s="100">
        <v>0</v>
      </c>
    </row>
    <row r="26" spans="2:15" x14ac:dyDescent="0.3">
      <c r="B26" s="91" t="s">
        <v>93</v>
      </c>
      <c r="C26" s="2"/>
      <c r="D26" s="2"/>
      <c r="E26" s="99">
        <v>130</v>
      </c>
      <c r="G26" s="91" t="s">
        <v>93</v>
      </c>
      <c r="H26" s="2"/>
      <c r="I26" s="2"/>
      <c r="J26" s="99">
        <v>160</v>
      </c>
      <c r="L26" s="91" t="s">
        <v>93</v>
      </c>
      <c r="M26" s="2"/>
      <c r="N26" s="2"/>
      <c r="O26" s="99">
        <v>290</v>
      </c>
    </row>
    <row r="27" spans="2:15" x14ac:dyDescent="0.3">
      <c r="B27" s="91" t="s">
        <v>100</v>
      </c>
      <c r="C27" s="2"/>
      <c r="D27" s="2"/>
      <c r="E27" s="98">
        <v>10</v>
      </c>
      <c r="G27" s="91" t="s">
        <v>100</v>
      </c>
      <c r="H27" s="2"/>
      <c r="I27" s="2"/>
      <c r="J27" s="98">
        <v>12.307692307692308</v>
      </c>
      <c r="L27" s="91" t="s">
        <v>100</v>
      </c>
      <c r="M27" s="2"/>
      <c r="N27" s="2"/>
      <c r="O27" s="98">
        <v>22.307692307692307</v>
      </c>
    </row>
    <row r="28" spans="2:15" x14ac:dyDescent="0.3">
      <c r="B28" s="91" t="s">
        <v>238</v>
      </c>
      <c r="C28" s="2"/>
      <c r="D28" s="2"/>
      <c r="E28" s="99">
        <v>0</v>
      </c>
      <c r="G28" s="91" t="s">
        <v>238</v>
      </c>
      <c r="H28" s="2"/>
      <c r="I28" s="2"/>
      <c r="J28" s="99">
        <v>6.4</v>
      </c>
      <c r="L28" s="91" t="s">
        <v>238</v>
      </c>
      <c r="M28" s="2"/>
      <c r="N28" s="2"/>
      <c r="O28" s="99">
        <v>10.4</v>
      </c>
    </row>
    <row r="29" spans="2:15" ht="15" thickBot="1" x14ac:dyDescent="0.35">
      <c r="B29" s="91" t="s">
        <v>96</v>
      </c>
      <c r="C29" s="2"/>
      <c r="D29" s="185"/>
      <c r="E29" s="190">
        <v>0</v>
      </c>
      <c r="G29" s="91" t="s">
        <v>96</v>
      </c>
      <c r="H29" s="2"/>
      <c r="I29" s="185"/>
      <c r="J29" s="190">
        <v>0</v>
      </c>
      <c r="L29" s="91" t="s">
        <v>96</v>
      </c>
      <c r="M29" s="2"/>
      <c r="N29" s="185"/>
      <c r="O29" s="190">
        <v>0</v>
      </c>
    </row>
    <row r="30" spans="2:15" ht="15.6" thickTop="1" thickBot="1" x14ac:dyDescent="0.35">
      <c r="B30" s="96" t="s">
        <v>94</v>
      </c>
      <c r="C30" s="97"/>
      <c r="D30" s="187"/>
      <c r="E30" s="188">
        <v>130</v>
      </c>
      <c r="G30" s="96" t="s">
        <v>94</v>
      </c>
      <c r="H30" s="97"/>
      <c r="I30" s="187"/>
      <c r="J30" s="188">
        <v>166.4</v>
      </c>
      <c r="L30" s="96" t="s">
        <v>94</v>
      </c>
      <c r="M30" s="97"/>
      <c r="N30" s="187"/>
      <c r="O30" s="188">
        <v>300.39999999999998</v>
      </c>
    </row>
    <row r="31" spans="2:15" ht="15.6" thickTop="1" thickBot="1" x14ac:dyDescent="0.35">
      <c r="B31" s="96" t="s">
        <v>99</v>
      </c>
      <c r="C31" s="97"/>
      <c r="D31" s="187"/>
      <c r="E31" s="199">
        <v>0</v>
      </c>
      <c r="G31" s="96" t="s">
        <v>99</v>
      </c>
      <c r="H31" s="97"/>
      <c r="I31" s="187"/>
      <c r="J31" s="199">
        <v>166.4</v>
      </c>
      <c r="L31" s="96" t="s">
        <v>99</v>
      </c>
      <c r="M31" s="97"/>
      <c r="N31" s="187"/>
      <c r="O31" s="199">
        <v>204</v>
      </c>
    </row>
    <row r="32" spans="2:15" ht="15.6" thickTop="1" thickBot="1" x14ac:dyDescent="0.35"/>
    <row r="33" spans="2:15" ht="15.6" thickTop="1" thickBot="1" x14ac:dyDescent="0.35">
      <c r="B33" s="359" t="s">
        <v>92</v>
      </c>
      <c r="C33" s="366"/>
      <c r="D33" s="360"/>
      <c r="E33" s="114">
        <v>44788</v>
      </c>
      <c r="G33" s="359" t="s">
        <v>92</v>
      </c>
      <c r="H33" s="366"/>
      <c r="I33" s="360"/>
      <c r="J33" s="114">
        <v>44788</v>
      </c>
      <c r="L33" s="359" t="s">
        <v>92</v>
      </c>
      <c r="M33" s="366"/>
      <c r="N33" s="360"/>
      <c r="O33" s="114">
        <v>44788</v>
      </c>
    </row>
    <row r="34" spans="2:15" ht="15.6" thickTop="1" thickBot="1" x14ac:dyDescent="0.35">
      <c r="B34" s="363"/>
      <c r="C34" s="367"/>
      <c r="D34" s="364"/>
      <c r="E34" s="114">
        <v>44880</v>
      </c>
      <c r="G34" s="363"/>
      <c r="H34" s="367"/>
      <c r="I34" s="364"/>
      <c r="J34" s="114">
        <v>44910</v>
      </c>
      <c r="L34" s="363"/>
      <c r="M34" s="367"/>
      <c r="N34" s="364"/>
      <c r="O34" s="114">
        <v>44941</v>
      </c>
    </row>
    <row r="35" spans="2:15" ht="15.6" thickTop="1" thickBot="1" x14ac:dyDescent="0.35">
      <c r="B35" s="91" t="s">
        <v>91</v>
      </c>
      <c r="C35" s="2"/>
      <c r="D35" s="2"/>
      <c r="E35" s="173">
        <v>520</v>
      </c>
      <c r="G35" s="91" t="s">
        <v>91</v>
      </c>
      <c r="H35" s="2"/>
      <c r="I35" s="2"/>
      <c r="J35" s="173">
        <v>650</v>
      </c>
      <c r="L35" s="91" t="s">
        <v>91</v>
      </c>
      <c r="M35" s="2"/>
      <c r="N35" s="2"/>
      <c r="O35" s="173">
        <v>780</v>
      </c>
    </row>
    <row r="36" spans="2:15" ht="15.6" thickTop="1" thickBot="1" x14ac:dyDescent="0.35">
      <c r="B36" s="92" t="s">
        <v>170</v>
      </c>
      <c r="C36" s="93"/>
      <c r="D36" s="93"/>
      <c r="E36" s="179"/>
      <c r="G36" s="92" t="s">
        <v>170</v>
      </c>
      <c r="H36" s="93"/>
      <c r="I36" s="93"/>
      <c r="J36" s="179"/>
      <c r="L36" s="92" t="s">
        <v>170</v>
      </c>
      <c r="M36" s="93"/>
      <c r="N36" s="93"/>
      <c r="O36" s="179"/>
    </row>
    <row r="37" spans="2:15" ht="15" thickTop="1" x14ac:dyDescent="0.3">
      <c r="B37" s="177" t="s">
        <v>227</v>
      </c>
      <c r="C37" s="2"/>
      <c r="D37" s="2"/>
      <c r="E37" s="172">
        <v>760</v>
      </c>
      <c r="G37" s="177" t="s">
        <v>227</v>
      </c>
      <c r="H37" s="2"/>
      <c r="I37" s="2"/>
      <c r="J37" s="172">
        <v>1130</v>
      </c>
      <c r="L37" s="177" t="s">
        <v>227</v>
      </c>
      <c r="M37" s="2"/>
      <c r="N37" s="2"/>
      <c r="O37" s="172">
        <v>1480</v>
      </c>
    </row>
    <row r="38" spans="2:15" x14ac:dyDescent="0.3">
      <c r="B38" s="178" t="s">
        <v>228</v>
      </c>
      <c r="C38" s="2"/>
      <c r="D38" s="2"/>
      <c r="E38" s="100">
        <v>100</v>
      </c>
      <c r="G38" s="178" t="s">
        <v>228</v>
      </c>
      <c r="H38" s="2"/>
      <c r="I38" s="2"/>
      <c r="J38" s="100">
        <v>100</v>
      </c>
      <c r="L38" s="178" t="s">
        <v>228</v>
      </c>
      <c r="M38" s="2"/>
      <c r="N38" s="2"/>
      <c r="O38" s="100">
        <v>100</v>
      </c>
    </row>
    <row r="39" spans="2:15" x14ac:dyDescent="0.3">
      <c r="B39" s="91" t="s">
        <v>103</v>
      </c>
      <c r="C39" s="2"/>
      <c r="D39" s="2"/>
      <c r="E39" s="101">
        <v>400</v>
      </c>
      <c r="G39" s="91" t="s">
        <v>103</v>
      </c>
      <c r="H39" s="2"/>
      <c r="I39" s="2"/>
      <c r="J39" s="101">
        <v>370</v>
      </c>
      <c r="L39" s="91" t="s">
        <v>103</v>
      </c>
      <c r="M39" s="2"/>
      <c r="N39" s="2"/>
      <c r="O39" s="101">
        <v>720</v>
      </c>
    </row>
    <row r="40" spans="2:15" x14ac:dyDescent="0.3">
      <c r="B40" s="178" t="s">
        <v>229</v>
      </c>
      <c r="C40" s="2"/>
      <c r="D40" s="2"/>
      <c r="E40" s="180">
        <v>22.4</v>
      </c>
      <c r="G40" s="178" t="s">
        <v>229</v>
      </c>
      <c r="H40" s="2"/>
      <c r="I40" s="2"/>
      <c r="J40" s="180">
        <v>55.4</v>
      </c>
      <c r="L40" s="178" t="s">
        <v>229</v>
      </c>
      <c r="M40" s="2"/>
      <c r="N40" s="2"/>
      <c r="O40" s="180">
        <v>78.400000000000006</v>
      </c>
    </row>
    <row r="41" spans="2:15" ht="15" thickBot="1" x14ac:dyDescent="0.35">
      <c r="B41" s="91" t="s">
        <v>105</v>
      </c>
      <c r="C41" s="2"/>
      <c r="D41" s="2"/>
      <c r="E41" s="101">
        <v>12</v>
      </c>
      <c r="G41" s="91" t="s">
        <v>105</v>
      </c>
      <c r="H41" s="2"/>
      <c r="I41" s="2"/>
      <c r="J41" s="101">
        <v>33</v>
      </c>
      <c r="L41" s="91" t="s">
        <v>105</v>
      </c>
      <c r="M41" s="2"/>
      <c r="N41" s="2"/>
      <c r="O41" s="101">
        <v>56</v>
      </c>
    </row>
    <row r="42" spans="2:15" ht="15.6" thickTop="1" thickBot="1" x14ac:dyDescent="0.35">
      <c r="B42" s="181" t="s">
        <v>39</v>
      </c>
      <c r="C42" s="93"/>
      <c r="D42" s="93"/>
      <c r="E42" s="179"/>
      <c r="G42" s="181" t="s">
        <v>39</v>
      </c>
      <c r="H42" s="93"/>
      <c r="I42" s="93"/>
      <c r="J42" s="179"/>
      <c r="L42" s="181" t="s">
        <v>39</v>
      </c>
      <c r="M42" s="93"/>
      <c r="N42" s="93"/>
      <c r="O42" s="179"/>
    </row>
    <row r="43" spans="2:15" ht="15" thickTop="1" x14ac:dyDescent="0.3">
      <c r="B43" s="91" t="s">
        <v>101</v>
      </c>
      <c r="C43" s="2"/>
      <c r="D43" s="2"/>
      <c r="E43" s="100">
        <v>360</v>
      </c>
      <c r="G43" s="91" t="s">
        <v>101</v>
      </c>
      <c r="H43" s="2"/>
      <c r="I43" s="2"/>
      <c r="J43" s="100">
        <v>360</v>
      </c>
      <c r="L43" s="91" t="s">
        <v>101</v>
      </c>
      <c r="M43" s="2"/>
      <c r="N43" s="2"/>
      <c r="O43" s="100">
        <v>594</v>
      </c>
    </row>
    <row r="44" spans="2:15" x14ac:dyDescent="0.3">
      <c r="B44" s="91" t="s">
        <v>104</v>
      </c>
      <c r="C44" s="2"/>
      <c r="D44" s="2"/>
      <c r="E44" s="101">
        <v>200</v>
      </c>
      <c r="G44" s="91" t="s">
        <v>104</v>
      </c>
      <c r="H44" s="2"/>
      <c r="I44" s="2"/>
      <c r="J44" s="101">
        <v>0</v>
      </c>
      <c r="L44" s="91" t="s">
        <v>104</v>
      </c>
      <c r="M44" s="2"/>
      <c r="N44" s="2"/>
      <c r="O44" s="101">
        <v>234</v>
      </c>
    </row>
    <row r="45" spans="2:15" ht="15" thickBot="1" x14ac:dyDescent="0.35">
      <c r="B45" s="105" t="s">
        <v>95</v>
      </c>
      <c r="C45" s="104"/>
      <c r="D45" s="95"/>
      <c r="E45" s="103">
        <v>400</v>
      </c>
      <c r="G45" s="105" t="s">
        <v>95</v>
      </c>
      <c r="H45" s="104"/>
      <c r="I45" s="95"/>
      <c r="J45" s="103">
        <v>770</v>
      </c>
      <c r="L45" s="105" t="s">
        <v>95</v>
      </c>
      <c r="M45" s="104"/>
      <c r="N45" s="95"/>
      <c r="O45" s="103">
        <v>886</v>
      </c>
    </row>
    <row r="46" spans="2:15" ht="15" thickTop="1" x14ac:dyDescent="0.3">
      <c r="B46" s="91" t="s">
        <v>102</v>
      </c>
      <c r="C46" s="2"/>
      <c r="D46" s="2"/>
      <c r="E46" s="100">
        <v>10.4</v>
      </c>
      <c r="G46" s="91" t="s">
        <v>102</v>
      </c>
      <c r="H46" s="2"/>
      <c r="I46" s="2"/>
      <c r="J46" s="100">
        <v>10.4</v>
      </c>
      <c r="L46" s="91" t="s">
        <v>102</v>
      </c>
      <c r="M46" s="2"/>
      <c r="N46" s="2"/>
      <c r="O46" s="100">
        <v>13.8</v>
      </c>
    </row>
    <row r="47" spans="2:15" x14ac:dyDescent="0.3">
      <c r="B47" s="91" t="s">
        <v>106</v>
      </c>
      <c r="C47" s="2"/>
      <c r="D47" s="2"/>
      <c r="E47" s="101">
        <v>4</v>
      </c>
      <c r="G47" s="91" t="s">
        <v>106</v>
      </c>
      <c r="H47" s="2"/>
      <c r="I47" s="2"/>
      <c r="J47" s="101">
        <v>0</v>
      </c>
      <c r="L47" s="91" t="s">
        <v>106</v>
      </c>
      <c r="M47" s="2"/>
      <c r="N47" s="2"/>
      <c r="O47" s="101">
        <v>3.4</v>
      </c>
    </row>
    <row r="48" spans="2:15" ht="15" thickBot="1" x14ac:dyDescent="0.35">
      <c r="B48" s="105" t="s">
        <v>98</v>
      </c>
      <c r="C48" s="95"/>
      <c r="D48" s="95"/>
      <c r="E48" s="103">
        <v>11.999999999999998</v>
      </c>
      <c r="G48" s="105" t="s">
        <v>98</v>
      </c>
      <c r="H48" s="95"/>
      <c r="I48" s="95"/>
      <c r="J48" s="103">
        <v>45</v>
      </c>
      <c r="L48" s="105" t="s">
        <v>98</v>
      </c>
      <c r="M48" s="95"/>
      <c r="N48" s="95"/>
      <c r="O48" s="103">
        <v>64.600000000000009</v>
      </c>
    </row>
    <row r="49" spans="2:15" ht="15.6" thickTop="1" thickBot="1" x14ac:dyDescent="0.35">
      <c r="B49" s="92" t="s">
        <v>230</v>
      </c>
      <c r="C49" s="182"/>
      <c r="D49" s="93"/>
      <c r="E49" s="186"/>
      <c r="G49" s="92" t="s">
        <v>230</v>
      </c>
      <c r="H49" s="182"/>
      <c r="I49" s="93"/>
      <c r="J49" s="186"/>
      <c r="L49" s="92" t="s">
        <v>230</v>
      </c>
      <c r="M49" s="182"/>
      <c r="N49" s="93"/>
      <c r="O49" s="186"/>
    </row>
    <row r="50" spans="2:15" ht="15" thickTop="1" x14ac:dyDescent="0.3">
      <c r="B50" s="91" t="s">
        <v>231</v>
      </c>
      <c r="C50" s="174"/>
      <c r="D50" s="2"/>
      <c r="E50" s="102">
        <v>0</v>
      </c>
      <c r="G50" s="91" t="s">
        <v>231</v>
      </c>
      <c r="H50" s="174"/>
      <c r="I50" s="2"/>
      <c r="J50" s="102">
        <v>0</v>
      </c>
      <c r="L50" s="91" t="s">
        <v>231</v>
      </c>
      <c r="M50" s="174"/>
      <c r="N50" s="2"/>
      <c r="O50" s="102">
        <v>10</v>
      </c>
    </row>
    <row r="51" spans="2:15" x14ac:dyDescent="0.3">
      <c r="B51" s="91" t="s">
        <v>251</v>
      </c>
      <c r="C51" s="183"/>
      <c r="D51" s="184"/>
      <c r="E51" s="100">
        <v>0</v>
      </c>
      <c r="G51" s="91" t="s">
        <v>251</v>
      </c>
      <c r="H51" s="183"/>
      <c r="I51" s="184"/>
      <c r="J51" s="100">
        <v>0</v>
      </c>
      <c r="L51" s="91" t="s">
        <v>251</v>
      </c>
      <c r="M51" s="183"/>
      <c r="N51" s="184"/>
      <c r="O51" s="100">
        <v>0</v>
      </c>
    </row>
    <row r="52" spans="2:15" x14ac:dyDescent="0.3">
      <c r="B52" s="91" t="s">
        <v>250</v>
      </c>
      <c r="C52" s="183"/>
      <c r="D52" s="184"/>
      <c r="E52" s="100">
        <v>0</v>
      </c>
      <c r="G52" s="91" t="s">
        <v>250</v>
      </c>
      <c r="H52" s="183"/>
      <c r="I52" s="184"/>
      <c r="J52" s="100">
        <v>0</v>
      </c>
      <c r="L52" s="91" t="s">
        <v>250</v>
      </c>
      <c r="M52" s="183"/>
      <c r="N52" s="184"/>
      <c r="O52" s="100">
        <v>0</v>
      </c>
    </row>
    <row r="53" spans="2:15" x14ac:dyDescent="0.3">
      <c r="B53" s="91" t="s">
        <v>93</v>
      </c>
      <c r="C53" s="2"/>
      <c r="D53" s="2"/>
      <c r="E53" s="99">
        <v>420</v>
      </c>
      <c r="G53" s="91" t="s">
        <v>93</v>
      </c>
      <c r="H53" s="2"/>
      <c r="I53" s="2"/>
      <c r="J53" s="99">
        <v>550</v>
      </c>
      <c r="L53" s="91" t="s">
        <v>93</v>
      </c>
      <c r="M53" s="2"/>
      <c r="N53" s="2"/>
      <c r="O53" s="99">
        <v>680</v>
      </c>
    </row>
    <row r="54" spans="2:15" x14ac:dyDescent="0.3">
      <c r="B54" s="91" t="s">
        <v>100</v>
      </c>
      <c r="C54" s="2"/>
      <c r="D54" s="2"/>
      <c r="E54" s="98">
        <v>32.307692307692307</v>
      </c>
      <c r="G54" s="91" t="s">
        <v>100</v>
      </c>
      <c r="H54" s="2"/>
      <c r="I54" s="2"/>
      <c r="J54" s="98">
        <v>42.307692307692307</v>
      </c>
      <c r="L54" s="91" t="s">
        <v>100</v>
      </c>
      <c r="M54" s="2"/>
      <c r="N54" s="2"/>
      <c r="O54" s="98">
        <v>52.307692307692307</v>
      </c>
    </row>
    <row r="55" spans="2:15" x14ac:dyDescent="0.3">
      <c r="B55" s="91" t="s">
        <v>238</v>
      </c>
      <c r="C55" s="2"/>
      <c r="D55" s="2"/>
      <c r="E55" s="99">
        <v>22.4</v>
      </c>
      <c r="G55" s="91" t="s">
        <v>238</v>
      </c>
      <c r="H55" s="2"/>
      <c r="I55" s="2"/>
      <c r="J55" s="99">
        <v>55.4</v>
      </c>
      <c r="L55" s="91" t="s">
        <v>238</v>
      </c>
      <c r="M55" s="2"/>
      <c r="N55" s="2"/>
      <c r="O55" s="99">
        <v>88.4</v>
      </c>
    </row>
    <row r="56" spans="2:15" ht="15" thickBot="1" x14ac:dyDescent="0.35">
      <c r="B56" s="91" t="s">
        <v>96</v>
      </c>
      <c r="C56" s="2"/>
      <c r="D56" s="185"/>
      <c r="E56" s="190">
        <v>0</v>
      </c>
      <c r="G56" s="91" t="s">
        <v>96</v>
      </c>
      <c r="H56" s="2"/>
      <c r="I56" s="185"/>
      <c r="J56" s="190">
        <v>0</v>
      </c>
      <c r="L56" s="91" t="s">
        <v>96</v>
      </c>
      <c r="M56" s="2"/>
      <c r="N56" s="185"/>
      <c r="O56" s="190">
        <v>0</v>
      </c>
    </row>
    <row r="57" spans="2:15" ht="15.6" thickTop="1" thickBot="1" x14ac:dyDescent="0.35">
      <c r="B57" s="96" t="s">
        <v>94</v>
      </c>
      <c r="C57" s="97"/>
      <c r="D57" s="187"/>
      <c r="E57" s="188">
        <v>442.4</v>
      </c>
      <c r="G57" s="96" t="s">
        <v>94</v>
      </c>
      <c r="H57" s="97"/>
      <c r="I57" s="187"/>
      <c r="J57" s="188">
        <v>605.4</v>
      </c>
      <c r="L57" s="96" t="s">
        <v>94</v>
      </c>
      <c r="M57" s="97"/>
      <c r="N57" s="187"/>
      <c r="O57" s="188">
        <v>768.4</v>
      </c>
    </row>
    <row r="58" spans="2:15" ht="15.6" thickTop="1" thickBot="1" x14ac:dyDescent="0.35">
      <c r="B58" s="96" t="s">
        <v>99</v>
      </c>
      <c r="C58" s="97"/>
      <c r="D58" s="187"/>
      <c r="E58" s="199">
        <v>412</v>
      </c>
      <c r="G58" s="96" t="s">
        <v>99</v>
      </c>
      <c r="H58" s="97"/>
      <c r="I58" s="187"/>
      <c r="J58" s="199">
        <v>815</v>
      </c>
      <c r="L58" s="96" t="s">
        <v>99</v>
      </c>
      <c r="M58" s="97"/>
      <c r="N58" s="187"/>
      <c r="O58" s="199">
        <v>950.6</v>
      </c>
    </row>
    <row r="59" spans="2:15" ht="15.6" thickTop="1" thickBot="1" x14ac:dyDescent="0.35"/>
    <row r="60" spans="2:15" ht="15.6" thickTop="1" thickBot="1" x14ac:dyDescent="0.35">
      <c r="B60" s="359" t="s">
        <v>92</v>
      </c>
      <c r="C60" s="366"/>
      <c r="D60" s="360"/>
      <c r="E60" s="114">
        <v>44788</v>
      </c>
      <c r="G60" s="359" t="s">
        <v>92</v>
      </c>
      <c r="H60" s="366"/>
      <c r="I60" s="360"/>
      <c r="J60" s="114">
        <v>44788</v>
      </c>
      <c r="L60" s="359" t="s">
        <v>92</v>
      </c>
      <c r="M60" s="366"/>
      <c r="N60" s="360"/>
      <c r="O60" s="114">
        <v>44788</v>
      </c>
    </row>
    <row r="61" spans="2:15" ht="15.6" thickTop="1" thickBot="1" x14ac:dyDescent="0.35">
      <c r="B61" s="363"/>
      <c r="C61" s="367"/>
      <c r="D61" s="364"/>
      <c r="E61" s="114">
        <v>44972</v>
      </c>
      <c r="G61" s="363"/>
      <c r="H61" s="367"/>
      <c r="I61" s="364"/>
      <c r="J61" s="114">
        <v>45000</v>
      </c>
      <c r="L61" s="363"/>
      <c r="M61" s="367"/>
      <c r="N61" s="364"/>
      <c r="O61" s="114">
        <v>45031</v>
      </c>
    </row>
    <row r="62" spans="2:15" ht="15.6" thickTop="1" thickBot="1" x14ac:dyDescent="0.35">
      <c r="B62" s="91" t="s">
        <v>91</v>
      </c>
      <c r="C62" s="2"/>
      <c r="D62" s="2"/>
      <c r="E62" s="173">
        <v>910</v>
      </c>
      <c r="G62" s="91" t="s">
        <v>91</v>
      </c>
      <c r="H62" s="2"/>
      <c r="I62" s="2"/>
      <c r="J62" s="173">
        <v>1040</v>
      </c>
      <c r="L62" s="91" t="s">
        <v>91</v>
      </c>
      <c r="M62" s="2"/>
      <c r="N62" s="2"/>
      <c r="O62" s="173">
        <v>1170</v>
      </c>
    </row>
    <row r="63" spans="2:15" ht="15.6" thickTop="1" thickBot="1" x14ac:dyDescent="0.35">
      <c r="B63" s="92" t="s">
        <v>170</v>
      </c>
      <c r="C63" s="93"/>
      <c r="D63" s="93"/>
      <c r="E63" s="179"/>
      <c r="G63" s="92" t="s">
        <v>170</v>
      </c>
      <c r="H63" s="93"/>
      <c r="I63" s="93"/>
      <c r="J63" s="179"/>
      <c r="L63" s="92" t="s">
        <v>170</v>
      </c>
      <c r="M63" s="93"/>
      <c r="N63" s="93"/>
      <c r="O63" s="179"/>
    </row>
    <row r="64" spans="2:15" ht="15" thickTop="1" x14ac:dyDescent="0.3">
      <c r="B64" s="177" t="s">
        <v>227</v>
      </c>
      <c r="C64" s="2"/>
      <c r="D64" s="2"/>
      <c r="E64" s="172">
        <v>1880</v>
      </c>
      <c r="G64" s="177" t="s">
        <v>227</v>
      </c>
      <c r="H64" s="2"/>
      <c r="I64" s="2"/>
      <c r="J64" s="172">
        <v>2360</v>
      </c>
      <c r="L64" s="177" t="s">
        <v>227</v>
      </c>
      <c r="M64" s="2"/>
      <c r="N64" s="2"/>
      <c r="O64" s="172">
        <v>2660</v>
      </c>
    </row>
    <row r="65" spans="2:15" x14ac:dyDescent="0.3">
      <c r="B65" s="178" t="s">
        <v>228</v>
      </c>
      <c r="C65" s="2"/>
      <c r="D65" s="2"/>
      <c r="E65" s="100">
        <v>100</v>
      </c>
      <c r="G65" s="178" t="s">
        <v>228</v>
      </c>
      <c r="H65" s="2"/>
      <c r="I65" s="2"/>
      <c r="J65" s="100">
        <v>100</v>
      </c>
      <c r="L65" s="178" t="s">
        <v>228</v>
      </c>
      <c r="M65" s="2"/>
      <c r="N65" s="2"/>
      <c r="O65" s="100">
        <v>100</v>
      </c>
    </row>
    <row r="66" spans="2:15" x14ac:dyDescent="0.3">
      <c r="B66" s="91" t="s">
        <v>103</v>
      </c>
      <c r="C66" s="2"/>
      <c r="D66" s="2"/>
      <c r="E66" s="101">
        <v>400</v>
      </c>
      <c r="G66" s="91" t="s">
        <v>103</v>
      </c>
      <c r="H66" s="2"/>
      <c r="I66" s="2"/>
      <c r="J66" s="101">
        <v>480</v>
      </c>
      <c r="L66" s="91" t="s">
        <v>103</v>
      </c>
      <c r="M66" s="2"/>
      <c r="N66" s="2"/>
      <c r="O66" s="101">
        <v>300</v>
      </c>
    </row>
    <row r="67" spans="2:15" x14ac:dyDescent="0.3">
      <c r="B67" s="178" t="s">
        <v>229</v>
      </c>
      <c r="C67" s="2"/>
      <c r="D67" s="2"/>
      <c r="E67" s="180">
        <v>104.4</v>
      </c>
      <c r="G67" s="178" t="s">
        <v>229</v>
      </c>
      <c r="H67" s="2"/>
      <c r="I67" s="2"/>
      <c r="J67" s="180">
        <v>138</v>
      </c>
      <c r="L67" s="178" t="s">
        <v>229</v>
      </c>
      <c r="M67" s="2"/>
      <c r="N67" s="2"/>
      <c r="O67" s="180">
        <v>162</v>
      </c>
    </row>
    <row r="68" spans="2:15" ht="15" thickBot="1" x14ac:dyDescent="0.35">
      <c r="B68" s="91" t="s">
        <v>105</v>
      </c>
      <c r="C68" s="2"/>
      <c r="D68" s="2"/>
      <c r="E68" s="101">
        <v>26</v>
      </c>
      <c r="G68" s="91" t="s">
        <v>105</v>
      </c>
      <c r="H68" s="2"/>
      <c r="I68" s="2"/>
      <c r="J68" s="101">
        <v>33.6</v>
      </c>
      <c r="L68" s="91" t="s">
        <v>105</v>
      </c>
      <c r="M68" s="2"/>
      <c r="N68" s="2"/>
      <c r="O68" s="101">
        <v>24</v>
      </c>
    </row>
    <row r="69" spans="2:15" ht="15.6" thickTop="1" thickBot="1" x14ac:dyDescent="0.35">
      <c r="B69" s="181" t="s">
        <v>39</v>
      </c>
      <c r="C69" s="93"/>
      <c r="D69" s="93"/>
      <c r="E69" s="179"/>
      <c r="G69" s="181" t="s">
        <v>39</v>
      </c>
      <c r="H69" s="93"/>
      <c r="I69" s="93"/>
      <c r="J69" s="179"/>
      <c r="L69" s="181" t="s">
        <v>39</v>
      </c>
      <c r="M69" s="93"/>
      <c r="N69" s="93"/>
      <c r="O69" s="179"/>
    </row>
    <row r="70" spans="2:15" ht="15" thickTop="1" x14ac:dyDescent="0.3">
      <c r="B70" s="91" t="s">
        <v>101</v>
      </c>
      <c r="C70" s="2"/>
      <c r="D70" s="2"/>
      <c r="E70" s="100">
        <v>936.33</v>
      </c>
      <c r="G70" s="91" t="s">
        <v>101</v>
      </c>
      <c r="H70" s="2"/>
      <c r="I70" s="2"/>
      <c r="J70" s="100">
        <v>1203.6599999999999</v>
      </c>
      <c r="L70" s="91" t="s">
        <v>101</v>
      </c>
      <c r="M70" s="2"/>
      <c r="N70" s="2"/>
      <c r="O70" s="100">
        <v>1850.9899999999998</v>
      </c>
    </row>
    <row r="71" spans="2:15" x14ac:dyDescent="0.3">
      <c r="B71" s="91" t="s">
        <v>104</v>
      </c>
      <c r="C71" s="2"/>
      <c r="D71" s="2"/>
      <c r="E71" s="101">
        <v>342.33</v>
      </c>
      <c r="G71" s="91" t="s">
        <v>104</v>
      </c>
      <c r="H71" s="2"/>
      <c r="I71" s="2"/>
      <c r="J71" s="101">
        <v>267.33</v>
      </c>
      <c r="L71" s="91" t="s">
        <v>104</v>
      </c>
      <c r="M71" s="2"/>
      <c r="N71" s="2"/>
      <c r="O71" s="101">
        <v>647.32999999999993</v>
      </c>
    </row>
    <row r="72" spans="2:15" ht="15" thickBot="1" x14ac:dyDescent="0.35">
      <c r="B72" s="105" t="s">
        <v>95</v>
      </c>
      <c r="C72" s="104"/>
      <c r="D72" s="95"/>
      <c r="E72" s="103">
        <v>943.67</v>
      </c>
      <c r="G72" s="105" t="s">
        <v>95</v>
      </c>
      <c r="H72" s="104"/>
      <c r="I72" s="95"/>
      <c r="J72" s="103">
        <v>1156.3400000000001</v>
      </c>
      <c r="L72" s="105" t="s">
        <v>95</v>
      </c>
      <c r="M72" s="104"/>
      <c r="N72" s="95"/>
      <c r="O72" s="103">
        <v>809.01000000000022</v>
      </c>
    </row>
    <row r="73" spans="2:15" ht="15" thickTop="1" x14ac:dyDescent="0.3">
      <c r="B73" s="91" t="s">
        <v>102</v>
      </c>
      <c r="C73" s="2"/>
      <c r="D73" s="2"/>
      <c r="E73" s="100">
        <v>36.200000000000003</v>
      </c>
      <c r="G73" s="91" t="s">
        <v>102</v>
      </c>
      <c r="H73" s="2"/>
      <c r="I73" s="2"/>
      <c r="J73" s="100">
        <v>54.6</v>
      </c>
      <c r="L73" s="91" t="s">
        <v>102</v>
      </c>
      <c r="M73" s="2"/>
      <c r="N73" s="2"/>
      <c r="O73" s="100">
        <v>98.600000000000009</v>
      </c>
    </row>
    <row r="74" spans="2:15" x14ac:dyDescent="0.3">
      <c r="B74" s="91" t="s">
        <v>106</v>
      </c>
      <c r="C74" s="2"/>
      <c r="D74" s="2"/>
      <c r="E74" s="101">
        <v>22.4</v>
      </c>
      <c r="G74" s="91" t="s">
        <v>106</v>
      </c>
      <c r="H74" s="2"/>
      <c r="I74" s="2"/>
      <c r="J74" s="101">
        <v>18.399999999999999</v>
      </c>
      <c r="L74" s="91" t="s">
        <v>106</v>
      </c>
      <c r="M74" s="2"/>
      <c r="N74" s="2"/>
      <c r="O74" s="101">
        <v>44</v>
      </c>
    </row>
    <row r="75" spans="2:15" ht="15" thickBot="1" x14ac:dyDescent="0.35">
      <c r="B75" s="105" t="s">
        <v>98</v>
      </c>
      <c r="C75" s="95"/>
      <c r="D75" s="95"/>
      <c r="E75" s="103">
        <v>68.2</v>
      </c>
      <c r="G75" s="105" t="s">
        <v>98</v>
      </c>
      <c r="H75" s="95"/>
      <c r="I75" s="95"/>
      <c r="J75" s="103">
        <v>83.4</v>
      </c>
      <c r="L75" s="105" t="s">
        <v>98</v>
      </c>
      <c r="M75" s="95"/>
      <c r="N75" s="95"/>
      <c r="O75" s="103">
        <v>63.399999999999991</v>
      </c>
    </row>
    <row r="76" spans="2:15" ht="15.6" thickTop="1" thickBot="1" x14ac:dyDescent="0.35">
      <c r="B76" s="92" t="s">
        <v>230</v>
      </c>
      <c r="C76" s="182"/>
      <c r="D76" s="93"/>
      <c r="E76" s="186"/>
      <c r="G76" s="92" t="s">
        <v>230</v>
      </c>
      <c r="H76" s="182"/>
      <c r="I76" s="93"/>
      <c r="J76" s="186"/>
      <c r="L76" s="92" t="s">
        <v>230</v>
      </c>
      <c r="M76" s="182"/>
      <c r="N76" s="93"/>
      <c r="O76" s="186"/>
    </row>
    <row r="77" spans="2:15" ht="15" thickTop="1" x14ac:dyDescent="0.3">
      <c r="B77" s="91" t="s">
        <v>231</v>
      </c>
      <c r="C77" s="174"/>
      <c r="D77" s="2"/>
      <c r="E77" s="102">
        <v>10</v>
      </c>
      <c r="G77" s="91" t="s">
        <v>231</v>
      </c>
      <c r="H77" s="174"/>
      <c r="I77" s="2"/>
      <c r="J77" s="102">
        <v>10</v>
      </c>
      <c r="L77" s="91" t="s">
        <v>231</v>
      </c>
      <c r="M77" s="174"/>
      <c r="N77" s="2"/>
      <c r="O77" s="102">
        <v>10</v>
      </c>
    </row>
    <row r="78" spans="2:15" x14ac:dyDescent="0.3">
      <c r="B78" s="91" t="s">
        <v>251</v>
      </c>
      <c r="C78" s="183"/>
      <c r="D78" s="184"/>
      <c r="E78" s="100">
        <v>0</v>
      </c>
      <c r="G78" s="91" t="s">
        <v>251</v>
      </c>
      <c r="H78" s="183"/>
      <c r="I78" s="184"/>
      <c r="J78" s="100">
        <v>0</v>
      </c>
      <c r="L78" s="91" t="s">
        <v>251</v>
      </c>
      <c r="M78" s="183"/>
      <c r="N78" s="184"/>
      <c r="O78" s="100">
        <v>0</v>
      </c>
    </row>
    <row r="79" spans="2:15" x14ac:dyDescent="0.3">
      <c r="B79" s="91" t="s">
        <v>250</v>
      </c>
      <c r="C79" s="183"/>
      <c r="D79" s="184"/>
      <c r="E79" s="100">
        <v>0</v>
      </c>
      <c r="G79" s="91" t="s">
        <v>250</v>
      </c>
      <c r="H79" s="183"/>
      <c r="I79" s="184"/>
      <c r="J79" s="100">
        <v>0</v>
      </c>
      <c r="L79" s="91" t="s">
        <v>250</v>
      </c>
      <c r="M79" s="183"/>
      <c r="N79" s="184"/>
      <c r="O79" s="100">
        <v>0</v>
      </c>
    </row>
    <row r="80" spans="2:15" x14ac:dyDescent="0.3">
      <c r="B80" s="91" t="s">
        <v>93</v>
      </c>
      <c r="C80" s="2"/>
      <c r="D80" s="2"/>
      <c r="E80" s="99">
        <v>810</v>
      </c>
      <c r="G80" s="91" t="s">
        <v>93</v>
      </c>
      <c r="H80" s="2"/>
      <c r="I80" s="2"/>
      <c r="J80" s="99">
        <v>940</v>
      </c>
      <c r="L80" s="91" t="s">
        <v>93</v>
      </c>
      <c r="M80" s="2"/>
      <c r="N80" s="2"/>
      <c r="O80" s="99">
        <v>1070</v>
      </c>
    </row>
    <row r="81" spans="2:15" x14ac:dyDescent="0.3">
      <c r="B81" s="91" t="s">
        <v>100</v>
      </c>
      <c r="C81" s="2"/>
      <c r="D81" s="2"/>
      <c r="E81" s="98">
        <v>62.307692307692307</v>
      </c>
      <c r="G81" s="91" t="s">
        <v>100</v>
      </c>
      <c r="H81" s="2"/>
      <c r="I81" s="2"/>
      <c r="J81" s="98">
        <v>72.307692307692307</v>
      </c>
      <c r="L81" s="91" t="s">
        <v>100</v>
      </c>
      <c r="M81" s="2"/>
      <c r="N81" s="2"/>
      <c r="O81" s="98">
        <v>82.307692307692307</v>
      </c>
    </row>
    <row r="82" spans="2:15" x14ac:dyDescent="0.3">
      <c r="B82" s="91" t="s">
        <v>238</v>
      </c>
      <c r="C82" s="2"/>
      <c r="D82" s="2"/>
      <c r="E82" s="99">
        <v>114.4</v>
      </c>
      <c r="G82" s="91" t="s">
        <v>238</v>
      </c>
      <c r="H82" s="2"/>
      <c r="I82" s="2"/>
      <c r="J82" s="99">
        <v>148</v>
      </c>
      <c r="L82" s="91" t="s">
        <v>238</v>
      </c>
      <c r="M82" s="2"/>
      <c r="N82" s="2"/>
      <c r="O82" s="99">
        <v>172</v>
      </c>
    </row>
    <row r="83" spans="2:15" ht="15" thickBot="1" x14ac:dyDescent="0.35">
      <c r="B83" s="91" t="s">
        <v>96</v>
      </c>
      <c r="C83" s="2"/>
      <c r="D83" s="185"/>
      <c r="E83" s="190">
        <v>0</v>
      </c>
      <c r="G83" s="91" t="s">
        <v>96</v>
      </c>
      <c r="H83" s="2"/>
      <c r="I83" s="185"/>
      <c r="J83" s="190">
        <v>0</v>
      </c>
      <c r="L83" s="91" t="s">
        <v>96</v>
      </c>
      <c r="M83" s="2"/>
      <c r="N83" s="185"/>
      <c r="O83" s="190">
        <v>0</v>
      </c>
    </row>
    <row r="84" spans="2:15" ht="15.6" thickTop="1" thickBot="1" x14ac:dyDescent="0.35">
      <c r="B84" s="96" t="s">
        <v>94</v>
      </c>
      <c r="C84" s="97"/>
      <c r="D84" s="187"/>
      <c r="E84" s="188">
        <v>924.4</v>
      </c>
      <c r="G84" s="96" t="s">
        <v>94</v>
      </c>
      <c r="H84" s="97"/>
      <c r="I84" s="187"/>
      <c r="J84" s="188">
        <v>1088</v>
      </c>
      <c r="L84" s="96" t="s">
        <v>94</v>
      </c>
      <c r="M84" s="97"/>
      <c r="N84" s="187"/>
      <c r="O84" s="188">
        <v>1242</v>
      </c>
    </row>
    <row r="85" spans="2:15" ht="15.6" thickTop="1" thickBot="1" x14ac:dyDescent="0.35">
      <c r="B85" s="96" t="s">
        <v>99</v>
      </c>
      <c r="C85" s="97"/>
      <c r="D85" s="187"/>
      <c r="E85" s="199">
        <v>1011.87</v>
      </c>
      <c r="G85" s="96" t="s">
        <v>99</v>
      </c>
      <c r="H85" s="97"/>
      <c r="I85" s="187"/>
      <c r="J85" s="199">
        <v>1239.7400000000002</v>
      </c>
      <c r="L85" s="96" t="s">
        <v>99</v>
      </c>
      <c r="M85" s="97"/>
      <c r="N85" s="187"/>
      <c r="O85" s="199">
        <v>872.4100000000002</v>
      </c>
    </row>
    <row r="86" spans="2:15" ht="15.6" thickTop="1" thickBot="1" x14ac:dyDescent="0.35"/>
    <row r="87" spans="2:15" ht="15.6" thickTop="1" thickBot="1" x14ac:dyDescent="0.35">
      <c r="B87" s="359" t="s">
        <v>92</v>
      </c>
      <c r="C87" s="366"/>
      <c r="D87" s="360"/>
      <c r="E87" s="114">
        <v>44788</v>
      </c>
      <c r="G87" s="359" t="s">
        <v>92</v>
      </c>
      <c r="H87" s="366"/>
      <c r="I87" s="360"/>
      <c r="J87" s="114">
        <v>44788</v>
      </c>
      <c r="L87" s="359" t="s">
        <v>92</v>
      </c>
      <c r="M87" s="366"/>
      <c r="N87" s="360"/>
      <c r="O87" s="114">
        <v>44788</v>
      </c>
    </row>
    <row r="88" spans="2:15" ht="15.6" thickTop="1" thickBot="1" x14ac:dyDescent="0.35">
      <c r="B88" s="363"/>
      <c r="C88" s="367"/>
      <c r="D88" s="364"/>
      <c r="E88" s="114">
        <v>45061</v>
      </c>
      <c r="G88" s="363"/>
      <c r="H88" s="367"/>
      <c r="I88" s="364"/>
      <c r="J88" s="114">
        <v>45092</v>
      </c>
      <c r="L88" s="363"/>
      <c r="M88" s="367"/>
      <c r="N88" s="364"/>
      <c r="O88" s="114">
        <v>45122</v>
      </c>
    </row>
    <row r="89" spans="2:15" ht="15.6" thickTop="1" thickBot="1" x14ac:dyDescent="0.35">
      <c r="B89" s="91" t="s">
        <v>91</v>
      </c>
      <c r="C89" s="2"/>
      <c r="D89" s="2"/>
      <c r="E89" s="173">
        <v>1300</v>
      </c>
      <c r="G89" s="91" t="s">
        <v>91</v>
      </c>
      <c r="H89" s="2"/>
      <c r="I89" s="2"/>
      <c r="J89" s="173">
        <v>1430</v>
      </c>
      <c r="L89" s="91" t="s">
        <v>91</v>
      </c>
      <c r="M89" s="2"/>
      <c r="N89" s="2"/>
      <c r="O89" s="173">
        <v>1560</v>
      </c>
    </row>
    <row r="90" spans="2:15" ht="15.6" thickTop="1" thickBot="1" x14ac:dyDescent="0.35">
      <c r="B90" s="92" t="s">
        <v>170</v>
      </c>
      <c r="C90" s="93"/>
      <c r="D90" s="93"/>
      <c r="E90" s="179"/>
      <c r="G90" s="92" t="s">
        <v>170</v>
      </c>
      <c r="H90" s="93"/>
      <c r="I90" s="93"/>
      <c r="J90" s="179"/>
      <c r="L90" s="92" t="s">
        <v>170</v>
      </c>
      <c r="M90" s="93"/>
      <c r="N90" s="93"/>
      <c r="O90" s="179"/>
    </row>
    <row r="91" spans="2:15" ht="15" thickTop="1" x14ac:dyDescent="0.3">
      <c r="B91" s="177" t="s">
        <v>227</v>
      </c>
      <c r="C91" s="2"/>
      <c r="D91" s="2"/>
      <c r="E91" s="172">
        <v>2960</v>
      </c>
      <c r="G91" s="177" t="s">
        <v>227</v>
      </c>
      <c r="H91" s="2"/>
      <c r="I91" s="2"/>
      <c r="J91" s="172">
        <v>3960</v>
      </c>
      <c r="L91" s="177" t="s">
        <v>227</v>
      </c>
      <c r="M91" s="2"/>
      <c r="N91" s="2"/>
      <c r="O91" s="172">
        <v>3960</v>
      </c>
    </row>
    <row r="92" spans="2:15" x14ac:dyDescent="0.3">
      <c r="B92" s="178" t="s">
        <v>228</v>
      </c>
      <c r="C92" s="2"/>
      <c r="D92" s="2"/>
      <c r="E92" s="100">
        <v>100</v>
      </c>
      <c r="G92" s="178" t="s">
        <v>228</v>
      </c>
      <c r="H92" s="2"/>
      <c r="I92" s="2"/>
      <c r="J92" s="100">
        <v>100</v>
      </c>
      <c r="L92" s="178" t="s">
        <v>228</v>
      </c>
      <c r="M92" s="2"/>
      <c r="N92" s="2"/>
      <c r="O92" s="100">
        <v>100</v>
      </c>
    </row>
    <row r="93" spans="2:15" x14ac:dyDescent="0.3">
      <c r="B93" s="91" t="s">
        <v>103</v>
      </c>
      <c r="C93" s="2"/>
      <c r="D93" s="2"/>
      <c r="E93" s="101">
        <v>300</v>
      </c>
      <c r="G93" s="91" t="s">
        <v>103</v>
      </c>
      <c r="H93" s="2"/>
      <c r="I93" s="2"/>
      <c r="J93" s="101">
        <v>1000</v>
      </c>
      <c r="L93" s="91" t="s">
        <v>103</v>
      </c>
      <c r="M93" s="2"/>
      <c r="N93" s="2"/>
      <c r="O93" s="101">
        <v>0</v>
      </c>
    </row>
    <row r="94" spans="2:15" x14ac:dyDescent="0.3">
      <c r="B94" s="178" t="s">
        <v>229</v>
      </c>
      <c r="C94" s="2"/>
      <c r="D94" s="2"/>
      <c r="E94" s="180">
        <v>178</v>
      </c>
      <c r="G94" s="178" t="s">
        <v>229</v>
      </c>
      <c r="H94" s="2"/>
      <c r="I94" s="2"/>
      <c r="J94" s="180">
        <v>258</v>
      </c>
      <c r="L94" s="178" t="s">
        <v>229</v>
      </c>
      <c r="M94" s="2"/>
      <c r="N94" s="2"/>
      <c r="O94" s="180">
        <v>258</v>
      </c>
    </row>
    <row r="95" spans="2:15" ht="15" thickBot="1" x14ac:dyDescent="0.35">
      <c r="B95" s="91" t="s">
        <v>105</v>
      </c>
      <c r="C95" s="2"/>
      <c r="D95" s="2"/>
      <c r="E95" s="101">
        <v>16</v>
      </c>
      <c r="G95" s="91" t="s">
        <v>105</v>
      </c>
      <c r="H95" s="2"/>
      <c r="I95" s="2"/>
      <c r="J95" s="101">
        <v>80</v>
      </c>
      <c r="L95" s="91" t="s">
        <v>105</v>
      </c>
      <c r="M95" s="2"/>
      <c r="N95" s="2"/>
      <c r="O95" s="101">
        <v>0</v>
      </c>
    </row>
    <row r="96" spans="2:15" ht="15.6" thickTop="1" thickBot="1" x14ac:dyDescent="0.35">
      <c r="B96" s="181" t="s">
        <v>39</v>
      </c>
      <c r="C96" s="93"/>
      <c r="D96" s="93"/>
      <c r="E96" s="179"/>
      <c r="G96" s="181" t="s">
        <v>39</v>
      </c>
      <c r="H96" s="93"/>
      <c r="I96" s="93"/>
      <c r="J96" s="179"/>
      <c r="L96" s="181" t="s">
        <v>39</v>
      </c>
      <c r="M96" s="93"/>
      <c r="N96" s="93"/>
      <c r="O96" s="179"/>
    </row>
    <row r="97" spans="2:15" ht="15" thickTop="1" x14ac:dyDescent="0.3">
      <c r="B97" s="91" t="s">
        <v>101</v>
      </c>
      <c r="C97" s="2"/>
      <c r="D97" s="2"/>
      <c r="E97" s="100">
        <v>2209.9899999999998</v>
      </c>
      <c r="G97" s="91" t="s">
        <v>101</v>
      </c>
      <c r="H97" s="2"/>
      <c r="I97" s="2"/>
      <c r="J97" s="100">
        <v>2534.9899999999998</v>
      </c>
      <c r="L97" s="91" t="s">
        <v>101</v>
      </c>
      <c r="M97" s="2"/>
      <c r="N97" s="2"/>
      <c r="O97" s="100">
        <v>2834.99</v>
      </c>
    </row>
    <row r="98" spans="2:15" x14ac:dyDescent="0.3">
      <c r="B98" s="91" t="s">
        <v>104</v>
      </c>
      <c r="C98" s="2"/>
      <c r="D98" s="2"/>
      <c r="E98" s="101">
        <v>359</v>
      </c>
      <c r="G98" s="91" t="s">
        <v>104</v>
      </c>
      <c r="H98" s="2"/>
      <c r="I98" s="2"/>
      <c r="J98" s="101">
        <v>325</v>
      </c>
      <c r="L98" s="91" t="s">
        <v>104</v>
      </c>
      <c r="M98" s="2"/>
      <c r="N98" s="2"/>
      <c r="O98" s="101">
        <v>300</v>
      </c>
    </row>
    <row r="99" spans="2:15" ht="15" thickBot="1" x14ac:dyDescent="0.35">
      <c r="B99" s="105" t="s">
        <v>95</v>
      </c>
      <c r="C99" s="104"/>
      <c r="D99" s="95"/>
      <c r="E99" s="103">
        <v>750.01000000000022</v>
      </c>
      <c r="G99" s="105" t="s">
        <v>95</v>
      </c>
      <c r="H99" s="104"/>
      <c r="I99" s="95"/>
      <c r="J99" s="103">
        <v>1425.0100000000002</v>
      </c>
      <c r="L99" s="105" t="s">
        <v>95</v>
      </c>
      <c r="M99" s="104"/>
      <c r="N99" s="95"/>
      <c r="O99" s="103">
        <v>1125.0100000000002</v>
      </c>
    </row>
    <row r="100" spans="2:15" ht="15" thickTop="1" x14ac:dyDescent="0.3">
      <c r="B100" s="91" t="s">
        <v>102</v>
      </c>
      <c r="C100" s="2"/>
      <c r="D100" s="2"/>
      <c r="E100" s="100">
        <v>126.00000000000001</v>
      </c>
      <c r="G100" s="91" t="s">
        <v>102</v>
      </c>
      <c r="H100" s="2"/>
      <c r="I100" s="2"/>
      <c r="J100" s="100">
        <v>148</v>
      </c>
      <c r="L100" s="91" t="s">
        <v>102</v>
      </c>
      <c r="M100" s="2"/>
      <c r="N100" s="2"/>
      <c r="O100" s="100">
        <v>188</v>
      </c>
    </row>
    <row r="101" spans="2:15" x14ac:dyDescent="0.3">
      <c r="B101" s="91" t="s">
        <v>106</v>
      </c>
      <c r="C101" s="2"/>
      <c r="D101" s="2"/>
      <c r="E101" s="101">
        <v>27.4</v>
      </c>
      <c r="G101" s="91" t="s">
        <v>106</v>
      </c>
      <c r="H101" s="2"/>
      <c r="I101" s="2"/>
      <c r="J101" s="101">
        <v>22</v>
      </c>
      <c r="L101" s="91" t="s">
        <v>106</v>
      </c>
      <c r="M101" s="2"/>
      <c r="N101" s="2"/>
      <c r="O101" s="101">
        <v>40</v>
      </c>
    </row>
    <row r="102" spans="2:15" ht="15" thickBot="1" x14ac:dyDescent="0.35">
      <c r="B102" s="105" t="s">
        <v>98</v>
      </c>
      <c r="C102" s="95"/>
      <c r="D102" s="95"/>
      <c r="E102" s="103">
        <v>51.999999999999986</v>
      </c>
      <c r="G102" s="105" t="s">
        <v>98</v>
      </c>
      <c r="H102" s="95"/>
      <c r="I102" s="95"/>
      <c r="J102" s="103">
        <v>110</v>
      </c>
      <c r="L102" s="105" t="s">
        <v>98</v>
      </c>
      <c r="M102" s="95"/>
      <c r="N102" s="95"/>
      <c r="O102" s="103">
        <v>70</v>
      </c>
    </row>
    <row r="103" spans="2:15" ht="15.6" thickTop="1" thickBot="1" x14ac:dyDescent="0.35">
      <c r="B103" s="92" t="s">
        <v>230</v>
      </c>
      <c r="C103" s="182"/>
      <c r="D103" s="93"/>
      <c r="E103" s="186"/>
      <c r="G103" s="92" t="s">
        <v>230</v>
      </c>
      <c r="H103" s="182"/>
      <c r="I103" s="93"/>
      <c r="J103" s="186"/>
      <c r="L103" s="92" t="s">
        <v>230</v>
      </c>
      <c r="M103" s="182"/>
      <c r="N103" s="93"/>
      <c r="O103" s="186"/>
    </row>
    <row r="104" spans="2:15" ht="15" thickTop="1" x14ac:dyDescent="0.3">
      <c r="B104" s="91" t="s">
        <v>231</v>
      </c>
      <c r="C104" s="174"/>
      <c r="D104" s="2"/>
      <c r="E104" s="102">
        <v>10</v>
      </c>
      <c r="G104" s="91" t="s">
        <v>231</v>
      </c>
      <c r="H104" s="174"/>
      <c r="I104" s="2"/>
      <c r="J104" s="102">
        <v>10</v>
      </c>
      <c r="L104" s="91" t="s">
        <v>231</v>
      </c>
      <c r="M104" s="174"/>
      <c r="N104" s="2"/>
      <c r="O104" s="102">
        <v>10</v>
      </c>
    </row>
    <row r="105" spans="2:15" x14ac:dyDescent="0.3">
      <c r="B105" s="91" t="s">
        <v>251</v>
      </c>
      <c r="C105" s="183"/>
      <c r="D105" s="184"/>
      <c r="E105" s="100">
        <v>0</v>
      </c>
      <c r="G105" s="91" t="s">
        <v>251</v>
      </c>
      <c r="H105" s="183"/>
      <c r="I105" s="184"/>
      <c r="J105" s="100">
        <v>0</v>
      </c>
      <c r="L105" s="91" t="s">
        <v>251</v>
      </c>
      <c r="M105" s="183"/>
      <c r="N105" s="184"/>
      <c r="O105" s="100">
        <v>0</v>
      </c>
    </row>
    <row r="106" spans="2:15" x14ac:dyDescent="0.3">
      <c r="B106" s="91" t="s">
        <v>250</v>
      </c>
      <c r="C106" s="183"/>
      <c r="D106" s="184"/>
      <c r="E106" s="100">
        <v>0</v>
      </c>
      <c r="G106" s="91" t="s">
        <v>250</v>
      </c>
      <c r="H106" s="183"/>
      <c r="I106" s="184"/>
      <c r="J106" s="100">
        <v>0</v>
      </c>
      <c r="L106" s="91" t="s">
        <v>250</v>
      </c>
      <c r="M106" s="183"/>
      <c r="N106" s="184"/>
      <c r="O106" s="100">
        <v>0</v>
      </c>
    </row>
    <row r="107" spans="2:15" x14ac:dyDescent="0.3">
      <c r="B107" s="91" t="s">
        <v>93</v>
      </c>
      <c r="C107" s="2"/>
      <c r="D107" s="2"/>
      <c r="E107" s="99">
        <v>1200</v>
      </c>
      <c r="G107" s="91" t="s">
        <v>93</v>
      </c>
      <c r="H107" s="2"/>
      <c r="I107" s="2"/>
      <c r="J107" s="99">
        <v>1330</v>
      </c>
      <c r="L107" s="91" t="s">
        <v>93</v>
      </c>
      <c r="M107" s="2"/>
      <c r="N107" s="2"/>
      <c r="O107" s="99">
        <v>1460</v>
      </c>
    </row>
    <row r="108" spans="2:15" x14ac:dyDescent="0.3">
      <c r="B108" s="91" t="s">
        <v>100</v>
      </c>
      <c r="C108" s="2"/>
      <c r="D108" s="2"/>
      <c r="E108" s="98">
        <v>92.307692307692307</v>
      </c>
      <c r="G108" s="91" t="s">
        <v>100</v>
      </c>
      <c r="H108" s="2"/>
      <c r="I108" s="2"/>
      <c r="J108" s="98">
        <v>102.30769230769231</v>
      </c>
      <c r="L108" s="91" t="s">
        <v>100</v>
      </c>
      <c r="M108" s="2"/>
      <c r="N108" s="2"/>
      <c r="O108" s="98">
        <v>112.30769230769231</v>
      </c>
    </row>
    <row r="109" spans="2:15" x14ac:dyDescent="0.3">
      <c r="B109" s="91" t="s">
        <v>238</v>
      </c>
      <c r="C109" s="2"/>
      <c r="D109" s="2"/>
      <c r="E109" s="99">
        <v>188</v>
      </c>
      <c r="G109" s="91" t="s">
        <v>238</v>
      </c>
      <c r="H109" s="2"/>
      <c r="I109" s="2"/>
      <c r="J109" s="99">
        <v>268</v>
      </c>
      <c r="L109" s="91" t="s">
        <v>238</v>
      </c>
      <c r="M109" s="2"/>
      <c r="N109" s="2"/>
      <c r="O109" s="99">
        <v>268</v>
      </c>
    </row>
    <row r="110" spans="2:15" ht="15" thickBot="1" x14ac:dyDescent="0.35">
      <c r="B110" s="91" t="s">
        <v>96</v>
      </c>
      <c r="C110" s="2"/>
      <c r="D110" s="185"/>
      <c r="E110" s="190">
        <v>0</v>
      </c>
      <c r="G110" s="91" t="s">
        <v>96</v>
      </c>
      <c r="H110" s="2"/>
      <c r="I110" s="185"/>
      <c r="J110" s="190">
        <v>0</v>
      </c>
      <c r="L110" s="91" t="s">
        <v>96</v>
      </c>
      <c r="M110" s="2"/>
      <c r="N110" s="185"/>
      <c r="O110" s="190">
        <v>0</v>
      </c>
    </row>
    <row r="111" spans="2:15" ht="15.6" thickTop="1" thickBot="1" x14ac:dyDescent="0.35">
      <c r="B111" s="96" t="s">
        <v>94</v>
      </c>
      <c r="C111" s="97"/>
      <c r="D111" s="187"/>
      <c r="E111" s="188">
        <v>1388</v>
      </c>
      <c r="G111" s="96" t="s">
        <v>94</v>
      </c>
      <c r="H111" s="97"/>
      <c r="I111" s="187"/>
      <c r="J111" s="188">
        <v>1598</v>
      </c>
      <c r="L111" s="96" t="s">
        <v>94</v>
      </c>
      <c r="M111" s="97"/>
      <c r="N111" s="187"/>
      <c r="O111" s="188">
        <v>1728</v>
      </c>
    </row>
    <row r="112" spans="2:15" ht="15.6" thickTop="1" thickBot="1" x14ac:dyDescent="0.35">
      <c r="B112" s="96" t="s">
        <v>99</v>
      </c>
      <c r="C112" s="97"/>
      <c r="D112" s="187"/>
      <c r="E112" s="199">
        <v>802.01000000000022</v>
      </c>
      <c r="G112" s="96" t="s">
        <v>99</v>
      </c>
      <c r="H112" s="97"/>
      <c r="I112" s="187"/>
      <c r="J112" s="199">
        <v>1535.0100000000002</v>
      </c>
      <c r="L112" s="96" t="s">
        <v>99</v>
      </c>
      <c r="M112" s="97"/>
      <c r="N112" s="187"/>
      <c r="O112" s="199">
        <v>1195.0100000000002</v>
      </c>
    </row>
    <row r="113" spans="2:15" ht="15.6" thickTop="1" thickBot="1" x14ac:dyDescent="0.35"/>
    <row r="114" spans="2:15" ht="15.6" thickTop="1" thickBot="1" x14ac:dyDescent="0.35">
      <c r="B114" s="359" t="s">
        <v>92</v>
      </c>
      <c r="C114" s="366"/>
      <c r="D114" s="360"/>
      <c r="E114" s="114">
        <v>44788</v>
      </c>
      <c r="G114" s="359" t="s">
        <v>92</v>
      </c>
      <c r="H114" s="366"/>
      <c r="I114" s="360"/>
      <c r="J114" s="114">
        <v>44788</v>
      </c>
      <c r="L114" s="359" t="s">
        <v>92</v>
      </c>
      <c r="M114" s="366"/>
      <c r="N114" s="360"/>
      <c r="O114" s="114">
        <v>44788</v>
      </c>
    </row>
    <row r="115" spans="2:15" ht="15.6" thickTop="1" thickBot="1" x14ac:dyDescent="0.35">
      <c r="B115" s="363"/>
      <c r="C115" s="367"/>
      <c r="D115" s="364"/>
      <c r="E115" s="114">
        <v>45153</v>
      </c>
      <c r="G115" s="363"/>
      <c r="H115" s="367"/>
      <c r="I115" s="364"/>
      <c r="J115" s="114">
        <v>45184</v>
      </c>
      <c r="L115" s="363"/>
      <c r="M115" s="367"/>
      <c r="N115" s="364"/>
      <c r="O115" s="114">
        <v>45214</v>
      </c>
    </row>
    <row r="116" spans="2:15" ht="15.6" thickTop="1" thickBot="1" x14ac:dyDescent="0.35">
      <c r="B116" s="91" t="s">
        <v>91</v>
      </c>
      <c r="C116" s="2"/>
      <c r="D116" s="2"/>
      <c r="E116" s="173">
        <v>1690</v>
      </c>
      <c r="G116" s="91" t="s">
        <v>91</v>
      </c>
      <c r="H116" s="2"/>
      <c r="I116" s="2"/>
      <c r="J116" s="173">
        <v>1820</v>
      </c>
      <c r="L116" s="91" t="s">
        <v>91</v>
      </c>
      <c r="M116" s="2"/>
      <c r="N116" s="2"/>
      <c r="O116" s="173">
        <v>1950</v>
      </c>
    </row>
    <row r="117" spans="2:15" ht="15.6" thickTop="1" thickBot="1" x14ac:dyDescent="0.35">
      <c r="B117" s="92" t="s">
        <v>170</v>
      </c>
      <c r="C117" s="93"/>
      <c r="D117" s="93"/>
      <c r="E117" s="179"/>
      <c r="G117" s="92" t="s">
        <v>170</v>
      </c>
      <c r="H117" s="93"/>
      <c r="I117" s="93"/>
      <c r="J117" s="179"/>
      <c r="L117" s="92" t="s">
        <v>170</v>
      </c>
      <c r="M117" s="93"/>
      <c r="N117" s="93"/>
      <c r="O117" s="179"/>
    </row>
    <row r="118" spans="2:15" ht="15" thickTop="1" x14ac:dyDescent="0.3">
      <c r="B118" s="177" t="s">
        <v>227</v>
      </c>
      <c r="C118" s="2"/>
      <c r="D118" s="2"/>
      <c r="E118" s="172">
        <v>4460</v>
      </c>
      <c r="G118" s="177" t="s">
        <v>227</v>
      </c>
      <c r="H118" s="2"/>
      <c r="I118" s="2"/>
      <c r="J118" s="172">
        <v>5160</v>
      </c>
      <c r="L118" s="177" t="s">
        <v>227</v>
      </c>
      <c r="M118" s="2"/>
      <c r="N118" s="2"/>
      <c r="O118" s="172">
        <v>6360</v>
      </c>
    </row>
    <row r="119" spans="2:15" x14ac:dyDescent="0.3">
      <c r="B119" s="178" t="s">
        <v>228</v>
      </c>
      <c r="C119" s="2"/>
      <c r="D119" s="2"/>
      <c r="E119" s="100">
        <v>100</v>
      </c>
      <c r="G119" s="178" t="s">
        <v>228</v>
      </c>
      <c r="H119" s="2"/>
      <c r="I119" s="2"/>
      <c r="J119" s="100">
        <v>100</v>
      </c>
      <c r="L119" s="178" t="s">
        <v>228</v>
      </c>
      <c r="M119" s="2"/>
      <c r="N119" s="2"/>
      <c r="O119" s="100">
        <v>100</v>
      </c>
    </row>
    <row r="120" spans="2:15" x14ac:dyDescent="0.3">
      <c r="B120" s="91" t="s">
        <v>103</v>
      </c>
      <c r="C120" s="2"/>
      <c r="D120" s="2"/>
      <c r="E120" s="101">
        <v>200</v>
      </c>
      <c r="G120" s="91" t="s">
        <v>103</v>
      </c>
      <c r="H120" s="2"/>
      <c r="I120" s="2"/>
      <c r="J120" s="101">
        <v>700</v>
      </c>
      <c r="L120" s="91" t="s">
        <v>103</v>
      </c>
      <c r="M120" s="2"/>
      <c r="N120" s="2"/>
      <c r="O120" s="101">
        <v>1200</v>
      </c>
    </row>
    <row r="121" spans="2:15" x14ac:dyDescent="0.3">
      <c r="B121" s="178" t="s">
        <v>229</v>
      </c>
      <c r="C121" s="2"/>
      <c r="D121" s="2"/>
      <c r="E121" s="180">
        <v>268</v>
      </c>
      <c r="G121" s="178" t="s">
        <v>229</v>
      </c>
      <c r="H121" s="2"/>
      <c r="I121" s="2"/>
      <c r="J121" s="180">
        <v>338</v>
      </c>
      <c r="L121" s="178" t="s">
        <v>229</v>
      </c>
      <c r="M121" s="2"/>
      <c r="N121" s="2"/>
      <c r="O121" s="180">
        <v>458</v>
      </c>
    </row>
    <row r="122" spans="2:15" ht="15" thickBot="1" x14ac:dyDescent="0.35">
      <c r="B122" s="91" t="s">
        <v>105</v>
      </c>
      <c r="C122" s="2"/>
      <c r="D122" s="2"/>
      <c r="E122" s="101">
        <v>4</v>
      </c>
      <c r="G122" s="91" t="s">
        <v>105</v>
      </c>
      <c r="H122" s="2"/>
      <c r="I122" s="2"/>
      <c r="J122" s="101">
        <v>70</v>
      </c>
      <c r="L122" s="91" t="s">
        <v>105</v>
      </c>
      <c r="M122" s="2"/>
      <c r="N122" s="2"/>
      <c r="O122" s="101">
        <v>120</v>
      </c>
    </row>
    <row r="123" spans="2:15" ht="15.6" thickTop="1" thickBot="1" x14ac:dyDescent="0.35">
      <c r="B123" s="181" t="s">
        <v>39</v>
      </c>
      <c r="C123" s="93"/>
      <c r="D123" s="93"/>
      <c r="E123" s="179"/>
      <c r="G123" s="181" t="s">
        <v>39</v>
      </c>
      <c r="H123" s="93"/>
      <c r="I123" s="93"/>
      <c r="J123" s="179"/>
      <c r="L123" s="181" t="s">
        <v>39</v>
      </c>
      <c r="M123" s="93"/>
      <c r="N123" s="93"/>
      <c r="O123" s="179"/>
    </row>
    <row r="124" spans="2:15" ht="15" thickTop="1" x14ac:dyDescent="0.3">
      <c r="B124" s="91" t="s">
        <v>101</v>
      </c>
      <c r="C124" s="2"/>
      <c r="D124" s="2"/>
      <c r="E124" s="100">
        <v>3134.99</v>
      </c>
      <c r="G124" s="91" t="s">
        <v>101</v>
      </c>
      <c r="H124" s="2"/>
      <c r="I124" s="2"/>
      <c r="J124" s="100">
        <v>3459.99</v>
      </c>
      <c r="L124" s="91" t="s">
        <v>101</v>
      </c>
      <c r="M124" s="2"/>
      <c r="N124" s="2"/>
      <c r="O124" s="100">
        <v>4584.99</v>
      </c>
    </row>
    <row r="125" spans="2:15" x14ac:dyDescent="0.3">
      <c r="B125" s="91" t="s">
        <v>104</v>
      </c>
      <c r="C125" s="2"/>
      <c r="D125" s="2"/>
      <c r="E125" s="101">
        <v>300</v>
      </c>
      <c r="G125" s="91" t="s">
        <v>104</v>
      </c>
      <c r="H125" s="2"/>
      <c r="I125" s="2"/>
      <c r="J125" s="101">
        <v>325</v>
      </c>
      <c r="L125" s="91" t="s">
        <v>104</v>
      </c>
      <c r="M125" s="2"/>
      <c r="N125" s="2"/>
      <c r="O125" s="101">
        <v>1125</v>
      </c>
    </row>
    <row r="126" spans="2:15" ht="15" thickBot="1" x14ac:dyDescent="0.35">
      <c r="B126" s="105" t="s">
        <v>95</v>
      </c>
      <c r="C126" s="104"/>
      <c r="D126" s="95"/>
      <c r="E126" s="103">
        <v>1325.0100000000002</v>
      </c>
      <c r="G126" s="105" t="s">
        <v>95</v>
      </c>
      <c r="H126" s="104"/>
      <c r="I126" s="95"/>
      <c r="J126" s="103">
        <v>1700.0100000000002</v>
      </c>
      <c r="L126" s="105" t="s">
        <v>95</v>
      </c>
      <c r="M126" s="104"/>
      <c r="N126" s="95"/>
      <c r="O126" s="103">
        <v>1775.0100000000002</v>
      </c>
    </row>
    <row r="127" spans="2:15" ht="15" thickTop="1" x14ac:dyDescent="0.3">
      <c r="B127" s="91" t="s">
        <v>102</v>
      </c>
      <c r="C127" s="2"/>
      <c r="D127" s="2"/>
      <c r="E127" s="100">
        <v>220</v>
      </c>
      <c r="G127" s="91" t="s">
        <v>102</v>
      </c>
      <c r="H127" s="2"/>
      <c r="I127" s="2"/>
      <c r="J127" s="100">
        <v>248</v>
      </c>
      <c r="L127" s="91" t="s">
        <v>102</v>
      </c>
      <c r="M127" s="2"/>
      <c r="N127" s="2"/>
      <c r="O127" s="100">
        <v>282</v>
      </c>
    </row>
    <row r="128" spans="2:15" x14ac:dyDescent="0.3">
      <c r="B128" s="91" t="s">
        <v>106</v>
      </c>
      <c r="C128" s="2"/>
      <c r="D128" s="2"/>
      <c r="E128" s="101">
        <v>32</v>
      </c>
      <c r="G128" s="91" t="s">
        <v>106</v>
      </c>
      <c r="H128" s="2"/>
      <c r="I128" s="2"/>
      <c r="J128" s="101">
        <v>28</v>
      </c>
      <c r="L128" s="91" t="s">
        <v>106</v>
      </c>
      <c r="M128" s="2"/>
      <c r="N128" s="2"/>
      <c r="O128" s="101">
        <v>34</v>
      </c>
    </row>
    <row r="129" spans="2:15" ht="15" thickBot="1" x14ac:dyDescent="0.35">
      <c r="B129" s="105" t="s">
        <v>98</v>
      </c>
      <c r="C129" s="95"/>
      <c r="D129" s="95"/>
      <c r="E129" s="103">
        <v>48</v>
      </c>
      <c r="G129" s="105" t="s">
        <v>98</v>
      </c>
      <c r="H129" s="95"/>
      <c r="I129" s="95"/>
      <c r="J129" s="103">
        <v>90</v>
      </c>
      <c r="L129" s="105" t="s">
        <v>98</v>
      </c>
      <c r="M129" s="95"/>
      <c r="N129" s="95"/>
      <c r="O129" s="103">
        <v>176</v>
      </c>
    </row>
    <row r="130" spans="2:15" ht="15.6" thickTop="1" thickBot="1" x14ac:dyDescent="0.35">
      <c r="B130" s="92" t="s">
        <v>230</v>
      </c>
      <c r="C130" s="182"/>
      <c r="D130" s="93"/>
      <c r="E130" s="186"/>
      <c r="G130" s="92" t="s">
        <v>230</v>
      </c>
      <c r="H130" s="182"/>
      <c r="I130" s="93"/>
      <c r="J130" s="186"/>
      <c r="L130" s="92" t="s">
        <v>230</v>
      </c>
      <c r="M130" s="182"/>
      <c r="N130" s="93"/>
      <c r="O130" s="186"/>
    </row>
    <row r="131" spans="2:15" ht="15" thickTop="1" x14ac:dyDescent="0.3">
      <c r="B131" s="91" t="s">
        <v>231</v>
      </c>
      <c r="C131" s="174"/>
      <c r="D131" s="2"/>
      <c r="E131" s="102">
        <v>10</v>
      </c>
      <c r="G131" s="91" t="s">
        <v>231</v>
      </c>
      <c r="H131" s="174"/>
      <c r="I131" s="2"/>
      <c r="J131" s="102">
        <v>10</v>
      </c>
      <c r="L131" s="91" t="s">
        <v>231</v>
      </c>
      <c r="M131" s="174"/>
      <c r="N131" s="2"/>
      <c r="O131" s="102">
        <v>10</v>
      </c>
    </row>
    <row r="132" spans="2:15" x14ac:dyDescent="0.3">
      <c r="B132" s="91" t="s">
        <v>251</v>
      </c>
      <c r="C132" s="183"/>
      <c r="D132" s="184"/>
      <c r="E132" s="100">
        <v>250</v>
      </c>
      <c r="G132" s="91" t="s">
        <v>251</v>
      </c>
      <c r="H132" s="183"/>
      <c r="I132" s="184"/>
      <c r="J132" s="100">
        <v>250</v>
      </c>
      <c r="L132" s="91" t="s">
        <v>251</v>
      </c>
      <c r="M132" s="183"/>
      <c r="N132" s="184"/>
      <c r="O132" s="100">
        <v>250</v>
      </c>
    </row>
    <row r="133" spans="2:15" x14ac:dyDescent="0.3">
      <c r="B133" s="91" t="s">
        <v>250</v>
      </c>
      <c r="C133" s="183"/>
      <c r="D133" s="184"/>
      <c r="E133" s="100">
        <v>0</v>
      </c>
      <c r="G133" s="91" t="s">
        <v>250</v>
      </c>
      <c r="H133" s="183"/>
      <c r="I133" s="184"/>
      <c r="J133" s="100">
        <v>0</v>
      </c>
      <c r="L133" s="91" t="s">
        <v>250</v>
      </c>
      <c r="M133" s="183"/>
      <c r="N133" s="184"/>
      <c r="O133" s="100">
        <v>0</v>
      </c>
    </row>
    <row r="134" spans="2:15" x14ac:dyDescent="0.3">
      <c r="B134" s="91" t="s">
        <v>93</v>
      </c>
      <c r="C134" s="2"/>
      <c r="D134" s="2"/>
      <c r="E134" s="99">
        <v>1590</v>
      </c>
      <c r="G134" s="91" t="s">
        <v>93</v>
      </c>
      <c r="H134" s="2"/>
      <c r="I134" s="2"/>
      <c r="J134" s="99">
        <v>1720</v>
      </c>
      <c r="L134" s="91" t="s">
        <v>93</v>
      </c>
      <c r="M134" s="2"/>
      <c r="N134" s="2"/>
      <c r="O134" s="99">
        <v>1850</v>
      </c>
    </row>
    <row r="135" spans="2:15" x14ac:dyDescent="0.3">
      <c r="B135" s="91" t="s">
        <v>100</v>
      </c>
      <c r="C135" s="2"/>
      <c r="D135" s="2"/>
      <c r="E135" s="98">
        <v>122.30769230769231</v>
      </c>
      <c r="G135" s="91" t="s">
        <v>100</v>
      </c>
      <c r="H135" s="2"/>
      <c r="I135" s="2"/>
      <c r="J135" s="98">
        <v>132.30769230769232</v>
      </c>
      <c r="L135" s="91" t="s">
        <v>100</v>
      </c>
      <c r="M135" s="2"/>
      <c r="N135" s="2"/>
      <c r="O135" s="98">
        <v>142.30769230769232</v>
      </c>
    </row>
    <row r="136" spans="2:15" x14ac:dyDescent="0.3">
      <c r="B136" s="91" t="s">
        <v>238</v>
      </c>
      <c r="C136" s="2"/>
      <c r="D136" s="2"/>
      <c r="E136" s="99">
        <v>28</v>
      </c>
      <c r="G136" s="91" t="s">
        <v>238</v>
      </c>
      <c r="H136" s="2"/>
      <c r="I136" s="2"/>
      <c r="J136" s="99">
        <v>98</v>
      </c>
      <c r="L136" s="91" t="s">
        <v>238</v>
      </c>
      <c r="M136" s="2"/>
      <c r="N136" s="2"/>
      <c r="O136" s="99">
        <v>218</v>
      </c>
    </row>
    <row r="137" spans="2:15" ht="15" thickBot="1" x14ac:dyDescent="0.35">
      <c r="B137" s="91" t="s">
        <v>96</v>
      </c>
      <c r="C137" s="2"/>
      <c r="D137" s="185"/>
      <c r="E137" s="190">
        <v>0</v>
      </c>
      <c r="G137" s="91" t="s">
        <v>96</v>
      </c>
      <c r="H137" s="2"/>
      <c r="I137" s="185"/>
      <c r="J137" s="190">
        <v>67</v>
      </c>
      <c r="L137" s="91" t="s">
        <v>96</v>
      </c>
      <c r="M137" s="2"/>
      <c r="N137" s="185"/>
      <c r="O137" s="190">
        <v>156</v>
      </c>
    </row>
    <row r="138" spans="2:15" ht="15.6" thickTop="1" thickBot="1" x14ac:dyDescent="0.35">
      <c r="B138" s="96" t="s">
        <v>94</v>
      </c>
      <c r="C138" s="97"/>
      <c r="D138" s="187"/>
      <c r="E138" s="188">
        <v>1618</v>
      </c>
      <c r="G138" s="96" t="s">
        <v>94</v>
      </c>
      <c r="H138" s="97"/>
      <c r="I138" s="187"/>
      <c r="J138" s="188">
        <v>1885</v>
      </c>
      <c r="L138" s="96" t="s">
        <v>94</v>
      </c>
      <c r="M138" s="97"/>
      <c r="N138" s="187"/>
      <c r="O138" s="188">
        <v>2224</v>
      </c>
    </row>
    <row r="139" spans="2:15" ht="15.6" thickTop="1" thickBot="1" x14ac:dyDescent="0.35">
      <c r="B139" s="96" t="s">
        <v>99</v>
      </c>
      <c r="C139" s="97"/>
      <c r="D139" s="187"/>
      <c r="E139" s="199">
        <v>1373.0100000000002</v>
      </c>
      <c r="G139" s="96" t="s">
        <v>99</v>
      </c>
      <c r="H139" s="97"/>
      <c r="I139" s="187"/>
      <c r="J139" s="199">
        <v>1857.0100000000002</v>
      </c>
      <c r="L139" s="96" t="s">
        <v>99</v>
      </c>
      <c r="M139" s="97"/>
      <c r="N139" s="187"/>
      <c r="O139" s="199">
        <v>2107.0100000000002</v>
      </c>
    </row>
    <row r="140" spans="2:15" ht="15.6" thickTop="1" thickBot="1" x14ac:dyDescent="0.35"/>
    <row r="141" spans="2:15" ht="15.6" thickTop="1" thickBot="1" x14ac:dyDescent="0.35">
      <c r="B141" s="359" t="s">
        <v>92</v>
      </c>
      <c r="C141" s="366"/>
      <c r="D141" s="360"/>
      <c r="E141" s="114">
        <v>44788</v>
      </c>
      <c r="G141" s="359" t="s">
        <v>92</v>
      </c>
      <c r="H141" s="366"/>
      <c r="I141" s="360"/>
      <c r="J141" s="114">
        <v>44788</v>
      </c>
      <c r="L141" s="359" t="s">
        <v>92</v>
      </c>
      <c r="M141" s="366"/>
      <c r="N141" s="360"/>
      <c r="O141" s="114">
        <v>44788</v>
      </c>
    </row>
    <row r="142" spans="2:15" ht="15.6" thickTop="1" thickBot="1" x14ac:dyDescent="0.35">
      <c r="B142" s="363"/>
      <c r="C142" s="367"/>
      <c r="D142" s="364"/>
      <c r="E142" s="114">
        <v>45245</v>
      </c>
      <c r="G142" s="363"/>
      <c r="H142" s="367"/>
      <c r="I142" s="364"/>
      <c r="J142" s="114">
        <v>45275</v>
      </c>
      <c r="L142" s="363"/>
      <c r="M142" s="367"/>
      <c r="N142" s="364"/>
      <c r="O142" s="114">
        <v>45306</v>
      </c>
    </row>
    <row r="143" spans="2:15" ht="15.6" thickTop="1" thickBot="1" x14ac:dyDescent="0.35">
      <c r="B143" s="91" t="s">
        <v>91</v>
      </c>
      <c r="C143" s="2"/>
      <c r="D143" s="2"/>
      <c r="E143" s="173">
        <v>2080</v>
      </c>
      <c r="G143" s="91" t="s">
        <v>91</v>
      </c>
      <c r="H143" s="2"/>
      <c r="I143" s="2"/>
      <c r="J143" s="173">
        <v>2210</v>
      </c>
      <c r="L143" s="91" t="s">
        <v>91</v>
      </c>
      <c r="M143" s="2"/>
      <c r="N143" s="2"/>
      <c r="O143" s="173">
        <v>2340</v>
      </c>
    </row>
    <row r="144" spans="2:15" ht="15.6" thickTop="1" thickBot="1" x14ac:dyDescent="0.35">
      <c r="B144" s="92" t="s">
        <v>170</v>
      </c>
      <c r="C144" s="93"/>
      <c r="D144" s="93"/>
      <c r="E144" s="179"/>
      <c r="G144" s="92" t="s">
        <v>170</v>
      </c>
      <c r="H144" s="93"/>
      <c r="I144" s="93"/>
      <c r="J144" s="179"/>
      <c r="L144" s="92" t="s">
        <v>170</v>
      </c>
      <c r="M144" s="93"/>
      <c r="N144" s="93"/>
      <c r="O144" s="179"/>
    </row>
    <row r="145" spans="2:15" ht="15" thickTop="1" x14ac:dyDescent="0.3">
      <c r="B145" s="177" t="s">
        <v>227</v>
      </c>
      <c r="C145" s="2"/>
      <c r="D145" s="2"/>
      <c r="E145" s="172">
        <v>6810</v>
      </c>
      <c r="G145" s="177" t="s">
        <v>227</v>
      </c>
      <c r="H145" s="2"/>
      <c r="I145" s="2"/>
      <c r="J145" s="172">
        <v>6810</v>
      </c>
      <c r="L145" s="177" t="s">
        <v>227</v>
      </c>
      <c r="M145" s="2"/>
      <c r="N145" s="2"/>
      <c r="O145" s="172">
        <v>7310</v>
      </c>
    </row>
    <row r="146" spans="2:15" x14ac:dyDescent="0.3">
      <c r="B146" s="178" t="s">
        <v>228</v>
      </c>
      <c r="C146" s="2"/>
      <c r="D146" s="2"/>
      <c r="E146" s="100">
        <v>100</v>
      </c>
      <c r="G146" s="178" t="s">
        <v>228</v>
      </c>
      <c r="H146" s="2"/>
      <c r="I146" s="2"/>
      <c r="J146" s="100">
        <v>100</v>
      </c>
      <c r="L146" s="178" t="s">
        <v>228</v>
      </c>
      <c r="M146" s="2"/>
      <c r="N146" s="2"/>
      <c r="O146" s="100">
        <v>100</v>
      </c>
    </row>
    <row r="147" spans="2:15" x14ac:dyDescent="0.3">
      <c r="B147" s="91" t="s">
        <v>103</v>
      </c>
      <c r="C147" s="2"/>
      <c r="D147" s="2"/>
      <c r="E147" s="101">
        <v>450</v>
      </c>
      <c r="G147" s="91" t="s">
        <v>103</v>
      </c>
      <c r="H147" s="2"/>
      <c r="I147" s="2"/>
      <c r="J147" s="101">
        <v>0</v>
      </c>
      <c r="L147" s="91" t="s">
        <v>103</v>
      </c>
      <c r="M147" s="2"/>
      <c r="N147" s="2"/>
      <c r="O147" s="101">
        <v>500</v>
      </c>
    </row>
    <row r="148" spans="2:15" x14ac:dyDescent="0.3">
      <c r="B148" s="178" t="s">
        <v>229</v>
      </c>
      <c r="C148" s="2"/>
      <c r="D148" s="2"/>
      <c r="E148" s="180">
        <v>494</v>
      </c>
      <c r="G148" s="178" t="s">
        <v>229</v>
      </c>
      <c r="H148" s="2"/>
      <c r="I148" s="2"/>
      <c r="J148" s="180">
        <v>494</v>
      </c>
      <c r="L148" s="178" t="s">
        <v>229</v>
      </c>
      <c r="M148" s="2"/>
      <c r="N148" s="2"/>
      <c r="O148" s="180">
        <v>514</v>
      </c>
    </row>
    <row r="149" spans="2:15" ht="15" thickBot="1" x14ac:dyDescent="0.35">
      <c r="B149" s="91" t="s">
        <v>105</v>
      </c>
      <c r="C149" s="2"/>
      <c r="D149" s="2"/>
      <c r="E149" s="101">
        <v>36</v>
      </c>
      <c r="G149" s="91" t="s">
        <v>105</v>
      </c>
      <c r="H149" s="2"/>
      <c r="I149" s="2"/>
      <c r="J149" s="101">
        <v>0</v>
      </c>
      <c r="L149" s="91" t="s">
        <v>105</v>
      </c>
      <c r="M149" s="2"/>
      <c r="N149" s="2"/>
      <c r="O149" s="101">
        <v>20</v>
      </c>
    </row>
    <row r="150" spans="2:15" ht="15.6" thickTop="1" thickBot="1" x14ac:dyDescent="0.35">
      <c r="B150" s="181" t="s">
        <v>39</v>
      </c>
      <c r="C150" s="93"/>
      <c r="D150" s="93"/>
      <c r="E150" s="179"/>
      <c r="G150" s="181" t="s">
        <v>39</v>
      </c>
      <c r="H150" s="93"/>
      <c r="I150" s="93"/>
      <c r="J150" s="179"/>
      <c r="L150" s="181" t="s">
        <v>39</v>
      </c>
      <c r="M150" s="93"/>
      <c r="N150" s="93"/>
      <c r="O150" s="179"/>
    </row>
    <row r="151" spans="2:15" ht="15" thickTop="1" x14ac:dyDescent="0.3">
      <c r="B151" s="91" t="s">
        <v>101</v>
      </c>
      <c r="C151" s="2"/>
      <c r="D151" s="2"/>
      <c r="E151" s="100">
        <v>4717.13</v>
      </c>
      <c r="G151" s="91" t="s">
        <v>101</v>
      </c>
      <c r="H151" s="2"/>
      <c r="I151" s="2"/>
      <c r="J151" s="100">
        <v>4849.2700000000004</v>
      </c>
      <c r="L151" s="91" t="s">
        <v>101</v>
      </c>
      <c r="M151" s="2"/>
      <c r="N151" s="2"/>
      <c r="O151" s="100">
        <v>5281.4100000000008</v>
      </c>
    </row>
    <row r="152" spans="2:15" x14ac:dyDescent="0.3">
      <c r="B152" s="91" t="s">
        <v>104</v>
      </c>
      <c r="C152" s="2"/>
      <c r="D152" s="2"/>
      <c r="E152" s="101">
        <v>132.13999999999999</v>
      </c>
      <c r="G152" s="91" t="s">
        <v>104</v>
      </c>
      <c r="H152" s="2"/>
      <c r="I152" s="2"/>
      <c r="J152" s="101">
        <v>132.13999999999999</v>
      </c>
      <c r="L152" s="91" t="s">
        <v>104</v>
      </c>
      <c r="M152" s="2"/>
      <c r="N152" s="2"/>
      <c r="O152" s="101">
        <v>432.14</v>
      </c>
    </row>
    <row r="153" spans="2:15" ht="15" thickBot="1" x14ac:dyDescent="0.35">
      <c r="B153" s="105" t="s">
        <v>95</v>
      </c>
      <c r="C153" s="104"/>
      <c r="D153" s="95"/>
      <c r="E153" s="103">
        <v>2092.87</v>
      </c>
      <c r="G153" s="105" t="s">
        <v>95</v>
      </c>
      <c r="H153" s="104"/>
      <c r="I153" s="95"/>
      <c r="J153" s="103">
        <v>1960.7299999999996</v>
      </c>
      <c r="L153" s="105" t="s">
        <v>95</v>
      </c>
      <c r="M153" s="104"/>
      <c r="N153" s="95"/>
      <c r="O153" s="103">
        <v>2028.5899999999992</v>
      </c>
    </row>
    <row r="154" spans="2:15" ht="15" thickTop="1" x14ac:dyDescent="0.3">
      <c r="B154" s="91" t="s">
        <v>102</v>
      </c>
      <c r="C154" s="2"/>
      <c r="D154" s="2"/>
      <c r="E154" s="100">
        <v>318</v>
      </c>
      <c r="G154" s="91" t="s">
        <v>102</v>
      </c>
      <c r="H154" s="2"/>
      <c r="I154" s="2"/>
      <c r="J154" s="100">
        <v>363</v>
      </c>
      <c r="L154" s="91" t="s">
        <v>102</v>
      </c>
      <c r="M154" s="2"/>
      <c r="N154" s="2"/>
      <c r="O154" s="100">
        <v>412</v>
      </c>
    </row>
    <row r="155" spans="2:15" x14ac:dyDescent="0.3">
      <c r="B155" s="91" t="s">
        <v>106</v>
      </c>
      <c r="C155" s="2"/>
      <c r="D155" s="2"/>
      <c r="E155" s="101">
        <v>36</v>
      </c>
      <c r="G155" s="91" t="s">
        <v>106</v>
      </c>
      <c r="H155" s="2"/>
      <c r="I155" s="2"/>
      <c r="J155" s="101">
        <v>45</v>
      </c>
      <c r="L155" s="91" t="s">
        <v>106</v>
      </c>
      <c r="M155" s="2"/>
      <c r="N155" s="2"/>
      <c r="O155" s="101">
        <v>49</v>
      </c>
    </row>
    <row r="156" spans="2:15" ht="15" thickBot="1" x14ac:dyDescent="0.35">
      <c r="B156" s="105" t="s">
        <v>98</v>
      </c>
      <c r="C156" s="95"/>
      <c r="D156" s="95"/>
      <c r="E156" s="103">
        <v>176</v>
      </c>
      <c r="G156" s="105" t="s">
        <v>98</v>
      </c>
      <c r="H156" s="95"/>
      <c r="I156" s="95"/>
      <c r="J156" s="103">
        <v>131</v>
      </c>
      <c r="L156" s="105" t="s">
        <v>98</v>
      </c>
      <c r="M156" s="95"/>
      <c r="N156" s="95"/>
      <c r="O156" s="103">
        <v>102</v>
      </c>
    </row>
    <row r="157" spans="2:15" ht="15.6" thickTop="1" thickBot="1" x14ac:dyDescent="0.35">
      <c r="B157" s="92" t="s">
        <v>230</v>
      </c>
      <c r="C157" s="182"/>
      <c r="D157" s="93"/>
      <c r="E157" s="186"/>
      <c r="G157" s="92" t="s">
        <v>230</v>
      </c>
      <c r="H157" s="182"/>
      <c r="I157" s="93"/>
      <c r="J157" s="186"/>
      <c r="L157" s="92" t="s">
        <v>230</v>
      </c>
      <c r="M157" s="182"/>
      <c r="N157" s="93"/>
      <c r="O157" s="186"/>
    </row>
    <row r="158" spans="2:15" ht="15" thickTop="1" x14ac:dyDescent="0.3">
      <c r="B158" s="91" t="s">
        <v>231</v>
      </c>
      <c r="C158" s="174"/>
      <c r="D158" s="2"/>
      <c r="E158" s="102">
        <v>11.5</v>
      </c>
      <c r="G158" s="91" t="s">
        <v>231</v>
      </c>
      <c r="H158" s="174"/>
      <c r="I158" s="2"/>
      <c r="J158" s="102">
        <v>11.5</v>
      </c>
      <c r="L158" s="91" t="s">
        <v>231</v>
      </c>
      <c r="M158" s="174"/>
      <c r="N158" s="2"/>
      <c r="O158" s="102">
        <v>11.5</v>
      </c>
    </row>
    <row r="159" spans="2:15" x14ac:dyDescent="0.3">
      <c r="B159" s="91" t="s">
        <v>251</v>
      </c>
      <c r="C159" s="183"/>
      <c r="D159" s="184"/>
      <c r="E159" s="100">
        <v>250</v>
      </c>
      <c r="G159" s="91" t="s">
        <v>251</v>
      </c>
      <c r="H159" s="183"/>
      <c r="I159" s="184"/>
      <c r="J159" s="100">
        <v>250</v>
      </c>
      <c r="L159" s="91" t="s">
        <v>251</v>
      </c>
      <c r="M159" s="183"/>
      <c r="N159" s="184"/>
      <c r="O159" s="100">
        <v>250</v>
      </c>
    </row>
    <row r="160" spans="2:15" x14ac:dyDescent="0.3">
      <c r="B160" s="91" t="s">
        <v>250</v>
      </c>
      <c r="C160" s="183"/>
      <c r="D160" s="184"/>
      <c r="E160" s="100">
        <v>0</v>
      </c>
      <c r="G160" s="91" t="s">
        <v>250</v>
      </c>
      <c r="H160" s="183"/>
      <c r="I160" s="184"/>
      <c r="J160" s="100">
        <v>0</v>
      </c>
      <c r="L160" s="91" t="s">
        <v>250</v>
      </c>
      <c r="M160" s="183"/>
      <c r="N160" s="184"/>
      <c r="O160" s="100">
        <v>10</v>
      </c>
    </row>
    <row r="161" spans="2:15" x14ac:dyDescent="0.3">
      <c r="B161" s="91" t="s">
        <v>93</v>
      </c>
      <c r="C161" s="2"/>
      <c r="D161" s="2"/>
      <c r="E161" s="99">
        <v>1980</v>
      </c>
      <c r="G161" s="91" t="s">
        <v>93</v>
      </c>
      <c r="H161" s="2"/>
      <c r="I161" s="2"/>
      <c r="J161" s="99">
        <v>2110</v>
      </c>
      <c r="L161" s="91" t="s">
        <v>93</v>
      </c>
      <c r="M161" s="2"/>
      <c r="N161" s="2"/>
      <c r="O161" s="99">
        <v>2240</v>
      </c>
    </row>
    <row r="162" spans="2:15" x14ac:dyDescent="0.3">
      <c r="B162" s="91" t="s">
        <v>100</v>
      </c>
      <c r="C162" s="2"/>
      <c r="D162" s="2"/>
      <c r="E162" s="98">
        <v>152.30769230769232</v>
      </c>
      <c r="G162" s="91" t="s">
        <v>100</v>
      </c>
      <c r="H162" s="2"/>
      <c r="I162" s="2"/>
      <c r="J162" s="98">
        <v>162.30769230769232</v>
      </c>
      <c r="L162" s="91" t="s">
        <v>100</v>
      </c>
      <c r="M162" s="2"/>
      <c r="N162" s="2"/>
      <c r="O162" s="98">
        <v>172.30769230769232</v>
      </c>
    </row>
    <row r="163" spans="2:15" x14ac:dyDescent="0.3">
      <c r="B163" s="91" t="s">
        <v>238</v>
      </c>
      <c r="C163" s="2"/>
      <c r="D163" s="2"/>
      <c r="E163" s="99">
        <v>255.5</v>
      </c>
      <c r="G163" s="91" t="s">
        <v>238</v>
      </c>
      <c r="H163" s="2"/>
      <c r="I163" s="2"/>
      <c r="J163" s="99">
        <v>255.5</v>
      </c>
      <c r="L163" s="91" t="s">
        <v>238</v>
      </c>
      <c r="M163" s="2"/>
      <c r="N163" s="2"/>
      <c r="O163" s="99">
        <v>265.5</v>
      </c>
    </row>
    <row r="164" spans="2:15" ht="15" thickBot="1" x14ac:dyDescent="0.35">
      <c r="B164" s="91" t="s">
        <v>96</v>
      </c>
      <c r="C164" s="2"/>
      <c r="D164" s="185"/>
      <c r="E164" s="190">
        <v>5.65</v>
      </c>
      <c r="G164" s="91" t="s">
        <v>96</v>
      </c>
      <c r="H164" s="2"/>
      <c r="I164" s="185"/>
      <c r="J164" s="190">
        <v>312.78999999999996</v>
      </c>
      <c r="L164" s="91" t="s">
        <v>96</v>
      </c>
      <c r="M164" s="2"/>
      <c r="N164" s="185"/>
      <c r="O164" s="190">
        <v>323.93</v>
      </c>
    </row>
    <row r="165" spans="2:15" ht="15.6" thickTop="1" thickBot="1" x14ac:dyDescent="0.35">
      <c r="B165" s="96" t="s">
        <v>94</v>
      </c>
      <c r="C165" s="97"/>
      <c r="D165" s="187"/>
      <c r="E165" s="188">
        <v>2241.15</v>
      </c>
      <c r="G165" s="96" t="s">
        <v>94</v>
      </c>
      <c r="H165" s="97"/>
      <c r="I165" s="187"/>
      <c r="J165" s="188">
        <v>2404.5199999999995</v>
      </c>
      <c r="L165" s="96" t="s">
        <v>94</v>
      </c>
      <c r="M165" s="97"/>
      <c r="N165" s="187"/>
      <c r="O165" s="188">
        <v>2829.43</v>
      </c>
    </row>
    <row r="166" spans="2:15" ht="15.6" thickTop="1" thickBot="1" x14ac:dyDescent="0.35">
      <c r="B166" s="96" t="s">
        <v>99</v>
      </c>
      <c r="C166" s="97"/>
      <c r="D166" s="187"/>
      <c r="E166" s="199">
        <v>2274.52</v>
      </c>
      <c r="G166" s="96" t="s">
        <v>99</v>
      </c>
      <c r="H166" s="97"/>
      <c r="I166" s="187"/>
      <c r="J166" s="199">
        <v>2365.5</v>
      </c>
      <c r="L166" s="96" t="s">
        <v>99</v>
      </c>
      <c r="M166" s="97"/>
      <c r="N166" s="187"/>
      <c r="O166" s="199">
        <v>2720.0199999999991</v>
      </c>
    </row>
    <row r="167" spans="2:15" ht="15.6" thickTop="1" thickBot="1" x14ac:dyDescent="0.35"/>
    <row r="168" spans="2:15" ht="15.6" thickTop="1" thickBot="1" x14ac:dyDescent="0.35">
      <c r="B168" s="359" t="s">
        <v>92</v>
      </c>
      <c r="C168" s="366"/>
      <c r="D168" s="360"/>
      <c r="E168" s="114">
        <v>44788</v>
      </c>
      <c r="G168" s="359" t="s">
        <v>92</v>
      </c>
      <c r="H168" s="366"/>
      <c r="I168" s="360"/>
      <c r="J168" s="114">
        <v>44788</v>
      </c>
      <c r="L168" s="359" t="s">
        <v>92</v>
      </c>
      <c r="M168" s="366"/>
      <c r="N168" s="360"/>
      <c r="O168" s="114">
        <v>44788</v>
      </c>
    </row>
    <row r="169" spans="2:15" ht="15.6" thickTop="1" thickBot="1" x14ac:dyDescent="0.35">
      <c r="B169" s="363"/>
      <c r="C169" s="367"/>
      <c r="D169" s="364"/>
      <c r="E169" s="114">
        <v>45337</v>
      </c>
      <c r="G169" s="363"/>
      <c r="H169" s="367"/>
      <c r="I169" s="364"/>
      <c r="J169" s="114">
        <v>45366</v>
      </c>
      <c r="L169" s="363"/>
      <c r="M169" s="367"/>
      <c r="N169" s="364"/>
      <c r="O169" s="114">
        <v>45397</v>
      </c>
    </row>
    <row r="170" spans="2:15" ht="15.6" thickTop="1" thickBot="1" x14ac:dyDescent="0.35">
      <c r="B170" s="91" t="s">
        <v>91</v>
      </c>
      <c r="C170" s="2"/>
      <c r="D170" s="2"/>
      <c r="E170" s="173">
        <v>2470</v>
      </c>
      <c r="G170" s="91" t="s">
        <v>91</v>
      </c>
      <c r="H170" s="2"/>
      <c r="I170" s="2"/>
      <c r="J170" s="173">
        <v>2600</v>
      </c>
      <c r="L170" s="91" t="s">
        <v>91</v>
      </c>
      <c r="M170" s="2"/>
      <c r="N170" s="2"/>
      <c r="O170" s="173">
        <v>2730</v>
      </c>
    </row>
    <row r="171" spans="2:15" ht="15.6" thickTop="1" thickBot="1" x14ac:dyDescent="0.35">
      <c r="B171" s="92" t="s">
        <v>170</v>
      </c>
      <c r="C171" s="93"/>
      <c r="D171" s="93"/>
      <c r="E171" s="179"/>
      <c r="G171" s="92" t="s">
        <v>170</v>
      </c>
      <c r="H171" s="93"/>
      <c r="I171" s="93"/>
      <c r="J171" s="179"/>
      <c r="L171" s="92" t="s">
        <v>170</v>
      </c>
      <c r="M171" s="93"/>
      <c r="N171" s="93"/>
      <c r="O171" s="179"/>
    </row>
    <row r="172" spans="2:15" ht="15" thickTop="1" x14ac:dyDescent="0.3">
      <c r="B172" s="177" t="s">
        <v>227</v>
      </c>
      <c r="C172" s="2"/>
      <c r="D172" s="2"/>
      <c r="E172" s="172">
        <v>8010</v>
      </c>
      <c r="G172" s="177" t="s">
        <v>227</v>
      </c>
      <c r="H172" s="2"/>
      <c r="I172" s="2"/>
      <c r="J172" s="172">
        <v>10210</v>
      </c>
      <c r="L172" s="177" t="s">
        <v>227</v>
      </c>
      <c r="M172" s="2"/>
      <c r="N172" s="2"/>
      <c r="O172" s="172">
        <v>10360</v>
      </c>
    </row>
    <row r="173" spans="2:15" x14ac:dyDescent="0.3">
      <c r="B173" s="178" t="s">
        <v>228</v>
      </c>
      <c r="C173" s="2"/>
      <c r="D173" s="2"/>
      <c r="E173" s="100">
        <v>100</v>
      </c>
      <c r="G173" s="178" t="s">
        <v>228</v>
      </c>
      <c r="H173" s="2"/>
      <c r="I173" s="2"/>
      <c r="J173" s="100">
        <v>100</v>
      </c>
      <c r="L173" s="178" t="s">
        <v>228</v>
      </c>
      <c r="M173" s="2"/>
      <c r="N173" s="2"/>
      <c r="O173" s="100">
        <v>200</v>
      </c>
    </row>
    <row r="174" spans="2:15" x14ac:dyDescent="0.3">
      <c r="B174" s="91" t="s">
        <v>103</v>
      </c>
      <c r="C174" s="2"/>
      <c r="D174" s="2"/>
      <c r="E174" s="101">
        <v>600</v>
      </c>
      <c r="G174" s="91" t="s">
        <v>103</v>
      </c>
      <c r="H174" s="2"/>
      <c r="I174" s="2"/>
      <c r="J174" s="101">
        <v>2100</v>
      </c>
      <c r="L174" s="91" t="s">
        <v>103</v>
      </c>
      <c r="M174" s="2"/>
      <c r="N174" s="2"/>
      <c r="O174" s="101">
        <v>150</v>
      </c>
    </row>
    <row r="175" spans="2:15" x14ac:dyDescent="0.3">
      <c r="B175" s="178" t="s">
        <v>229</v>
      </c>
      <c r="C175" s="2"/>
      <c r="D175" s="2"/>
      <c r="E175" s="180">
        <v>584</v>
      </c>
      <c r="G175" s="178" t="s">
        <v>229</v>
      </c>
      <c r="H175" s="2"/>
      <c r="I175" s="2"/>
      <c r="J175" s="180">
        <v>978</v>
      </c>
      <c r="L175" s="178" t="s">
        <v>229</v>
      </c>
      <c r="M175" s="2"/>
      <c r="N175" s="2"/>
      <c r="O175" s="180">
        <v>987</v>
      </c>
    </row>
    <row r="176" spans="2:15" ht="15" thickBot="1" x14ac:dyDescent="0.35">
      <c r="B176" s="91" t="s">
        <v>105</v>
      </c>
      <c r="C176" s="2"/>
      <c r="D176" s="2"/>
      <c r="E176" s="101">
        <v>60</v>
      </c>
      <c r="G176" s="91" t="s">
        <v>105</v>
      </c>
      <c r="H176" s="2"/>
      <c r="I176" s="2"/>
      <c r="J176" s="101">
        <v>386</v>
      </c>
      <c r="L176" s="91" t="s">
        <v>105</v>
      </c>
      <c r="M176" s="2"/>
      <c r="N176" s="2"/>
      <c r="O176" s="101">
        <v>9</v>
      </c>
    </row>
    <row r="177" spans="2:15" ht="15.6" thickTop="1" thickBot="1" x14ac:dyDescent="0.35">
      <c r="B177" s="181" t="s">
        <v>39</v>
      </c>
      <c r="C177" s="93"/>
      <c r="D177" s="93"/>
      <c r="E177" s="179"/>
      <c r="G177" s="181" t="s">
        <v>39</v>
      </c>
      <c r="H177" s="93"/>
      <c r="I177" s="93"/>
      <c r="J177" s="179"/>
      <c r="L177" s="181" t="s">
        <v>39</v>
      </c>
      <c r="M177" s="93"/>
      <c r="N177" s="93"/>
      <c r="O177" s="179"/>
    </row>
    <row r="178" spans="2:15" ht="15" thickTop="1" x14ac:dyDescent="0.3">
      <c r="B178" s="91" t="s">
        <v>101</v>
      </c>
      <c r="C178" s="2"/>
      <c r="D178" s="2"/>
      <c r="E178" s="100">
        <v>5938.5500000000011</v>
      </c>
      <c r="G178" s="91" t="s">
        <v>101</v>
      </c>
      <c r="H178" s="2"/>
      <c r="I178" s="2"/>
      <c r="J178" s="100">
        <v>7440.6900000000014</v>
      </c>
      <c r="L178" s="91" t="s">
        <v>101</v>
      </c>
      <c r="M178" s="2"/>
      <c r="N178" s="2"/>
      <c r="O178" s="100">
        <v>7912.8300000000017</v>
      </c>
    </row>
    <row r="179" spans="2:15" x14ac:dyDescent="0.3">
      <c r="B179" s="91" t="s">
        <v>104</v>
      </c>
      <c r="C179" s="2"/>
      <c r="D179" s="2"/>
      <c r="E179" s="101">
        <v>657.14</v>
      </c>
      <c r="G179" s="91" t="s">
        <v>104</v>
      </c>
      <c r="H179" s="2"/>
      <c r="I179" s="2"/>
      <c r="J179" s="101">
        <v>1502.1399999999999</v>
      </c>
      <c r="L179" s="91" t="s">
        <v>104</v>
      </c>
      <c r="M179" s="2"/>
      <c r="N179" s="2"/>
      <c r="O179" s="101">
        <v>472.14</v>
      </c>
    </row>
    <row r="180" spans="2:15" ht="15" thickBot="1" x14ac:dyDescent="0.35">
      <c r="B180" s="105" t="s">
        <v>95</v>
      </c>
      <c r="C180" s="104"/>
      <c r="D180" s="95"/>
      <c r="E180" s="103">
        <v>2071.4499999999989</v>
      </c>
      <c r="G180" s="105" t="s">
        <v>95</v>
      </c>
      <c r="H180" s="104"/>
      <c r="I180" s="95"/>
      <c r="J180" s="103">
        <v>2769.3099999999986</v>
      </c>
      <c r="L180" s="105" t="s">
        <v>95</v>
      </c>
      <c r="M180" s="104"/>
      <c r="N180" s="95"/>
      <c r="O180" s="103">
        <v>2447.1699999999983</v>
      </c>
    </row>
    <row r="181" spans="2:15" ht="15" thickTop="1" x14ac:dyDescent="0.3">
      <c r="B181" s="91" t="s">
        <v>102</v>
      </c>
      <c r="C181" s="2"/>
      <c r="D181" s="2"/>
      <c r="E181" s="100">
        <v>458</v>
      </c>
      <c r="G181" s="91" t="s">
        <v>102</v>
      </c>
      <c r="H181" s="2"/>
      <c r="I181" s="2"/>
      <c r="J181" s="100">
        <v>506</v>
      </c>
      <c r="L181" s="91" t="s">
        <v>102</v>
      </c>
      <c r="M181" s="2"/>
      <c r="N181" s="2"/>
      <c r="O181" s="100">
        <v>570</v>
      </c>
    </row>
    <row r="182" spans="2:15" x14ac:dyDescent="0.3">
      <c r="B182" s="91" t="s">
        <v>106</v>
      </c>
      <c r="C182" s="2"/>
      <c r="D182" s="2"/>
      <c r="E182" s="101">
        <v>46</v>
      </c>
      <c r="G182" s="91" t="s">
        <v>106</v>
      </c>
      <c r="H182" s="2"/>
      <c r="I182" s="2"/>
      <c r="J182" s="101">
        <v>48</v>
      </c>
      <c r="L182" s="91" t="s">
        <v>106</v>
      </c>
      <c r="M182" s="2"/>
      <c r="N182" s="2"/>
      <c r="O182" s="101">
        <v>64</v>
      </c>
    </row>
    <row r="183" spans="2:15" ht="15" thickBot="1" x14ac:dyDescent="0.35">
      <c r="B183" s="105" t="s">
        <v>98</v>
      </c>
      <c r="C183" s="95"/>
      <c r="D183" s="95"/>
      <c r="E183" s="103">
        <v>126</v>
      </c>
      <c r="G183" s="105" t="s">
        <v>98</v>
      </c>
      <c r="H183" s="95"/>
      <c r="I183" s="95"/>
      <c r="J183" s="103">
        <v>472</v>
      </c>
      <c r="L183" s="105" t="s">
        <v>98</v>
      </c>
      <c r="M183" s="95"/>
      <c r="N183" s="95"/>
      <c r="O183" s="103">
        <v>417</v>
      </c>
    </row>
    <row r="184" spans="2:15" ht="15.6" thickTop="1" thickBot="1" x14ac:dyDescent="0.35">
      <c r="B184" s="92" t="s">
        <v>230</v>
      </c>
      <c r="C184" s="182"/>
      <c r="D184" s="93"/>
      <c r="E184" s="186"/>
      <c r="G184" s="92" t="s">
        <v>230</v>
      </c>
      <c r="H184" s="182"/>
      <c r="I184" s="93"/>
      <c r="J184" s="186"/>
      <c r="L184" s="92" t="s">
        <v>230</v>
      </c>
      <c r="M184" s="182"/>
      <c r="N184" s="93"/>
      <c r="O184" s="186"/>
    </row>
    <row r="185" spans="2:15" ht="15" thickTop="1" x14ac:dyDescent="0.3">
      <c r="B185" s="91" t="s">
        <v>231</v>
      </c>
      <c r="C185" s="174"/>
      <c r="D185" s="2"/>
      <c r="E185" s="102">
        <v>19.5</v>
      </c>
      <c r="G185" s="91" t="s">
        <v>231</v>
      </c>
      <c r="H185" s="174"/>
      <c r="I185" s="2"/>
      <c r="J185" s="102">
        <v>19.5</v>
      </c>
      <c r="L185" s="91" t="s">
        <v>231</v>
      </c>
      <c r="M185" s="174"/>
      <c r="N185" s="2"/>
      <c r="O185" s="102">
        <v>19.5</v>
      </c>
    </row>
    <row r="186" spans="2:15" x14ac:dyDescent="0.3">
      <c r="B186" s="91" t="s">
        <v>251</v>
      </c>
      <c r="C186" s="183"/>
      <c r="D186" s="184"/>
      <c r="E186" s="100">
        <v>250</v>
      </c>
      <c r="G186" s="91" t="s">
        <v>251</v>
      </c>
      <c r="H186" s="183"/>
      <c r="I186" s="184"/>
      <c r="J186" s="100">
        <v>250</v>
      </c>
      <c r="L186" s="91" t="s">
        <v>251</v>
      </c>
      <c r="M186" s="183"/>
      <c r="N186" s="184"/>
      <c r="O186" s="100">
        <v>250</v>
      </c>
    </row>
    <row r="187" spans="2:15" x14ac:dyDescent="0.3">
      <c r="B187" s="91" t="s">
        <v>250</v>
      </c>
      <c r="C187" s="183"/>
      <c r="D187" s="184"/>
      <c r="E187" s="100">
        <v>10</v>
      </c>
      <c r="G187" s="91" t="s">
        <v>250</v>
      </c>
      <c r="H187" s="183"/>
      <c r="I187" s="184"/>
      <c r="J187" s="100">
        <v>16</v>
      </c>
      <c r="L187" s="91" t="s">
        <v>250</v>
      </c>
      <c r="M187" s="183"/>
      <c r="N187" s="184"/>
      <c r="O187" s="100">
        <v>16</v>
      </c>
    </row>
    <row r="188" spans="2:15" x14ac:dyDescent="0.3">
      <c r="B188" s="91" t="s">
        <v>93</v>
      </c>
      <c r="C188" s="2"/>
      <c r="D188" s="2"/>
      <c r="E188" s="99">
        <v>2370</v>
      </c>
      <c r="G188" s="91" t="s">
        <v>93</v>
      </c>
      <c r="H188" s="2"/>
      <c r="I188" s="2"/>
      <c r="J188" s="99">
        <v>2500</v>
      </c>
      <c r="L188" s="91" t="s">
        <v>93</v>
      </c>
      <c r="M188" s="2"/>
      <c r="N188" s="2"/>
      <c r="O188" s="99">
        <v>2530</v>
      </c>
    </row>
    <row r="189" spans="2:15" x14ac:dyDescent="0.3">
      <c r="B189" s="91" t="s">
        <v>100</v>
      </c>
      <c r="C189" s="2"/>
      <c r="D189" s="2"/>
      <c r="E189" s="98">
        <v>182.30769230769232</v>
      </c>
      <c r="G189" s="91" t="s">
        <v>100</v>
      </c>
      <c r="H189" s="2"/>
      <c r="I189" s="2"/>
      <c r="J189" s="98">
        <v>192.30769230769232</v>
      </c>
      <c r="L189" s="91" t="s">
        <v>100</v>
      </c>
      <c r="M189" s="2"/>
      <c r="N189" s="2"/>
      <c r="O189" s="98">
        <v>194.61538461538461</v>
      </c>
    </row>
    <row r="190" spans="2:15" x14ac:dyDescent="0.3">
      <c r="B190" s="91" t="s">
        <v>238</v>
      </c>
      <c r="C190" s="2"/>
      <c r="D190" s="2"/>
      <c r="E190" s="99">
        <v>343.5</v>
      </c>
      <c r="G190" s="91" t="s">
        <v>238</v>
      </c>
      <c r="H190" s="2"/>
      <c r="I190" s="2"/>
      <c r="J190" s="99">
        <v>731.5</v>
      </c>
      <c r="L190" s="91" t="s">
        <v>238</v>
      </c>
      <c r="M190" s="2"/>
      <c r="N190" s="2"/>
      <c r="O190" s="99">
        <v>740.5</v>
      </c>
    </row>
    <row r="191" spans="2:15" ht="15" thickBot="1" x14ac:dyDescent="0.35">
      <c r="B191" s="91" t="s">
        <v>96</v>
      </c>
      <c r="C191" s="2"/>
      <c r="D191" s="185"/>
      <c r="E191" s="190">
        <v>465.07</v>
      </c>
      <c r="G191" s="91" t="s">
        <v>96</v>
      </c>
      <c r="H191" s="2"/>
      <c r="I191" s="185"/>
      <c r="J191" s="190">
        <v>45.21</v>
      </c>
      <c r="L191" s="91" t="s">
        <v>96</v>
      </c>
      <c r="M191" s="2"/>
      <c r="N191" s="185"/>
      <c r="O191" s="190">
        <v>461.35</v>
      </c>
    </row>
    <row r="192" spans="2:15" ht="15.6" thickTop="1" thickBot="1" x14ac:dyDescent="0.35">
      <c r="B192" s="96" t="s">
        <v>94</v>
      </c>
      <c r="C192" s="97"/>
      <c r="D192" s="187"/>
      <c r="E192" s="188">
        <v>3178.57</v>
      </c>
      <c r="G192" s="96" t="s">
        <v>94</v>
      </c>
      <c r="H192" s="97"/>
      <c r="I192" s="187"/>
      <c r="J192" s="188">
        <v>3276.71</v>
      </c>
      <c r="L192" s="96" t="s">
        <v>94</v>
      </c>
      <c r="M192" s="97"/>
      <c r="N192" s="187"/>
      <c r="O192" s="188">
        <v>3731.85</v>
      </c>
    </row>
    <row r="193" spans="2:15" ht="15.6" thickTop="1" thickBot="1" x14ac:dyDescent="0.35">
      <c r="B193" s="96" t="s">
        <v>99</v>
      </c>
      <c r="C193" s="97"/>
      <c r="D193" s="187"/>
      <c r="E193" s="199">
        <v>3006.0199999999991</v>
      </c>
      <c r="G193" s="96" t="s">
        <v>99</v>
      </c>
      <c r="H193" s="97"/>
      <c r="I193" s="187"/>
      <c r="J193" s="199">
        <v>4018.0199999999986</v>
      </c>
      <c r="L193" s="96" t="s">
        <v>99</v>
      </c>
      <c r="M193" s="97"/>
      <c r="N193" s="187"/>
      <c r="O193" s="199">
        <v>3604.6699999999983</v>
      </c>
    </row>
    <row r="194" spans="2:15" ht="15.6" thickTop="1" thickBot="1" x14ac:dyDescent="0.35"/>
    <row r="195" spans="2:15" ht="15.6" thickTop="1" thickBot="1" x14ac:dyDescent="0.35">
      <c r="B195" s="359" t="s">
        <v>92</v>
      </c>
      <c r="C195" s="366"/>
      <c r="D195" s="360"/>
      <c r="E195" s="114">
        <v>44788</v>
      </c>
      <c r="G195" s="359" t="s">
        <v>92</v>
      </c>
      <c r="H195" s="366"/>
      <c r="I195" s="360"/>
      <c r="J195" s="114">
        <v>44788</v>
      </c>
      <c r="L195" s="359" t="s">
        <v>92</v>
      </c>
      <c r="M195" s="366"/>
      <c r="N195" s="360"/>
      <c r="O195" s="114">
        <v>44788</v>
      </c>
    </row>
    <row r="196" spans="2:15" ht="15.6" thickTop="1" thickBot="1" x14ac:dyDescent="0.35">
      <c r="B196" s="363"/>
      <c r="C196" s="367"/>
      <c r="D196" s="364"/>
      <c r="E196" s="114">
        <v>45427</v>
      </c>
      <c r="G196" s="363"/>
      <c r="H196" s="367"/>
      <c r="I196" s="364"/>
      <c r="J196" s="114">
        <v>45458</v>
      </c>
      <c r="L196" s="363"/>
      <c r="M196" s="367"/>
      <c r="N196" s="364"/>
      <c r="O196" s="114">
        <v>45488</v>
      </c>
    </row>
    <row r="197" spans="2:15" ht="15.6" thickTop="1" thickBot="1" x14ac:dyDescent="0.35">
      <c r="B197" s="91" t="s">
        <v>91</v>
      </c>
      <c r="C197" s="2"/>
      <c r="D197" s="2"/>
      <c r="E197" s="173">
        <v>2860</v>
      </c>
      <c r="G197" s="91" t="s">
        <v>91</v>
      </c>
      <c r="H197" s="2"/>
      <c r="I197" s="2"/>
      <c r="J197" s="173">
        <v>2990</v>
      </c>
      <c r="L197" s="91" t="s">
        <v>91</v>
      </c>
      <c r="M197" s="2"/>
      <c r="N197" s="2"/>
      <c r="O197" s="173">
        <v>3120</v>
      </c>
    </row>
    <row r="198" spans="2:15" ht="15.6" thickTop="1" thickBot="1" x14ac:dyDescent="0.35">
      <c r="B198" s="92" t="s">
        <v>170</v>
      </c>
      <c r="C198" s="93"/>
      <c r="D198" s="93"/>
      <c r="E198" s="179"/>
      <c r="G198" s="92" t="s">
        <v>170</v>
      </c>
      <c r="H198" s="93"/>
      <c r="I198" s="93"/>
      <c r="J198" s="179"/>
      <c r="L198" s="92" t="s">
        <v>170</v>
      </c>
      <c r="M198" s="93"/>
      <c r="N198" s="93"/>
      <c r="O198" s="179"/>
    </row>
    <row r="199" spans="2:15" ht="15" thickTop="1" x14ac:dyDescent="0.3">
      <c r="B199" s="177" t="s">
        <v>227</v>
      </c>
      <c r="C199" s="2"/>
      <c r="D199" s="2"/>
      <c r="E199" s="172">
        <v>11360</v>
      </c>
      <c r="G199" s="177" t="s">
        <v>227</v>
      </c>
      <c r="H199" s="2"/>
      <c r="I199" s="2"/>
      <c r="J199" s="172">
        <v>12360</v>
      </c>
      <c r="L199" s="177" t="s">
        <v>227</v>
      </c>
      <c r="M199" s="2"/>
      <c r="N199" s="2"/>
      <c r="O199" s="172">
        <v>13360</v>
      </c>
    </row>
    <row r="200" spans="2:15" x14ac:dyDescent="0.3">
      <c r="B200" s="178" t="s">
        <v>228</v>
      </c>
      <c r="C200" s="2"/>
      <c r="D200" s="2"/>
      <c r="E200" s="100">
        <v>200</v>
      </c>
      <c r="G200" s="178" t="s">
        <v>228</v>
      </c>
      <c r="H200" s="2"/>
      <c r="I200" s="2"/>
      <c r="J200" s="100">
        <v>200</v>
      </c>
      <c r="L200" s="178" t="s">
        <v>228</v>
      </c>
      <c r="M200" s="2"/>
      <c r="N200" s="2"/>
      <c r="O200" s="100">
        <v>200</v>
      </c>
    </row>
    <row r="201" spans="2:15" x14ac:dyDescent="0.3">
      <c r="B201" s="91" t="s">
        <v>103</v>
      </c>
      <c r="C201" s="2"/>
      <c r="D201" s="2"/>
      <c r="E201" s="101">
        <v>1000</v>
      </c>
      <c r="G201" s="91" t="s">
        <v>103</v>
      </c>
      <c r="H201" s="2"/>
      <c r="I201" s="2"/>
      <c r="J201" s="101">
        <v>1000</v>
      </c>
      <c r="L201" s="91" t="s">
        <v>103</v>
      </c>
      <c r="M201" s="2"/>
      <c r="N201" s="2"/>
      <c r="O201" s="101">
        <v>1000</v>
      </c>
    </row>
    <row r="202" spans="2:15" x14ac:dyDescent="0.3">
      <c r="B202" s="178" t="s">
        <v>229</v>
      </c>
      <c r="C202" s="2"/>
      <c r="D202" s="2"/>
      <c r="E202" s="180">
        <v>1103</v>
      </c>
      <c r="G202" s="178" t="s">
        <v>229</v>
      </c>
      <c r="H202" s="2"/>
      <c r="I202" s="2"/>
      <c r="J202" s="180">
        <v>1191</v>
      </c>
      <c r="L202" s="178" t="s">
        <v>229</v>
      </c>
      <c r="M202" s="2"/>
      <c r="N202" s="2"/>
      <c r="O202" s="180">
        <v>1361</v>
      </c>
    </row>
    <row r="203" spans="2:15" ht="15" thickBot="1" x14ac:dyDescent="0.35">
      <c r="B203" s="91" t="s">
        <v>105</v>
      </c>
      <c r="C203" s="2"/>
      <c r="D203" s="2"/>
      <c r="E203" s="101">
        <v>116</v>
      </c>
      <c r="G203" s="91" t="s">
        <v>105</v>
      </c>
      <c r="H203" s="2"/>
      <c r="I203" s="2"/>
      <c r="J203" s="101">
        <v>88</v>
      </c>
      <c r="L203" s="91" t="s">
        <v>105</v>
      </c>
      <c r="M203" s="2"/>
      <c r="N203" s="2"/>
      <c r="O203" s="101">
        <v>170</v>
      </c>
    </row>
    <row r="204" spans="2:15" ht="15.6" thickTop="1" thickBot="1" x14ac:dyDescent="0.35">
      <c r="B204" s="181" t="s">
        <v>39</v>
      </c>
      <c r="C204" s="93"/>
      <c r="D204" s="93"/>
      <c r="E204" s="179"/>
      <c r="G204" s="181" t="s">
        <v>39</v>
      </c>
      <c r="H204" s="93"/>
      <c r="I204" s="93"/>
      <c r="J204" s="179"/>
      <c r="L204" s="181" t="s">
        <v>39</v>
      </c>
      <c r="M204" s="93"/>
      <c r="N204" s="93"/>
      <c r="O204" s="179"/>
    </row>
    <row r="205" spans="2:15" ht="15" thickTop="1" x14ac:dyDescent="0.3">
      <c r="B205" s="91" t="s">
        <v>101</v>
      </c>
      <c r="C205" s="2"/>
      <c r="D205" s="2"/>
      <c r="E205" s="100">
        <v>8384.9700000000012</v>
      </c>
      <c r="G205" s="91" t="s">
        <v>101</v>
      </c>
      <c r="H205" s="2"/>
      <c r="I205" s="2"/>
      <c r="J205" s="100">
        <v>9085.6700000000019</v>
      </c>
      <c r="L205" s="91" t="s">
        <v>101</v>
      </c>
      <c r="M205" s="2"/>
      <c r="N205" s="2"/>
      <c r="O205" s="100">
        <v>9951.3700000000026</v>
      </c>
    </row>
    <row r="206" spans="2:15" x14ac:dyDescent="0.3">
      <c r="B206" s="91" t="s">
        <v>104</v>
      </c>
      <c r="C206" s="2"/>
      <c r="D206" s="2"/>
      <c r="E206" s="101">
        <v>472.14</v>
      </c>
      <c r="G206" s="91" t="s">
        <v>104</v>
      </c>
      <c r="H206" s="2"/>
      <c r="I206" s="2"/>
      <c r="J206" s="101">
        <v>700.7</v>
      </c>
      <c r="L206" s="91" t="s">
        <v>104</v>
      </c>
      <c r="M206" s="2"/>
      <c r="N206" s="2"/>
      <c r="O206" s="101">
        <v>865.7</v>
      </c>
    </row>
    <row r="207" spans="2:15" ht="15" thickBot="1" x14ac:dyDescent="0.35">
      <c r="B207" s="105" t="s">
        <v>95</v>
      </c>
      <c r="C207" s="104"/>
      <c r="D207" s="95"/>
      <c r="E207" s="103">
        <v>2975.0299999999988</v>
      </c>
      <c r="G207" s="105" t="s">
        <v>95</v>
      </c>
      <c r="H207" s="104"/>
      <c r="I207" s="95"/>
      <c r="J207" s="103">
        <v>3274.3299999999981</v>
      </c>
      <c r="L207" s="105" t="s">
        <v>95</v>
      </c>
      <c r="M207" s="104"/>
      <c r="N207" s="95"/>
      <c r="O207" s="103">
        <v>3408.6299999999974</v>
      </c>
    </row>
    <row r="208" spans="2:15" ht="15" thickTop="1" x14ac:dyDescent="0.3">
      <c r="B208" s="91" t="s">
        <v>102</v>
      </c>
      <c r="C208" s="2"/>
      <c r="D208" s="2"/>
      <c r="E208" s="100">
        <v>634</v>
      </c>
      <c r="G208" s="91" t="s">
        <v>102</v>
      </c>
      <c r="H208" s="2"/>
      <c r="I208" s="2"/>
      <c r="J208" s="100">
        <v>710</v>
      </c>
      <c r="L208" s="91" t="s">
        <v>102</v>
      </c>
      <c r="M208" s="2"/>
      <c r="N208" s="2"/>
      <c r="O208" s="100">
        <v>805</v>
      </c>
    </row>
    <row r="209" spans="2:15" x14ac:dyDescent="0.3">
      <c r="B209" s="91" t="s">
        <v>106</v>
      </c>
      <c r="C209" s="2"/>
      <c r="D209" s="2"/>
      <c r="E209" s="101">
        <v>64</v>
      </c>
      <c r="G209" s="91" t="s">
        <v>106</v>
      </c>
      <c r="H209" s="2"/>
      <c r="I209" s="2"/>
      <c r="J209" s="101">
        <v>76</v>
      </c>
      <c r="L209" s="91" t="s">
        <v>106</v>
      </c>
      <c r="M209" s="2"/>
      <c r="N209" s="2"/>
      <c r="O209" s="101">
        <v>95</v>
      </c>
    </row>
    <row r="210" spans="2:15" ht="15" thickBot="1" x14ac:dyDescent="0.35">
      <c r="B210" s="105" t="s">
        <v>98</v>
      </c>
      <c r="C210" s="95"/>
      <c r="D210" s="95"/>
      <c r="E210" s="103">
        <v>469</v>
      </c>
      <c r="G210" s="105" t="s">
        <v>98</v>
      </c>
      <c r="H210" s="95"/>
      <c r="I210" s="95"/>
      <c r="J210" s="103">
        <v>481</v>
      </c>
      <c r="L210" s="105" t="s">
        <v>98</v>
      </c>
      <c r="M210" s="95"/>
      <c r="N210" s="95"/>
      <c r="O210" s="103">
        <v>556</v>
      </c>
    </row>
    <row r="211" spans="2:15" ht="15.6" thickTop="1" thickBot="1" x14ac:dyDescent="0.35">
      <c r="B211" s="92" t="s">
        <v>230</v>
      </c>
      <c r="C211" s="182"/>
      <c r="D211" s="93"/>
      <c r="E211" s="186"/>
      <c r="G211" s="92" t="s">
        <v>230</v>
      </c>
      <c r="H211" s="182"/>
      <c r="I211" s="93"/>
      <c r="J211" s="186"/>
      <c r="L211" s="92" t="s">
        <v>230</v>
      </c>
      <c r="M211" s="182"/>
      <c r="N211" s="93"/>
      <c r="O211" s="186"/>
    </row>
    <row r="212" spans="2:15" ht="15" thickTop="1" x14ac:dyDescent="0.3">
      <c r="B212" s="91" t="s">
        <v>231</v>
      </c>
      <c r="C212" s="174"/>
      <c r="D212" s="2"/>
      <c r="E212" s="102">
        <v>23.5</v>
      </c>
      <c r="G212" s="91" t="s">
        <v>231</v>
      </c>
      <c r="H212" s="174"/>
      <c r="I212" s="2"/>
      <c r="J212" s="102">
        <v>23.5</v>
      </c>
      <c r="L212" s="91" t="s">
        <v>231</v>
      </c>
      <c r="M212" s="174"/>
      <c r="N212" s="2"/>
      <c r="O212" s="102">
        <v>23.5</v>
      </c>
    </row>
    <row r="213" spans="2:15" x14ac:dyDescent="0.3">
      <c r="B213" s="91" t="s">
        <v>251</v>
      </c>
      <c r="C213" s="183"/>
      <c r="D213" s="184"/>
      <c r="E213" s="100">
        <v>250</v>
      </c>
      <c r="G213" s="91" t="s">
        <v>251</v>
      </c>
      <c r="H213" s="183"/>
      <c r="I213" s="184"/>
      <c r="J213" s="100">
        <v>250</v>
      </c>
      <c r="L213" s="91" t="s">
        <v>251</v>
      </c>
      <c r="M213" s="183"/>
      <c r="N213" s="184"/>
      <c r="O213" s="100">
        <v>250</v>
      </c>
    </row>
    <row r="214" spans="2:15" x14ac:dyDescent="0.3">
      <c r="B214" s="91" t="s">
        <v>250</v>
      </c>
      <c r="C214" s="183"/>
      <c r="D214" s="184"/>
      <c r="E214" s="100">
        <v>16</v>
      </c>
      <c r="G214" s="91" t="s">
        <v>250</v>
      </c>
      <c r="H214" s="183"/>
      <c r="I214" s="184"/>
      <c r="J214" s="100">
        <v>24</v>
      </c>
      <c r="L214" s="91" t="s">
        <v>250</v>
      </c>
      <c r="M214" s="183"/>
      <c r="N214" s="184"/>
      <c r="O214" s="100">
        <v>24</v>
      </c>
    </row>
    <row r="215" spans="2:15" x14ac:dyDescent="0.3">
      <c r="B215" s="91" t="s">
        <v>93</v>
      </c>
      <c r="C215" s="2"/>
      <c r="D215" s="2"/>
      <c r="E215" s="99">
        <v>2660</v>
      </c>
      <c r="G215" s="91" t="s">
        <v>93</v>
      </c>
      <c r="H215" s="2"/>
      <c r="I215" s="2"/>
      <c r="J215" s="99">
        <v>2790</v>
      </c>
      <c r="L215" s="91" t="s">
        <v>93</v>
      </c>
      <c r="M215" s="2"/>
      <c r="N215" s="2"/>
      <c r="O215" s="99">
        <v>2920</v>
      </c>
    </row>
    <row r="216" spans="2:15" x14ac:dyDescent="0.3">
      <c r="B216" s="91" t="s">
        <v>100</v>
      </c>
      <c r="C216" s="2"/>
      <c r="D216" s="2"/>
      <c r="E216" s="98">
        <v>204.61538461538461</v>
      </c>
      <c r="G216" s="91" t="s">
        <v>100</v>
      </c>
      <c r="H216" s="2"/>
      <c r="I216" s="2"/>
      <c r="J216" s="98">
        <v>214.61538461538461</v>
      </c>
      <c r="L216" s="91" t="s">
        <v>100</v>
      </c>
      <c r="M216" s="2"/>
      <c r="N216" s="2"/>
      <c r="O216" s="98">
        <v>224.61538461538461</v>
      </c>
    </row>
    <row r="217" spans="2:15" x14ac:dyDescent="0.3">
      <c r="B217" s="91" t="s">
        <v>238</v>
      </c>
      <c r="C217" s="2"/>
      <c r="D217" s="2"/>
      <c r="E217" s="99">
        <v>860.5</v>
      </c>
      <c r="G217" s="91" t="s">
        <v>238</v>
      </c>
      <c r="H217" s="2"/>
      <c r="I217" s="2"/>
      <c r="J217" s="99">
        <v>940.5</v>
      </c>
      <c r="L217" s="91" t="s">
        <v>238</v>
      </c>
      <c r="M217" s="2"/>
      <c r="N217" s="2"/>
      <c r="O217" s="99">
        <v>1110.5</v>
      </c>
    </row>
    <row r="218" spans="2:15" ht="15" thickBot="1" x14ac:dyDescent="0.35">
      <c r="B218" s="91" t="s">
        <v>96</v>
      </c>
      <c r="C218" s="2"/>
      <c r="D218" s="185"/>
      <c r="E218" s="190">
        <v>131.49</v>
      </c>
      <c r="G218" s="91" t="s">
        <v>96</v>
      </c>
      <c r="H218" s="2"/>
      <c r="I218" s="185"/>
      <c r="J218" s="190">
        <v>38.19</v>
      </c>
      <c r="L218" s="91" t="s">
        <v>96</v>
      </c>
      <c r="M218" s="2"/>
      <c r="N218" s="185"/>
      <c r="O218" s="190">
        <v>128.9</v>
      </c>
    </row>
    <row r="219" spans="2:15" ht="15.6" thickTop="1" thickBot="1" x14ac:dyDescent="0.35">
      <c r="B219" s="96" t="s">
        <v>94</v>
      </c>
      <c r="C219" s="97"/>
      <c r="D219" s="187"/>
      <c r="E219" s="188">
        <v>3520.5</v>
      </c>
      <c r="G219" s="96" t="s">
        <v>94</v>
      </c>
      <c r="H219" s="97"/>
      <c r="I219" s="187"/>
      <c r="J219" s="188">
        <v>3793.5199999999982</v>
      </c>
      <c r="L219" s="96" t="s">
        <v>94</v>
      </c>
      <c r="M219" s="97"/>
      <c r="N219" s="187"/>
      <c r="O219" s="188">
        <v>4093.5299999999975</v>
      </c>
    </row>
    <row r="220" spans="2:15" ht="15.6" thickTop="1" thickBot="1" x14ac:dyDescent="0.35">
      <c r="B220" s="96" t="s">
        <v>99</v>
      </c>
      <c r="C220" s="97"/>
      <c r="D220" s="187"/>
      <c r="E220" s="199">
        <v>3575.5199999999986</v>
      </c>
      <c r="G220" s="96" t="s">
        <v>99</v>
      </c>
      <c r="H220" s="97"/>
      <c r="I220" s="187"/>
      <c r="J220" s="199">
        <v>3730.5</v>
      </c>
      <c r="L220" s="96" t="s">
        <v>99</v>
      </c>
      <c r="M220" s="97"/>
      <c r="N220" s="187"/>
      <c r="O220" s="199">
        <v>4030.5</v>
      </c>
    </row>
    <row r="221" spans="2:15" ht="15.6" thickTop="1" thickBot="1" x14ac:dyDescent="0.35"/>
    <row r="222" spans="2:15" ht="15.6" thickTop="1" thickBot="1" x14ac:dyDescent="0.35">
      <c r="B222" s="359" t="s">
        <v>92</v>
      </c>
      <c r="C222" s="366"/>
      <c r="D222" s="360"/>
      <c r="E222" s="114">
        <v>44788</v>
      </c>
      <c r="G222" s="359" t="s">
        <v>92</v>
      </c>
      <c r="H222" s="366"/>
      <c r="I222" s="360"/>
      <c r="J222" s="114">
        <v>44788</v>
      </c>
      <c r="L222" s="359" t="s">
        <v>92</v>
      </c>
      <c r="M222" s="366"/>
      <c r="N222" s="360"/>
      <c r="O222" s="114">
        <v>44788</v>
      </c>
    </row>
    <row r="223" spans="2:15" ht="15.6" thickTop="1" thickBot="1" x14ac:dyDescent="0.35">
      <c r="B223" s="363"/>
      <c r="C223" s="367"/>
      <c r="D223" s="364"/>
      <c r="E223" s="114">
        <v>45519</v>
      </c>
      <c r="G223" s="363"/>
      <c r="H223" s="367"/>
      <c r="I223" s="364"/>
      <c r="J223" s="114">
        <v>45550</v>
      </c>
      <c r="L223" s="363"/>
      <c r="M223" s="367"/>
      <c r="N223" s="364"/>
      <c r="O223" s="114">
        <v>45580</v>
      </c>
    </row>
    <row r="224" spans="2:15" ht="15.6" thickTop="1" thickBot="1" x14ac:dyDescent="0.35">
      <c r="B224" s="91" t="s">
        <v>91</v>
      </c>
      <c r="C224" s="2"/>
      <c r="D224" s="2"/>
      <c r="E224" s="173">
        <v>3250</v>
      </c>
      <c r="G224" s="91" t="s">
        <v>91</v>
      </c>
      <c r="H224" s="2"/>
      <c r="I224" s="2"/>
      <c r="J224" s="173">
        <v>3380</v>
      </c>
      <c r="L224" s="91" t="s">
        <v>91</v>
      </c>
      <c r="M224" s="2"/>
      <c r="N224" s="2"/>
      <c r="O224" s="173">
        <v>3510</v>
      </c>
    </row>
    <row r="225" spans="2:15" ht="15.6" thickTop="1" thickBot="1" x14ac:dyDescent="0.35">
      <c r="B225" s="92" t="s">
        <v>170</v>
      </c>
      <c r="C225" s="93"/>
      <c r="D225" s="93"/>
      <c r="E225" s="179"/>
      <c r="G225" s="92" t="s">
        <v>170</v>
      </c>
      <c r="H225" s="93"/>
      <c r="I225" s="93"/>
      <c r="J225" s="179"/>
      <c r="L225" s="92" t="s">
        <v>170</v>
      </c>
      <c r="M225" s="93"/>
      <c r="N225" s="93"/>
      <c r="O225" s="179"/>
    </row>
    <row r="226" spans="2:15" ht="15" thickTop="1" x14ac:dyDescent="0.3">
      <c r="B226" s="177" t="s">
        <v>227</v>
      </c>
      <c r="C226" s="2"/>
      <c r="D226" s="2"/>
      <c r="E226" s="172">
        <v>14260</v>
      </c>
      <c r="G226" s="177" t="s">
        <v>227</v>
      </c>
      <c r="H226" s="2"/>
      <c r="I226" s="2"/>
      <c r="J226" s="172">
        <v>14660</v>
      </c>
      <c r="L226" s="177" t="s">
        <v>227</v>
      </c>
      <c r="M226" s="2"/>
      <c r="N226" s="2"/>
      <c r="O226" s="172">
        <v>15660</v>
      </c>
    </row>
    <row r="227" spans="2:15" x14ac:dyDescent="0.3">
      <c r="B227" s="178" t="s">
        <v>228</v>
      </c>
      <c r="C227" s="2"/>
      <c r="D227" s="2"/>
      <c r="E227" s="100">
        <v>200</v>
      </c>
      <c r="G227" s="178" t="s">
        <v>228</v>
      </c>
      <c r="H227" s="2"/>
      <c r="I227" s="2"/>
      <c r="J227" s="100">
        <v>460</v>
      </c>
      <c r="L227" s="178" t="s">
        <v>228</v>
      </c>
      <c r="M227" s="2"/>
      <c r="N227" s="2"/>
      <c r="O227" s="100">
        <v>460</v>
      </c>
    </row>
    <row r="228" spans="2:15" x14ac:dyDescent="0.3">
      <c r="B228" s="91" t="s">
        <v>103</v>
      </c>
      <c r="C228" s="2"/>
      <c r="D228" s="2"/>
      <c r="E228" s="101">
        <v>900</v>
      </c>
      <c r="G228" s="91" t="s">
        <v>103</v>
      </c>
      <c r="H228" s="2"/>
      <c r="I228" s="2"/>
      <c r="J228" s="101">
        <v>400</v>
      </c>
      <c r="L228" s="91" t="s">
        <v>103</v>
      </c>
      <c r="M228" s="2"/>
      <c r="N228" s="2"/>
      <c r="O228" s="101">
        <v>1000</v>
      </c>
    </row>
    <row r="229" spans="2:15" x14ac:dyDescent="0.3">
      <c r="B229" s="178" t="s">
        <v>229</v>
      </c>
      <c r="C229" s="2"/>
      <c r="D229" s="2"/>
      <c r="E229" s="180">
        <v>1469</v>
      </c>
      <c r="G229" s="178" t="s">
        <v>229</v>
      </c>
      <c r="H229" s="2"/>
      <c r="I229" s="2"/>
      <c r="J229" s="180">
        <v>1501</v>
      </c>
      <c r="L229" s="178" t="s">
        <v>229</v>
      </c>
      <c r="M229" s="2"/>
      <c r="N229" s="2"/>
      <c r="O229" s="180">
        <v>1581</v>
      </c>
    </row>
    <row r="230" spans="2:15" ht="15" thickBot="1" x14ac:dyDescent="0.35">
      <c r="B230" s="91" t="s">
        <v>105</v>
      </c>
      <c r="C230" s="2"/>
      <c r="D230" s="2"/>
      <c r="E230" s="101">
        <v>108</v>
      </c>
      <c r="G230" s="91" t="s">
        <v>105</v>
      </c>
      <c r="H230" s="2"/>
      <c r="I230" s="2"/>
      <c r="J230" s="101">
        <v>32</v>
      </c>
      <c r="L230" s="91" t="s">
        <v>105</v>
      </c>
      <c r="M230" s="2"/>
      <c r="N230" s="2"/>
      <c r="O230" s="101">
        <v>80</v>
      </c>
    </row>
    <row r="231" spans="2:15" ht="15.6" thickTop="1" thickBot="1" x14ac:dyDescent="0.35">
      <c r="B231" s="181" t="s">
        <v>39</v>
      </c>
      <c r="C231" s="93"/>
      <c r="D231" s="93"/>
      <c r="E231" s="179"/>
      <c r="G231" s="181" t="s">
        <v>39</v>
      </c>
      <c r="H231" s="93"/>
      <c r="I231" s="93"/>
      <c r="J231" s="179"/>
      <c r="L231" s="181" t="s">
        <v>39</v>
      </c>
      <c r="M231" s="93"/>
      <c r="N231" s="93"/>
      <c r="O231" s="179"/>
    </row>
    <row r="232" spans="2:15" ht="15" thickTop="1" x14ac:dyDescent="0.3">
      <c r="B232" s="91" t="s">
        <v>101</v>
      </c>
      <c r="C232" s="2"/>
      <c r="D232" s="2"/>
      <c r="E232" s="100">
        <v>10688.740000000003</v>
      </c>
      <c r="G232" s="91" t="s">
        <v>101</v>
      </c>
      <c r="H232" s="2"/>
      <c r="I232" s="2"/>
      <c r="J232" s="100">
        <v>11556.110000000004</v>
      </c>
      <c r="L232" s="91" t="s">
        <v>101</v>
      </c>
      <c r="M232" s="2"/>
      <c r="N232" s="2"/>
      <c r="O232" s="100">
        <v>12463.480000000005</v>
      </c>
    </row>
    <row r="233" spans="2:15" x14ac:dyDescent="0.3">
      <c r="B233" s="91" t="s">
        <v>104</v>
      </c>
      <c r="C233" s="2"/>
      <c r="D233" s="2"/>
      <c r="E233" s="101">
        <v>737.37</v>
      </c>
      <c r="G233" s="91" t="s">
        <v>104</v>
      </c>
      <c r="H233" s="2"/>
      <c r="I233" s="2"/>
      <c r="J233" s="101">
        <v>867.37</v>
      </c>
      <c r="L233" s="91" t="s">
        <v>104</v>
      </c>
      <c r="M233" s="2"/>
      <c r="N233" s="2"/>
      <c r="O233" s="101">
        <v>907.37</v>
      </c>
    </row>
    <row r="234" spans="2:15" ht="15" thickBot="1" x14ac:dyDescent="0.35">
      <c r="B234" s="105" t="s">
        <v>95</v>
      </c>
      <c r="C234" s="104"/>
      <c r="D234" s="95"/>
      <c r="E234" s="103">
        <v>3571.2599999999966</v>
      </c>
      <c r="G234" s="105" t="s">
        <v>95</v>
      </c>
      <c r="H234" s="104"/>
      <c r="I234" s="95"/>
      <c r="J234" s="103">
        <v>3103.8899999999958</v>
      </c>
      <c r="L234" s="105" t="s">
        <v>95</v>
      </c>
      <c r="M234" s="104"/>
      <c r="N234" s="95"/>
      <c r="O234" s="103">
        <v>3196.519999999995</v>
      </c>
    </row>
    <row r="235" spans="2:15" ht="15" thickTop="1" x14ac:dyDescent="0.3">
      <c r="B235" s="91" t="s">
        <v>102</v>
      </c>
      <c r="C235" s="2"/>
      <c r="D235" s="2"/>
      <c r="E235" s="100">
        <v>899</v>
      </c>
      <c r="G235" s="91" t="s">
        <v>102</v>
      </c>
      <c r="H235" s="2"/>
      <c r="I235" s="2"/>
      <c r="J235" s="100">
        <v>1009</v>
      </c>
      <c r="L235" s="91" t="s">
        <v>102</v>
      </c>
      <c r="M235" s="2"/>
      <c r="N235" s="2"/>
      <c r="O235" s="100">
        <v>1113</v>
      </c>
    </row>
    <row r="236" spans="2:15" x14ac:dyDescent="0.3">
      <c r="B236" s="91" t="s">
        <v>106</v>
      </c>
      <c r="C236" s="2"/>
      <c r="D236" s="2"/>
      <c r="E236" s="101">
        <v>94</v>
      </c>
      <c r="G236" s="91" t="s">
        <v>106</v>
      </c>
      <c r="H236" s="2"/>
      <c r="I236" s="2"/>
      <c r="J236" s="101">
        <v>110</v>
      </c>
      <c r="L236" s="91" t="s">
        <v>106</v>
      </c>
      <c r="M236" s="2"/>
      <c r="N236" s="2"/>
      <c r="O236" s="101">
        <v>104</v>
      </c>
    </row>
    <row r="237" spans="2:15" ht="15" thickBot="1" x14ac:dyDescent="0.35">
      <c r="B237" s="105" t="s">
        <v>98</v>
      </c>
      <c r="C237" s="95"/>
      <c r="D237" s="95"/>
      <c r="E237" s="103">
        <v>570</v>
      </c>
      <c r="G237" s="105" t="s">
        <v>98</v>
      </c>
      <c r="H237" s="95"/>
      <c r="I237" s="95"/>
      <c r="J237" s="103">
        <v>492</v>
      </c>
      <c r="L237" s="105" t="s">
        <v>98</v>
      </c>
      <c r="M237" s="95"/>
      <c r="N237" s="95"/>
      <c r="O237" s="103">
        <v>468</v>
      </c>
    </row>
    <row r="238" spans="2:15" ht="15.6" thickTop="1" thickBot="1" x14ac:dyDescent="0.35">
      <c r="B238" s="92" t="s">
        <v>230</v>
      </c>
      <c r="C238" s="182"/>
      <c r="D238" s="93"/>
      <c r="E238" s="186"/>
      <c r="G238" s="92" t="s">
        <v>230</v>
      </c>
      <c r="H238" s="182"/>
      <c r="I238" s="93"/>
      <c r="J238" s="186"/>
      <c r="L238" s="92" t="s">
        <v>230</v>
      </c>
      <c r="M238" s="182"/>
      <c r="N238" s="93"/>
      <c r="O238" s="186"/>
    </row>
    <row r="239" spans="2:15" ht="15" thickTop="1" x14ac:dyDescent="0.3">
      <c r="B239" s="91" t="s">
        <v>231</v>
      </c>
      <c r="C239" s="174"/>
      <c r="D239" s="2"/>
      <c r="E239" s="102">
        <v>23.5</v>
      </c>
      <c r="G239" s="91" t="s">
        <v>231</v>
      </c>
      <c r="H239" s="174"/>
      <c r="I239" s="2"/>
      <c r="J239" s="102">
        <v>23.5</v>
      </c>
      <c r="L239" s="91" t="s">
        <v>231</v>
      </c>
      <c r="M239" s="174"/>
      <c r="N239" s="2"/>
      <c r="O239" s="102">
        <v>23.5</v>
      </c>
    </row>
    <row r="240" spans="2:15" x14ac:dyDescent="0.3">
      <c r="B240" s="91" t="s">
        <v>251</v>
      </c>
      <c r="C240" s="183"/>
      <c r="D240" s="184"/>
      <c r="E240" s="100">
        <v>250</v>
      </c>
      <c r="G240" s="91" t="s">
        <v>251</v>
      </c>
      <c r="H240" s="183"/>
      <c r="I240" s="184"/>
      <c r="J240" s="100">
        <v>250</v>
      </c>
      <c r="L240" s="91" t="s">
        <v>251</v>
      </c>
      <c r="M240" s="183"/>
      <c r="N240" s="184"/>
      <c r="O240" s="100">
        <v>450</v>
      </c>
    </row>
    <row r="241" spans="2:15" x14ac:dyDescent="0.3">
      <c r="B241" s="91" t="s">
        <v>250</v>
      </c>
      <c r="C241" s="183"/>
      <c r="D241" s="184"/>
      <c r="E241" s="100">
        <v>24</v>
      </c>
      <c r="G241" s="91" t="s">
        <v>250</v>
      </c>
      <c r="H241" s="183"/>
      <c r="I241" s="184"/>
      <c r="J241" s="100">
        <v>24</v>
      </c>
      <c r="L241" s="91" t="s">
        <v>250</v>
      </c>
      <c r="M241" s="183"/>
      <c r="N241" s="184"/>
      <c r="O241" s="100">
        <v>38</v>
      </c>
    </row>
    <row r="242" spans="2:15" x14ac:dyDescent="0.3">
      <c r="B242" s="91" t="s">
        <v>93</v>
      </c>
      <c r="C242" s="2"/>
      <c r="D242" s="2"/>
      <c r="E242" s="99">
        <v>3050</v>
      </c>
      <c r="G242" s="91" t="s">
        <v>93</v>
      </c>
      <c r="H242" s="2"/>
      <c r="I242" s="2"/>
      <c r="J242" s="99">
        <v>2920</v>
      </c>
      <c r="L242" s="91" t="s">
        <v>93</v>
      </c>
      <c r="M242" s="2"/>
      <c r="N242" s="2"/>
      <c r="O242" s="99">
        <v>3050</v>
      </c>
    </row>
    <row r="243" spans="2:15" x14ac:dyDescent="0.3">
      <c r="B243" s="91" t="s">
        <v>100</v>
      </c>
      <c r="C243" s="2"/>
      <c r="D243" s="2"/>
      <c r="E243" s="98">
        <v>234.61538461538461</v>
      </c>
      <c r="G243" s="91" t="s">
        <v>100</v>
      </c>
      <c r="H243" s="2"/>
      <c r="I243" s="2"/>
      <c r="J243" s="98">
        <v>224.61538461538461</v>
      </c>
      <c r="L243" s="91" t="s">
        <v>100</v>
      </c>
      <c r="M243" s="2"/>
      <c r="N243" s="2"/>
      <c r="O243" s="98">
        <v>234.61538461538461</v>
      </c>
    </row>
    <row r="244" spans="2:15" x14ac:dyDescent="0.3">
      <c r="B244" s="91" t="s">
        <v>238</v>
      </c>
      <c r="C244" s="2"/>
      <c r="D244" s="2"/>
      <c r="E244" s="99">
        <v>1218.5</v>
      </c>
      <c r="G244" s="91" t="s">
        <v>238</v>
      </c>
      <c r="H244" s="2"/>
      <c r="I244" s="2"/>
      <c r="J244" s="99">
        <v>1250.5</v>
      </c>
      <c r="L244" s="91" t="s">
        <v>238</v>
      </c>
      <c r="M244" s="2"/>
      <c r="N244" s="2"/>
      <c r="O244" s="99">
        <v>1116.5</v>
      </c>
    </row>
    <row r="245" spans="2:15" ht="15" thickBot="1" x14ac:dyDescent="0.35">
      <c r="B245" s="91" t="s">
        <v>96</v>
      </c>
      <c r="C245" s="2"/>
      <c r="D245" s="185"/>
      <c r="E245" s="190">
        <v>190.27</v>
      </c>
      <c r="G245" s="91" t="s">
        <v>96</v>
      </c>
      <c r="H245" s="2"/>
      <c r="I245" s="185"/>
      <c r="J245" s="190">
        <v>637.64</v>
      </c>
      <c r="L245" s="91" t="s">
        <v>96</v>
      </c>
      <c r="M245" s="2"/>
      <c r="N245" s="185"/>
      <c r="O245" s="190">
        <v>605.71</v>
      </c>
    </row>
    <row r="246" spans="2:15" ht="15.6" thickTop="1" thickBot="1" x14ac:dyDescent="0.35">
      <c r="B246" s="96" t="s">
        <v>94</v>
      </c>
      <c r="C246" s="97"/>
      <c r="D246" s="187"/>
      <c r="E246" s="188">
        <v>4331.529999999997</v>
      </c>
      <c r="G246" s="96" t="s">
        <v>94</v>
      </c>
      <c r="H246" s="97"/>
      <c r="I246" s="187"/>
      <c r="J246" s="188">
        <v>4233.5299999999961</v>
      </c>
      <c r="L246" s="96" t="s">
        <v>94</v>
      </c>
      <c r="M246" s="97"/>
      <c r="N246" s="187"/>
      <c r="O246" s="188">
        <v>4270.229999999995</v>
      </c>
    </row>
    <row r="247" spans="2:15" ht="15.6" thickTop="1" thickBot="1" x14ac:dyDescent="0.35">
      <c r="B247" s="96" t="s">
        <v>99</v>
      </c>
      <c r="C247" s="97"/>
      <c r="D247" s="187"/>
      <c r="E247" s="199">
        <v>4268.5</v>
      </c>
      <c r="G247" s="96" t="s">
        <v>99</v>
      </c>
      <c r="H247" s="97"/>
      <c r="I247" s="187"/>
      <c r="J247" s="199">
        <v>4170.5</v>
      </c>
      <c r="L247" s="96" t="s">
        <v>99</v>
      </c>
      <c r="M247" s="97"/>
      <c r="N247" s="187"/>
      <c r="O247" s="199">
        <v>4166.5</v>
      </c>
    </row>
    <row r="248" spans="2:15" ht="15.6" thickTop="1" thickBot="1" x14ac:dyDescent="0.35"/>
    <row r="249" spans="2:15" ht="15.6" thickTop="1" thickBot="1" x14ac:dyDescent="0.35">
      <c r="B249" s="359" t="s">
        <v>92</v>
      </c>
      <c r="C249" s="366"/>
      <c r="D249" s="360"/>
      <c r="E249" s="114">
        <v>44788</v>
      </c>
      <c r="G249" s="359" t="s">
        <v>92</v>
      </c>
      <c r="H249" s="366"/>
      <c r="I249" s="360"/>
      <c r="J249" s="114">
        <v>44788</v>
      </c>
      <c r="L249" s="359" t="s">
        <v>92</v>
      </c>
      <c r="M249" s="366"/>
      <c r="N249" s="360"/>
      <c r="O249" s="114">
        <v>44788</v>
      </c>
    </row>
    <row r="250" spans="2:15" ht="15.6" thickTop="1" thickBot="1" x14ac:dyDescent="0.35">
      <c r="B250" s="363"/>
      <c r="C250" s="367"/>
      <c r="D250" s="364"/>
      <c r="E250" s="114">
        <v>45611</v>
      </c>
      <c r="G250" s="363"/>
      <c r="H250" s="367"/>
      <c r="I250" s="364"/>
      <c r="J250" s="114">
        <v>45656</v>
      </c>
      <c r="L250" s="363"/>
      <c r="M250" s="367"/>
      <c r="N250" s="364"/>
      <c r="O250" s="114">
        <v>45672</v>
      </c>
    </row>
    <row r="251" spans="2:15" ht="15.6" thickTop="1" thickBot="1" x14ac:dyDescent="0.35">
      <c r="B251" s="91" t="s">
        <v>91</v>
      </c>
      <c r="C251" s="2"/>
      <c r="D251" s="2"/>
      <c r="E251" s="173">
        <v>3640</v>
      </c>
      <c r="G251" s="91" t="s">
        <v>91</v>
      </c>
      <c r="H251" s="2"/>
      <c r="I251" s="2"/>
      <c r="J251" s="173">
        <v>3770</v>
      </c>
      <c r="L251" s="91" t="s">
        <v>91</v>
      </c>
      <c r="M251" s="2"/>
      <c r="N251" s="2"/>
      <c r="O251" s="173">
        <v>3900</v>
      </c>
    </row>
    <row r="252" spans="2:15" ht="15.6" thickTop="1" thickBot="1" x14ac:dyDescent="0.35">
      <c r="B252" s="92" t="s">
        <v>170</v>
      </c>
      <c r="C252" s="93"/>
      <c r="D252" s="93"/>
      <c r="E252" s="179"/>
      <c r="G252" s="92" t="s">
        <v>170</v>
      </c>
      <c r="H252" s="93"/>
      <c r="I252" s="93"/>
      <c r="J252" s="179"/>
      <c r="L252" s="92" t="s">
        <v>170</v>
      </c>
      <c r="M252" s="93"/>
      <c r="N252" s="93"/>
      <c r="O252" s="179"/>
    </row>
    <row r="253" spans="2:15" ht="15" thickTop="1" x14ac:dyDescent="0.3">
      <c r="B253" s="177" t="s">
        <v>227</v>
      </c>
      <c r="C253" s="2"/>
      <c r="D253" s="2"/>
      <c r="E253" s="172">
        <v>17360</v>
      </c>
      <c r="G253" s="177" t="s">
        <v>227</v>
      </c>
      <c r="H253" s="2"/>
      <c r="I253" s="2"/>
      <c r="J253" s="172">
        <v>18940</v>
      </c>
      <c r="L253" s="177" t="s">
        <v>227</v>
      </c>
      <c r="M253" s="2"/>
      <c r="N253" s="2"/>
      <c r="O253" s="172">
        <v>20490</v>
      </c>
    </row>
    <row r="254" spans="2:15" x14ac:dyDescent="0.3">
      <c r="B254" s="178" t="s">
        <v>228</v>
      </c>
      <c r="C254" s="2"/>
      <c r="D254" s="2"/>
      <c r="E254" s="100">
        <v>460</v>
      </c>
      <c r="G254" s="178" t="s">
        <v>228</v>
      </c>
      <c r="H254" s="2"/>
      <c r="I254" s="2"/>
      <c r="J254" s="100">
        <v>460</v>
      </c>
      <c r="L254" s="178" t="s">
        <v>228</v>
      </c>
      <c r="M254" s="2"/>
      <c r="N254" s="2"/>
      <c r="O254" s="100">
        <v>460</v>
      </c>
    </row>
    <row r="255" spans="2:15" x14ac:dyDescent="0.3">
      <c r="B255" s="91" t="s">
        <v>103</v>
      </c>
      <c r="C255" s="2"/>
      <c r="D255" s="2"/>
      <c r="E255" s="101">
        <v>1700</v>
      </c>
      <c r="G255" s="91" t="s">
        <v>103</v>
      </c>
      <c r="H255" s="2"/>
      <c r="I255" s="2"/>
      <c r="J255" s="101">
        <v>1580</v>
      </c>
      <c r="L255" s="91" t="s">
        <v>103</v>
      </c>
      <c r="M255" s="2"/>
      <c r="N255" s="2"/>
      <c r="O255" s="101">
        <v>1550</v>
      </c>
    </row>
    <row r="256" spans="2:15" x14ac:dyDescent="0.3">
      <c r="B256" s="178" t="s">
        <v>229</v>
      </c>
      <c r="C256" s="2"/>
      <c r="D256" s="2"/>
      <c r="E256" s="180">
        <v>1831</v>
      </c>
      <c r="G256" s="178" t="s">
        <v>229</v>
      </c>
      <c r="H256" s="2"/>
      <c r="I256" s="2"/>
      <c r="J256" s="180">
        <v>2082.6</v>
      </c>
      <c r="L256" s="178" t="s">
        <v>229</v>
      </c>
      <c r="M256" s="2"/>
      <c r="N256" s="2"/>
      <c r="O256" s="180">
        <v>2284.6</v>
      </c>
    </row>
    <row r="257" spans="2:17" ht="15" thickBot="1" x14ac:dyDescent="0.35">
      <c r="B257" s="91" t="s">
        <v>105</v>
      </c>
      <c r="C257" s="2"/>
      <c r="D257" s="2"/>
      <c r="E257" s="101">
        <v>250</v>
      </c>
      <c r="G257" s="91" t="s">
        <v>105</v>
      </c>
      <c r="H257" s="2"/>
      <c r="I257" s="2"/>
      <c r="J257" s="101">
        <v>251.6</v>
      </c>
      <c r="L257" s="91" t="s">
        <v>105</v>
      </c>
      <c r="M257" s="2"/>
      <c r="N257" s="2"/>
      <c r="O257" s="101">
        <v>202</v>
      </c>
    </row>
    <row r="258" spans="2:17" ht="15.6" thickTop="1" thickBot="1" x14ac:dyDescent="0.35">
      <c r="B258" s="181" t="s">
        <v>39</v>
      </c>
      <c r="C258" s="93"/>
      <c r="D258" s="93"/>
      <c r="E258" s="179"/>
      <c r="G258" s="181" t="s">
        <v>39</v>
      </c>
      <c r="H258" s="93"/>
      <c r="I258" s="93"/>
      <c r="J258" s="179"/>
      <c r="L258" s="181" t="s">
        <v>39</v>
      </c>
      <c r="M258" s="93"/>
      <c r="N258" s="93"/>
      <c r="O258" s="179"/>
    </row>
    <row r="259" spans="2:17" ht="15" thickTop="1" x14ac:dyDescent="0.3">
      <c r="B259" s="91" t="s">
        <v>101</v>
      </c>
      <c r="C259" s="2"/>
      <c r="D259" s="2"/>
      <c r="E259" s="100">
        <v>13426.550000000007</v>
      </c>
      <c r="G259" s="91" t="s">
        <v>101</v>
      </c>
      <c r="H259" s="2"/>
      <c r="I259" s="2"/>
      <c r="J259" s="100">
        <v>14624.890000000007</v>
      </c>
      <c r="L259" s="91" t="s">
        <v>101</v>
      </c>
      <c r="M259" s="2"/>
      <c r="N259" s="2"/>
      <c r="O259" s="100">
        <v>16028.230000000007</v>
      </c>
    </row>
    <row r="260" spans="2:17" x14ac:dyDescent="0.3">
      <c r="B260" s="91" t="s">
        <v>104</v>
      </c>
      <c r="C260" s="2"/>
      <c r="D260" s="2"/>
      <c r="E260" s="101">
        <v>963.07</v>
      </c>
      <c r="G260" s="91" t="s">
        <v>104</v>
      </c>
      <c r="H260" s="2"/>
      <c r="I260" s="2"/>
      <c r="J260" s="101">
        <v>1198.3400000000001</v>
      </c>
      <c r="L260" s="91" t="s">
        <v>104</v>
      </c>
      <c r="M260" s="2"/>
      <c r="N260" s="2"/>
      <c r="O260" s="101">
        <v>1403.3400000000001</v>
      </c>
    </row>
    <row r="261" spans="2:17" ht="15" thickBot="1" x14ac:dyDescent="0.35">
      <c r="B261" s="105" t="s">
        <v>95</v>
      </c>
      <c r="C261" s="104"/>
      <c r="D261" s="95"/>
      <c r="E261" s="103">
        <v>3933.4499999999935</v>
      </c>
      <c r="G261" s="105" t="s">
        <v>95</v>
      </c>
      <c r="H261" s="104"/>
      <c r="I261" s="95"/>
      <c r="J261" s="103">
        <v>4315.1099999999933</v>
      </c>
      <c r="L261" s="105" t="s">
        <v>95</v>
      </c>
      <c r="M261" s="104"/>
      <c r="N261" s="95"/>
      <c r="O261" s="103">
        <v>4461.7699999999932</v>
      </c>
    </row>
    <row r="262" spans="2:17" ht="15" thickTop="1" x14ac:dyDescent="0.3">
      <c r="B262" s="91" t="s">
        <v>102</v>
      </c>
      <c r="C262" s="2"/>
      <c r="D262" s="2"/>
      <c r="E262" s="100">
        <v>1223</v>
      </c>
      <c r="G262" s="91" t="s">
        <v>102</v>
      </c>
      <c r="H262" s="2"/>
      <c r="I262" s="2"/>
      <c r="J262" s="100">
        <v>1345</v>
      </c>
      <c r="L262" s="91" t="s">
        <v>102</v>
      </c>
      <c r="M262" s="2"/>
      <c r="N262" s="2"/>
      <c r="O262" s="100">
        <v>1490.6</v>
      </c>
    </row>
    <row r="263" spans="2:17" x14ac:dyDescent="0.3">
      <c r="B263" s="91" t="s">
        <v>106</v>
      </c>
      <c r="C263" s="2"/>
      <c r="D263" s="2"/>
      <c r="E263" s="101">
        <v>110</v>
      </c>
      <c r="G263" s="91" t="s">
        <v>106</v>
      </c>
      <c r="H263" s="2"/>
      <c r="I263" s="2"/>
      <c r="J263" s="101">
        <v>122</v>
      </c>
      <c r="L263" s="91" t="s">
        <v>106</v>
      </c>
      <c r="M263" s="2"/>
      <c r="N263" s="2"/>
      <c r="O263" s="101">
        <v>145.6</v>
      </c>
    </row>
    <row r="264" spans="2:17" ht="15" thickBot="1" x14ac:dyDescent="0.35">
      <c r="B264" s="105" t="s">
        <v>98</v>
      </c>
      <c r="C264" s="95"/>
      <c r="D264" s="95"/>
      <c r="E264" s="103">
        <v>608</v>
      </c>
      <c r="G264" s="105" t="s">
        <v>98</v>
      </c>
      <c r="H264" s="95"/>
      <c r="I264" s="95"/>
      <c r="J264" s="103">
        <v>737.59999999999991</v>
      </c>
      <c r="L264" s="105" t="s">
        <v>98</v>
      </c>
      <c r="M264" s="95"/>
      <c r="N264" s="95"/>
      <c r="O264" s="103">
        <v>794</v>
      </c>
    </row>
    <row r="265" spans="2:17" ht="15.6" thickTop="1" thickBot="1" x14ac:dyDescent="0.35">
      <c r="B265" s="92" t="s">
        <v>230</v>
      </c>
      <c r="C265" s="182"/>
      <c r="D265" s="93"/>
      <c r="E265" s="186"/>
      <c r="G265" s="92" t="s">
        <v>230</v>
      </c>
      <c r="H265" s="182"/>
      <c r="I265" s="93"/>
      <c r="J265" s="186"/>
      <c r="L265" s="92" t="s">
        <v>230</v>
      </c>
      <c r="M265" s="182"/>
      <c r="N265" s="93"/>
      <c r="O265" s="186"/>
    </row>
    <row r="266" spans="2:17" ht="15" thickTop="1" x14ac:dyDescent="0.3">
      <c r="B266" s="91" t="s">
        <v>231</v>
      </c>
      <c r="C266" s="174"/>
      <c r="D266" s="2"/>
      <c r="E266" s="102">
        <v>156.99999999999997</v>
      </c>
      <c r="G266" s="91" t="s">
        <v>231</v>
      </c>
      <c r="H266" s="174"/>
      <c r="I266" s="2"/>
      <c r="J266" s="102">
        <v>183.69999999999996</v>
      </c>
      <c r="L266" s="91" t="s">
        <v>231</v>
      </c>
      <c r="M266" s="174"/>
      <c r="N266" s="2"/>
      <c r="O266" s="102">
        <v>183.69999999999996</v>
      </c>
    </row>
    <row r="267" spans="2:17" x14ac:dyDescent="0.3">
      <c r="B267" s="91" t="s">
        <v>251</v>
      </c>
      <c r="C267" s="183"/>
      <c r="D267" s="184"/>
      <c r="E267" s="100">
        <v>450</v>
      </c>
      <c r="G267" s="91" t="s">
        <v>251</v>
      </c>
      <c r="H267" s="183"/>
      <c r="I267" s="184"/>
      <c r="J267" s="100">
        <v>450</v>
      </c>
      <c r="L267" s="91" t="s">
        <v>251</v>
      </c>
      <c r="M267" s="183"/>
      <c r="N267" s="184"/>
      <c r="O267" s="100">
        <v>450</v>
      </c>
    </row>
    <row r="268" spans="2:17" x14ac:dyDescent="0.3">
      <c r="B268" s="91" t="s">
        <v>250</v>
      </c>
      <c r="C268" s="183"/>
      <c r="D268" s="184"/>
      <c r="E268" s="100">
        <v>50</v>
      </c>
      <c r="G268" s="91" t="s">
        <v>250</v>
      </c>
      <c r="H268" s="183"/>
      <c r="I268" s="184"/>
      <c r="J268" s="100">
        <v>66</v>
      </c>
      <c r="L268" s="91" t="s">
        <v>250</v>
      </c>
      <c r="M268" s="183"/>
      <c r="N268" s="184"/>
      <c r="O268" s="100">
        <v>88</v>
      </c>
      <c r="Q268" s="12"/>
    </row>
    <row r="269" spans="2:17" x14ac:dyDescent="0.3">
      <c r="B269" s="91" t="s">
        <v>93</v>
      </c>
      <c r="C269" s="2"/>
      <c r="D269" s="2"/>
      <c r="E269" s="99">
        <v>3180</v>
      </c>
      <c r="G269" s="91" t="s">
        <v>93</v>
      </c>
      <c r="H269" s="2"/>
      <c r="I269" s="2"/>
      <c r="J269" s="99">
        <v>3310</v>
      </c>
      <c r="L269" s="91" t="s">
        <v>93</v>
      </c>
      <c r="M269" s="2"/>
      <c r="N269" s="2"/>
      <c r="O269" s="99">
        <v>3440</v>
      </c>
    </row>
    <row r="270" spans="2:17" x14ac:dyDescent="0.3">
      <c r="B270" s="91" t="s">
        <v>100</v>
      </c>
      <c r="C270" s="2"/>
      <c r="D270" s="2"/>
      <c r="E270" s="98">
        <v>244.61538461538461</v>
      </c>
      <c r="G270" s="91" t="s">
        <v>100</v>
      </c>
      <c r="H270" s="2"/>
      <c r="I270" s="2"/>
      <c r="J270" s="98">
        <v>254.61538461538461</v>
      </c>
      <c r="L270" s="91" t="s">
        <v>100</v>
      </c>
      <c r="M270" s="2"/>
      <c r="N270" s="2"/>
      <c r="O270" s="98">
        <v>264.61538461538464</v>
      </c>
    </row>
    <row r="271" spans="2:17" x14ac:dyDescent="0.3">
      <c r="B271" s="91" t="s">
        <v>238</v>
      </c>
      <c r="C271" s="2"/>
      <c r="D271" s="2"/>
      <c r="E271" s="99">
        <v>1488</v>
      </c>
      <c r="G271" s="91" t="s">
        <v>238</v>
      </c>
      <c r="H271" s="2"/>
      <c r="I271" s="2"/>
      <c r="J271" s="99">
        <v>1750.3</v>
      </c>
      <c r="L271" s="91" t="s">
        <v>238</v>
      </c>
      <c r="M271" s="2"/>
      <c r="N271" s="2"/>
      <c r="O271" s="99">
        <v>1930.3</v>
      </c>
    </row>
    <row r="272" spans="2:17" ht="15" thickBot="1" x14ac:dyDescent="0.35">
      <c r="B272" s="91" t="s">
        <v>96</v>
      </c>
      <c r="C272" s="2"/>
      <c r="D272" s="185"/>
      <c r="E272" s="190">
        <v>215.58</v>
      </c>
      <c r="G272" s="91" t="s">
        <v>96</v>
      </c>
      <c r="H272" s="2"/>
      <c r="I272" s="185"/>
      <c r="J272" s="190">
        <v>112.61</v>
      </c>
      <c r="L272" s="91" t="s">
        <v>96</v>
      </c>
      <c r="M272" s="2"/>
      <c r="N272" s="185"/>
      <c r="O272" s="190">
        <v>241.55</v>
      </c>
    </row>
    <row r="273" spans="2:15" ht="15.6" thickTop="1" thickBot="1" x14ac:dyDescent="0.35">
      <c r="B273" s="96" t="s">
        <v>94</v>
      </c>
      <c r="C273" s="97"/>
      <c r="D273" s="187"/>
      <c r="E273" s="188">
        <v>4757.0299999999934</v>
      </c>
      <c r="G273" s="96" t="s">
        <v>94</v>
      </c>
      <c r="H273" s="97"/>
      <c r="I273" s="187"/>
      <c r="J273" s="188">
        <v>5165.3199999999933</v>
      </c>
      <c r="L273" s="96" t="s">
        <v>94</v>
      </c>
      <c r="M273" s="97"/>
      <c r="N273" s="187"/>
      <c r="O273" s="188">
        <v>5497.3199999999933</v>
      </c>
    </row>
    <row r="274" spans="2:15" ht="15.6" thickTop="1" thickBot="1" x14ac:dyDescent="0.35">
      <c r="B274" s="96" t="s">
        <v>99</v>
      </c>
      <c r="C274" s="97"/>
      <c r="D274" s="187"/>
      <c r="E274" s="199">
        <v>4668</v>
      </c>
      <c r="G274" s="96" t="s">
        <v>99</v>
      </c>
      <c r="H274" s="97"/>
      <c r="I274" s="187"/>
      <c r="J274" s="199">
        <v>5060.3</v>
      </c>
      <c r="L274" s="96" t="s">
        <v>99</v>
      </c>
      <c r="M274" s="97"/>
      <c r="N274" s="187"/>
      <c r="O274" s="199">
        <v>5370.3</v>
      </c>
    </row>
    <row r="275" spans="2:15" ht="15.6" thickTop="1" thickBot="1" x14ac:dyDescent="0.35"/>
    <row r="276" spans="2:15" ht="15.6" thickTop="1" thickBot="1" x14ac:dyDescent="0.35">
      <c r="B276" s="359" t="s">
        <v>92</v>
      </c>
      <c r="C276" s="366"/>
      <c r="D276" s="360"/>
      <c r="E276" s="114">
        <v>44788</v>
      </c>
      <c r="G276" s="359" t="s">
        <v>92</v>
      </c>
      <c r="H276" s="366"/>
      <c r="I276" s="360"/>
      <c r="J276" s="114">
        <v>44788</v>
      </c>
      <c r="L276" s="359" t="s">
        <v>92</v>
      </c>
      <c r="M276" s="366"/>
      <c r="N276" s="360"/>
      <c r="O276" s="114">
        <v>44788</v>
      </c>
    </row>
    <row r="277" spans="2:15" ht="15.6" thickTop="1" thickBot="1" x14ac:dyDescent="0.35">
      <c r="B277" s="363"/>
      <c r="C277" s="367"/>
      <c r="D277" s="364"/>
      <c r="E277" s="114">
        <v>45703</v>
      </c>
      <c r="G277" s="363"/>
      <c r="H277" s="367"/>
      <c r="I277" s="364"/>
      <c r="J277" s="114">
        <v>45732</v>
      </c>
      <c r="L277" s="363"/>
      <c r="M277" s="367"/>
      <c r="N277" s="364"/>
      <c r="O277" s="114">
        <v>45761</v>
      </c>
    </row>
    <row r="278" spans="2:15" ht="15.6" thickTop="1" thickBot="1" x14ac:dyDescent="0.35">
      <c r="B278" s="91" t="s">
        <v>91</v>
      </c>
      <c r="C278" s="2"/>
      <c r="D278" s="2"/>
      <c r="E278" s="173">
        <v>4030</v>
      </c>
      <c r="G278" s="91" t="s">
        <v>91</v>
      </c>
      <c r="H278" s="2"/>
      <c r="I278" s="2"/>
      <c r="J278" s="173">
        <v>4030</v>
      </c>
      <c r="L278" s="91" t="s">
        <v>91</v>
      </c>
      <c r="M278" s="2"/>
      <c r="N278" s="2"/>
      <c r="O278" s="173">
        <v>4160</v>
      </c>
    </row>
    <row r="279" spans="2:15" ht="15.6" thickTop="1" thickBot="1" x14ac:dyDescent="0.35">
      <c r="B279" s="92" t="s">
        <v>170</v>
      </c>
      <c r="C279" s="93"/>
      <c r="D279" s="93"/>
      <c r="E279" s="179"/>
      <c r="G279" s="92" t="s">
        <v>170</v>
      </c>
      <c r="H279" s="93"/>
      <c r="I279" s="93"/>
      <c r="J279" s="179"/>
      <c r="L279" s="92" t="s">
        <v>170</v>
      </c>
      <c r="M279" s="93"/>
      <c r="N279" s="93"/>
      <c r="O279" s="179"/>
    </row>
    <row r="280" spans="2:15" ht="15" thickTop="1" x14ac:dyDescent="0.3">
      <c r="B280" s="177" t="s">
        <v>227</v>
      </c>
      <c r="C280" s="2"/>
      <c r="D280" s="2"/>
      <c r="E280" s="172">
        <v>21290</v>
      </c>
      <c r="G280" s="177" t="s">
        <v>227</v>
      </c>
      <c r="H280" s="2"/>
      <c r="I280" s="2"/>
      <c r="J280" s="172">
        <v>22390</v>
      </c>
      <c r="L280" s="177" t="s">
        <v>227</v>
      </c>
      <c r="M280" s="2"/>
      <c r="N280" s="2"/>
      <c r="O280" s="172">
        <v>23590</v>
      </c>
    </row>
    <row r="281" spans="2:15" x14ac:dyDescent="0.3">
      <c r="B281" s="178" t="s">
        <v>228</v>
      </c>
      <c r="C281" s="2"/>
      <c r="D281" s="2"/>
      <c r="E281" s="100">
        <v>460</v>
      </c>
      <c r="G281" s="178" t="s">
        <v>228</v>
      </c>
      <c r="H281" s="2"/>
      <c r="I281" s="2"/>
      <c r="J281" s="100">
        <v>460</v>
      </c>
      <c r="L281" s="178" t="s">
        <v>228</v>
      </c>
      <c r="M281" s="2"/>
      <c r="N281" s="2"/>
      <c r="O281" s="100">
        <v>460</v>
      </c>
    </row>
    <row r="282" spans="2:15" x14ac:dyDescent="0.3">
      <c r="B282" s="91" t="s">
        <v>103</v>
      </c>
      <c r="C282" s="2"/>
      <c r="D282" s="2"/>
      <c r="E282" s="101">
        <v>800</v>
      </c>
      <c r="G282" s="91" t="s">
        <v>103</v>
      </c>
      <c r="H282" s="2"/>
      <c r="I282" s="2"/>
      <c r="J282" s="101">
        <v>700</v>
      </c>
      <c r="L282" s="91" t="s">
        <v>103</v>
      </c>
      <c r="M282" s="2"/>
      <c r="N282" s="2"/>
      <c r="O282" s="101">
        <v>1900</v>
      </c>
    </row>
    <row r="283" spans="2:15" x14ac:dyDescent="0.3">
      <c r="B283" s="178" t="s">
        <v>229</v>
      </c>
      <c r="C283" s="2"/>
      <c r="D283" s="2"/>
      <c r="E283" s="180">
        <v>2352.6</v>
      </c>
      <c r="G283" s="178" t="s">
        <v>229</v>
      </c>
      <c r="H283" s="2"/>
      <c r="I283" s="2"/>
      <c r="J283" s="180">
        <v>2402.6</v>
      </c>
      <c r="L283" s="178" t="s">
        <v>229</v>
      </c>
      <c r="M283" s="2"/>
      <c r="N283" s="2"/>
      <c r="O283" s="180">
        <v>2426.6</v>
      </c>
    </row>
    <row r="284" spans="2:15" ht="15" thickBot="1" x14ac:dyDescent="0.35">
      <c r="B284" s="91" t="s">
        <v>105</v>
      </c>
      <c r="C284" s="2"/>
      <c r="D284" s="2"/>
      <c r="E284" s="101">
        <v>68</v>
      </c>
      <c r="G284" s="91" t="s">
        <v>105</v>
      </c>
      <c r="H284" s="2"/>
      <c r="I284" s="2"/>
      <c r="J284" s="101">
        <v>42</v>
      </c>
      <c r="L284" s="91" t="s">
        <v>105</v>
      </c>
      <c r="M284" s="2"/>
      <c r="N284" s="2"/>
      <c r="O284" s="101">
        <v>66</v>
      </c>
    </row>
    <row r="285" spans="2:15" ht="15.6" thickTop="1" thickBot="1" x14ac:dyDescent="0.35">
      <c r="B285" s="181" t="s">
        <v>39</v>
      </c>
      <c r="C285" s="93"/>
      <c r="D285" s="93"/>
      <c r="E285" s="179"/>
      <c r="G285" s="181" t="s">
        <v>39</v>
      </c>
      <c r="H285" s="93"/>
      <c r="I285" s="93"/>
      <c r="J285" s="179"/>
      <c r="L285" s="181" t="s">
        <v>39</v>
      </c>
      <c r="M285" s="93"/>
      <c r="N285" s="93"/>
      <c r="O285" s="179"/>
    </row>
    <row r="286" spans="2:15" ht="15" thickTop="1" x14ac:dyDescent="0.3">
      <c r="B286" s="91" t="s">
        <v>101</v>
      </c>
      <c r="C286" s="2"/>
      <c r="D286" s="2"/>
      <c r="E286" s="100">
        <v>17001.570000000007</v>
      </c>
      <c r="G286" s="91" t="s">
        <v>101</v>
      </c>
      <c r="H286" s="2"/>
      <c r="I286" s="2"/>
      <c r="J286" s="100">
        <v>17768.240000000005</v>
      </c>
      <c r="L286" s="91" t="s">
        <v>101</v>
      </c>
      <c r="M286" s="2"/>
      <c r="N286" s="2"/>
      <c r="O286" s="100">
        <v>18383.240000000005</v>
      </c>
    </row>
    <row r="287" spans="2:15" x14ac:dyDescent="0.3">
      <c r="B287" s="91" t="s">
        <v>104</v>
      </c>
      <c r="C287" s="2"/>
      <c r="D287" s="2"/>
      <c r="E287" s="101">
        <v>973.34</v>
      </c>
      <c r="G287" s="91" t="s">
        <v>104</v>
      </c>
      <c r="H287" s="2"/>
      <c r="I287" s="2"/>
      <c r="J287" s="101">
        <v>691.67000000000007</v>
      </c>
      <c r="L287" s="91" t="s">
        <v>104</v>
      </c>
      <c r="M287" s="2"/>
      <c r="N287" s="2"/>
      <c r="O287" s="101">
        <v>1306.67</v>
      </c>
    </row>
    <row r="288" spans="2:15" ht="15" thickBot="1" x14ac:dyDescent="0.35">
      <c r="B288" s="105" t="s">
        <v>95</v>
      </c>
      <c r="C288" s="104"/>
      <c r="D288" s="95"/>
      <c r="E288" s="103">
        <v>4288.429999999993</v>
      </c>
      <c r="G288" s="105" t="s">
        <v>95</v>
      </c>
      <c r="H288" s="104"/>
      <c r="I288" s="95"/>
      <c r="J288" s="103">
        <v>4621.7599999999948</v>
      </c>
      <c r="L288" s="105" t="s">
        <v>95</v>
      </c>
      <c r="M288" s="104"/>
      <c r="N288" s="95"/>
      <c r="O288" s="103">
        <v>5206.7599999999948</v>
      </c>
    </row>
    <row r="289" spans="2:15" ht="15" thickTop="1" x14ac:dyDescent="0.3">
      <c r="B289" s="91" t="s">
        <v>102</v>
      </c>
      <c r="C289" s="2"/>
      <c r="D289" s="2"/>
      <c r="E289" s="100">
        <v>1620.6</v>
      </c>
      <c r="G289" s="91" t="s">
        <v>102</v>
      </c>
      <c r="H289" s="2"/>
      <c r="I289" s="2"/>
      <c r="J289" s="100">
        <v>1721.6</v>
      </c>
      <c r="L289" s="91" t="s">
        <v>102</v>
      </c>
      <c r="M289" s="2"/>
      <c r="N289" s="2"/>
      <c r="O289" s="100">
        <v>1750.6</v>
      </c>
    </row>
    <row r="290" spans="2:15" x14ac:dyDescent="0.3">
      <c r="B290" s="91" t="s">
        <v>106</v>
      </c>
      <c r="C290" s="2"/>
      <c r="D290" s="2"/>
      <c r="E290" s="101">
        <v>130</v>
      </c>
      <c r="G290" s="91" t="s">
        <v>106</v>
      </c>
      <c r="H290" s="2"/>
      <c r="I290" s="2"/>
      <c r="J290" s="101">
        <v>98</v>
      </c>
      <c r="L290" s="91" t="s">
        <v>106</v>
      </c>
      <c r="M290" s="2"/>
      <c r="N290" s="2"/>
      <c r="O290" s="101">
        <v>127</v>
      </c>
    </row>
    <row r="291" spans="2:15" ht="15" thickBot="1" x14ac:dyDescent="0.35">
      <c r="B291" s="105" t="s">
        <v>98</v>
      </c>
      <c r="C291" s="95"/>
      <c r="D291" s="95"/>
      <c r="E291" s="103">
        <v>732</v>
      </c>
      <c r="G291" s="105" t="s">
        <v>98</v>
      </c>
      <c r="H291" s="95"/>
      <c r="I291" s="95"/>
      <c r="J291" s="103">
        <v>681</v>
      </c>
      <c r="L291" s="105" t="s">
        <v>98</v>
      </c>
      <c r="M291" s="95"/>
      <c r="N291" s="95"/>
      <c r="O291" s="103">
        <v>676</v>
      </c>
    </row>
    <row r="292" spans="2:15" ht="15.6" thickTop="1" thickBot="1" x14ac:dyDescent="0.35">
      <c r="B292" s="92" t="s">
        <v>230</v>
      </c>
      <c r="C292" s="182"/>
      <c r="D292" s="93"/>
      <c r="E292" s="186"/>
      <c r="G292" s="92" t="s">
        <v>230</v>
      </c>
      <c r="H292" s="182"/>
      <c r="I292" s="93"/>
      <c r="J292" s="186"/>
      <c r="L292" s="92" t="s">
        <v>230</v>
      </c>
      <c r="M292" s="182"/>
      <c r="N292" s="93"/>
      <c r="O292" s="186"/>
    </row>
    <row r="293" spans="2:15" ht="15" thickTop="1" x14ac:dyDescent="0.3">
      <c r="B293" s="91" t="s">
        <v>231</v>
      </c>
      <c r="C293" s="174"/>
      <c r="D293" s="2"/>
      <c r="E293" s="102">
        <v>184.69999999999996</v>
      </c>
      <c r="G293" s="91" t="s">
        <v>231</v>
      </c>
      <c r="H293" s="174"/>
      <c r="I293" s="2"/>
      <c r="J293" s="102">
        <v>184.69999999999996</v>
      </c>
      <c r="L293" s="91" t="s">
        <v>231</v>
      </c>
      <c r="M293" s="174"/>
      <c r="N293" s="2"/>
      <c r="O293" s="102">
        <v>184.69999999999996</v>
      </c>
    </row>
    <row r="294" spans="2:15" x14ac:dyDescent="0.3">
      <c r="B294" s="91" t="s">
        <v>251</v>
      </c>
      <c r="C294" s="183"/>
      <c r="D294" s="184"/>
      <c r="E294" s="100">
        <v>450</v>
      </c>
      <c r="G294" s="91" t="s">
        <v>251</v>
      </c>
      <c r="H294" s="183"/>
      <c r="I294" s="184"/>
      <c r="J294" s="100">
        <v>450</v>
      </c>
      <c r="L294" s="91" t="s">
        <v>251</v>
      </c>
      <c r="M294" s="183"/>
      <c r="N294" s="184"/>
      <c r="O294" s="100">
        <v>450</v>
      </c>
    </row>
    <row r="295" spans="2:15" x14ac:dyDescent="0.3">
      <c r="B295" s="91" t="s">
        <v>250</v>
      </c>
      <c r="C295" s="183"/>
      <c r="D295" s="184"/>
      <c r="E295" s="100">
        <v>88</v>
      </c>
      <c r="G295" s="91" t="s">
        <v>250</v>
      </c>
      <c r="H295" s="183"/>
      <c r="I295" s="184"/>
      <c r="J295" s="100">
        <v>88</v>
      </c>
      <c r="L295" s="91" t="s">
        <v>250</v>
      </c>
      <c r="M295" s="183"/>
      <c r="N295" s="184"/>
      <c r="O295" s="100">
        <v>88</v>
      </c>
    </row>
    <row r="296" spans="2:15" x14ac:dyDescent="0.3">
      <c r="B296" s="91" t="s">
        <v>93</v>
      </c>
      <c r="C296" s="2"/>
      <c r="D296" s="2"/>
      <c r="E296" s="99">
        <v>3570</v>
      </c>
      <c r="G296" s="91" t="s">
        <v>93</v>
      </c>
      <c r="H296" s="2"/>
      <c r="I296" s="2"/>
      <c r="J296" s="99">
        <v>3570</v>
      </c>
      <c r="L296" s="91" t="s">
        <v>93</v>
      </c>
      <c r="M296" s="2"/>
      <c r="N296" s="2"/>
      <c r="O296" s="99">
        <v>3700</v>
      </c>
    </row>
    <row r="297" spans="2:15" x14ac:dyDescent="0.3">
      <c r="B297" s="91" t="s">
        <v>100</v>
      </c>
      <c r="C297" s="2"/>
      <c r="D297" s="2"/>
      <c r="E297" s="98">
        <v>274.61538461538464</v>
      </c>
      <c r="G297" s="91" t="s">
        <v>100</v>
      </c>
      <c r="H297" s="2"/>
      <c r="I297" s="2"/>
      <c r="J297" s="98">
        <v>274.61538461538464</v>
      </c>
      <c r="L297" s="91" t="s">
        <v>100</v>
      </c>
      <c r="M297" s="2"/>
      <c r="N297" s="2"/>
      <c r="O297" s="98">
        <v>284.61538461538464</v>
      </c>
    </row>
    <row r="298" spans="2:15" x14ac:dyDescent="0.3">
      <c r="B298" s="91" t="s">
        <v>238</v>
      </c>
      <c r="C298" s="2"/>
      <c r="D298" s="2"/>
      <c r="E298" s="99">
        <v>1999.3</v>
      </c>
      <c r="G298" s="91" t="s">
        <v>238</v>
      </c>
      <c r="H298" s="2"/>
      <c r="I298" s="2"/>
      <c r="J298" s="99">
        <v>2049.2999999999997</v>
      </c>
      <c r="L298" s="91" t="s">
        <v>238</v>
      </c>
      <c r="M298" s="2"/>
      <c r="N298" s="2"/>
      <c r="O298" s="99">
        <v>2073.2999999999997</v>
      </c>
    </row>
    <row r="299" spans="2:15" ht="15" thickBot="1" x14ac:dyDescent="0.35">
      <c r="B299" s="91" t="s">
        <v>96</v>
      </c>
      <c r="C299" s="2"/>
      <c r="D299" s="185"/>
      <c r="E299" s="190">
        <v>353.8900000000001</v>
      </c>
      <c r="G299" s="91" t="s">
        <v>96</v>
      </c>
      <c r="H299" s="2"/>
      <c r="I299" s="185"/>
      <c r="J299" s="190">
        <v>523.55999999999995</v>
      </c>
      <c r="L299" s="91" t="s">
        <v>96</v>
      </c>
      <c r="M299" s="2"/>
      <c r="N299" s="185"/>
      <c r="O299" s="190">
        <v>17.559999999999945</v>
      </c>
    </row>
    <row r="300" spans="2:15" ht="15.6" thickTop="1" thickBot="1" x14ac:dyDescent="0.35">
      <c r="B300" s="96" t="s">
        <v>94</v>
      </c>
      <c r="C300" s="97"/>
      <c r="D300" s="187"/>
      <c r="E300" s="188">
        <v>5696.3199999999933</v>
      </c>
      <c r="G300" s="96" t="s">
        <v>94</v>
      </c>
      <c r="H300" s="97"/>
      <c r="I300" s="187"/>
      <c r="J300" s="188">
        <v>5826.3199999999943</v>
      </c>
      <c r="L300" s="96" t="s">
        <v>94</v>
      </c>
      <c r="M300" s="97"/>
      <c r="N300" s="187"/>
      <c r="O300" s="188">
        <v>5900.3199999999943</v>
      </c>
    </row>
    <row r="301" spans="2:15" ht="15.6" thickTop="1" thickBot="1" x14ac:dyDescent="0.35">
      <c r="B301" s="96" t="s">
        <v>99</v>
      </c>
      <c r="C301" s="97"/>
      <c r="D301" s="187"/>
      <c r="E301" s="199">
        <v>5569.3</v>
      </c>
      <c r="G301" s="96" t="s">
        <v>99</v>
      </c>
      <c r="H301" s="97"/>
      <c r="I301" s="187"/>
      <c r="J301" s="199">
        <v>5619.2999999999993</v>
      </c>
      <c r="L301" s="96" t="s">
        <v>99</v>
      </c>
      <c r="M301" s="97"/>
      <c r="N301" s="187"/>
      <c r="O301" s="199">
        <v>5773.2999999999993</v>
      </c>
    </row>
    <row r="302" spans="2:15" ht="15.6" thickTop="1" thickBot="1" x14ac:dyDescent="0.35"/>
    <row r="303" spans="2:15" ht="15.6" thickTop="1" thickBot="1" x14ac:dyDescent="0.35">
      <c r="B303" s="359" t="s">
        <v>92</v>
      </c>
      <c r="C303" s="366"/>
      <c r="D303" s="360"/>
      <c r="E303" s="114">
        <v>44788</v>
      </c>
      <c r="G303" s="359" t="s">
        <v>92</v>
      </c>
      <c r="H303" s="366"/>
      <c r="I303" s="360"/>
      <c r="J303" s="114">
        <v>44788</v>
      </c>
    </row>
    <row r="304" spans="2:15" ht="15.6" thickTop="1" thickBot="1" x14ac:dyDescent="0.35">
      <c r="B304" s="363"/>
      <c r="C304" s="367"/>
      <c r="D304" s="364"/>
      <c r="E304" s="114">
        <v>45791</v>
      </c>
      <c r="G304" s="363"/>
      <c r="H304" s="367"/>
      <c r="I304" s="364"/>
      <c r="J304" s="114">
        <v>45822</v>
      </c>
    </row>
    <row r="305" spans="2:10" ht="15.6" thickTop="1" thickBot="1" x14ac:dyDescent="0.35">
      <c r="B305" s="91" t="s">
        <v>91</v>
      </c>
      <c r="C305" s="2"/>
      <c r="D305" s="2"/>
      <c r="E305" s="173">
        <v>4810</v>
      </c>
      <c r="G305" s="91" t="s">
        <v>91</v>
      </c>
      <c r="H305" s="2"/>
      <c r="I305" s="2"/>
      <c r="J305" s="173">
        <v>5220</v>
      </c>
    </row>
    <row r="306" spans="2:10" ht="15.6" thickTop="1" thickBot="1" x14ac:dyDescent="0.35">
      <c r="B306" s="92" t="s">
        <v>170</v>
      </c>
      <c r="C306" s="93"/>
      <c r="D306" s="93"/>
      <c r="E306" s="179"/>
      <c r="G306" s="92" t="s">
        <v>170</v>
      </c>
      <c r="H306" s="93"/>
      <c r="I306" s="93"/>
      <c r="J306" s="179"/>
    </row>
    <row r="307" spans="2:10" ht="15" thickTop="1" x14ac:dyDescent="0.3">
      <c r="B307" s="177" t="s">
        <v>227</v>
      </c>
      <c r="C307" s="2"/>
      <c r="D307" s="2"/>
      <c r="E307" s="172">
        <v>24890</v>
      </c>
      <c r="G307" s="177" t="s">
        <v>227</v>
      </c>
      <c r="H307" s="2"/>
      <c r="I307" s="2"/>
      <c r="J307" s="172">
        <v>28430</v>
      </c>
    </row>
    <row r="308" spans="2:10" x14ac:dyDescent="0.3">
      <c r="B308" s="178" t="s">
        <v>228</v>
      </c>
      <c r="C308" s="2"/>
      <c r="D308" s="2"/>
      <c r="E308" s="100">
        <v>460</v>
      </c>
      <c r="G308" s="178" t="s">
        <v>228</v>
      </c>
      <c r="H308" s="2"/>
      <c r="I308" s="2"/>
      <c r="J308" s="100">
        <v>460</v>
      </c>
    </row>
    <row r="309" spans="2:10" x14ac:dyDescent="0.3">
      <c r="B309" s="91" t="s">
        <v>103</v>
      </c>
      <c r="C309" s="2"/>
      <c r="D309" s="2"/>
      <c r="E309" s="101">
        <v>1300</v>
      </c>
      <c r="G309" s="91" t="s">
        <v>103</v>
      </c>
      <c r="H309" s="2"/>
      <c r="I309" s="2"/>
      <c r="J309" s="101">
        <v>3540</v>
      </c>
    </row>
    <row r="310" spans="2:10" x14ac:dyDescent="0.3">
      <c r="B310" s="178" t="s">
        <v>229</v>
      </c>
      <c r="C310" s="2"/>
      <c r="D310" s="2"/>
      <c r="E310" s="180">
        <v>2532.6</v>
      </c>
      <c r="G310" s="178" t="s">
        <v>229</v>
      </c>
      <c r="H310" s="2"/>
      <c r="I310" s="2"/>
      <c r="J310" s="180">
        <v>3319.4</v>
      </c>
    </row>
    <row r="311" spans="2:10" ht="15" thickBot="1" x14ac:dyDescent="0.35">
      <c r="B311" s="91" t="s">
        <v>105</v>
      </c>
      <c r="C311" s="2"/>
      <c r="D311" s="2"/>
      <c r="E311" s="101">
        <v>106</v>
      </c>
      <c r="G311" s="91" t="s">
        <v>105</v>
      </c>
      <c r="H311" s="2"/>
      <c r="I311" s="2"/>
      <c r="J311" s="101">
        <v>786.8</v>
      </c>
    </row>
    <row r="312" spans="2:10" ht="15.6" thickTop="1" thickBot="1" x14ac:dyDescent="0.35">
      <c r="B312" s="181" t="s">
        <v>39</v>
      </c>
      <c r="C312" s="93"/>
      <c r="D312" s="93"/>
      <c r="E312" s="179"/>
      <c r="G312" s="181" t="s">
        <v>39</v>
      </c>
      <c r="H312" s="93"/>
      <c r="I312" s="93"/>
      <c r="J312" s="179"/>
    </row>
    <row r="313" spans="2:10" ht="15" thickTop="1" x14ac:dyDescent="0.3">
      <c r="B313" s="91" t="s">
        <v>101</v>
      </c>
      <c r="C313" s="2"/>
      <c r="D313" s="2"/>
      <c r="E313" s="100">
        <v>20464.910000000003</v>
      </c>
      <c r="G313" s="91" t="s">
        <v>101</v>
      </c>
      <c r="H313" s="2"/>
      <c r="I313" s="2"/>
      <c r="J313" s="100">
        <v>21879.910000000003</v>
      </c>
    </row>
    <row r="314" spans="2:10" x14ac:dyDescent="0.3">
      <c r="B314" s="91" t="s">
        <v>104</v>
      </c>
      <c r="C314" s="2"/>
      <c r="D314" s="2"/>
      <c r="E314" s="101">
        <v>2081.67</v>
      </c>
      <c r="G314" s="91" t="s">
        <v>104</v>
      </c>
      <c r="H314" s="2"/>
      <c r="I314" s="2"/>
      <c r="J314" s="101">
        <v>1415</v>
      </c>
    </row>
    <row r="315" spans="2:10" ht="15" thickBot="1" x14ac:dyDescent="0.35">
      <c r="B315" s="105" t="s">
        <v>95</v>
      </c>
      <c r="C315" s="104"/>
      <c r="D315" s="95"/>
      <c r="E315" s="103">
        <v>4425.0899999999965</v>
      </c>
      <c r="G315" s="105" t="s">
        <v>95</v>
      </c>
      <c r="H315" s="104"/>
      <c r="I315" s="95"/>
      <c r="J315" s="103">
        <v>6550.0899999999965</v>
      </c>
    </row>
    <row r="316" spans="2:10" ht="15" thickTop="1" x14ac:dyDescent="0.3">
      <c r="B316" s="91" t="s">
        <v>102</v>
      </c>
      <c r="C316" s="2"/>
      <c r="D316" s="2"/>
      <c r="E316" s="100">
        <v>1968.6</v>
      </c>
      <c r="G316" s="91" t="s">
        <v>102</v>
      </c>
      <c r="H316" s="2"/>
      <c r="I316" s="2"/>
      <c r="J316" s="100">
        <v>2126.6</v>
      </c>
    </row>
    <row r="317" spans="2:10" x14ac:dyDescent="0.3">
      <c r="B317" s="91" t="s">
        <v>106</v>
      </c>
      <c r="C317" s="2"/>
      <c r="D317" s="2"/>
      <c r="E317" s="101">
        <v>128</v>
      </c>
      <c r="G317" s="91" t="s">
        <v>106</v>
      </c>
      <c r="H317" s="2"/>
      <c r="I317" s="2"/>
      <c r="J317" s="101">
        <v>138</v>
      </c>
    </row>
    <row r="318" spans="2:10" ht="15" thickBot="1" x14ac:dyDescent="0.35">
      <c r="B318" s="105" t="s">
        <v>98</v>
      </c>
      <c r="C318" s="95"/>
      <c r="D318" s="95"/>
      <c r="E318" s="103">
        <v>564</v>
      </c>
      <c r="G318" s="105" t="s">
        <v>98</v>
      </c>
      <c r="H318" s="95"/>
      <c r="I318" s="95"/>
      <c r="J318" s="103">
        <v>1192.8000000000002</v>
      </c>
    </row>
    <row r="319" spans="2:10" ht="15.6" thickTop="1" thickBot="1" x14ac:dyDescent="0.35">
      <c r="B319" s="92" t="s">
        <v>230</v>
      </c>
      <c r="C319" s="182"/>
      <c r="D319" s="93"/>
      <c r="E319" s="186"/>
      <c r="G319" s="92" t="s">
        <v>230</v>
      </c>
      <c r="H319" s="182"/>
      <c r="I319" s="93"/>
      <c r="J319" s="186"/>
    </row>
    <row r="320" spans="2:10" ht="15" thickTop="1" x14ac:dyDescent="0.3">
      <c r="B320" s="91" t="s">
        <v>231</v>
      </c>
      <c r="C320" s="174"/>
      <c r="D320" s="2"/>
      <c r="E320" s="102">
        <v>184.69999999999996</v>
      </c>
      <c r="G320" s="91" t="s">
        <v>231</v>
      </c>
      <c r="H320" s="174"/>
      <c r="I320" s="2"/>
      <c r="J320" s="102">
        <v>184.69999999999996</v>
      </c>
    </row>
    <row r="321" spans="2:10" x14ac:dyDescent="0.3">
      <c r="B321" s="91" t="s">
        <v>251</v>
      </c>
      <c r="C321" s="183"/>
      <c r="D321" s="184"/>
      <c r="E321" s="100">
        <v>450</v>
      </c>
      <c r="G321" s="91" t="s">
        <v>251</v>
      </c>
      <c r="H321" s="183"/>
      <c r="I321" s="184"/>
      <c r="J321" s="100">
        <v>450</v>
      </c>
    </row>
    <row r="322" spans="2:10" x14ac:dyDescent="0.3">
      <c r="B322" s="91" t="s">
        <v>250</v>
      </c>
      <c r="C322" s="183"/>
      <c r="D322" s="184"/>
      <c r="E322" s="100">
        <v>98</v>
      </c>
      <c r="G322" s="91" t="s">
        <v>250</v>
      </c>
      <c r="H322" s="183"/>
      <c r="I322" s="184"/>
      <c r="J322" s="100">
        <v>118</v>
      </c>
    </row>
    <row r="323" spans="2:10" x14ac:dyDescent="0.3">
      <c r="B323" s="91" t="s">
        <v>93</v>
      </c>
      <c r="C323" s="2"/>
      <c r="D323" s="2"/>
      <c r="E323" s="99">
        <v>4350</v>
      </c>
      <c r="G323" s="91" t="s">
        <v>93</v>
      </c>
      <c r="H323" s="2"/>
      <c r="I323" s="2"/>
      <c r="J323" s="99">
        <v>4760</v>
      </c>
    </row>
    <row r="324" spans="2:10" x14ac:dyDescent="0.3">
      <c r="B324" s="91" t="s">
        <v>100</v>
      </c>
      <c r="C324" s="2"/>
      <c r="D324" s="2"/>
      <c r="E324" s="98">
        <v>255.88235294117646</v>
      </c>
      <c r="G324" s="91" t="s">
        <v>100</v>
      </c>
      <c r="H324" s="2"/>
      <c r="I324" s="2"/>
      <c r="J324" s="98">
        <v>280</v>
      </c>
    </row>
    <row r="325" spans="2:10" x14ac:dyDescent="0.3">
      <c r="B325" s="91" t="s">
        <v>238</v>
      </c>
      <c r="C325" s="2"/>
      <c r="D325" s="2"/>
      <c r="E325" s="99">
        <v>2169.2999999999997</v>
      </c>
      <c r="G325" s="91" t="s">
        <v>238</v>
      </c>
      <c r="H325" s="2"/>
      <c r="I325" s="2"/>
      <c r="J325" s="99">
        <v>2936.1</v>
      </c>
    </row>
    <row r="326" spans="2:10" ht="15" thickBot="1" x14ac:dyDescent="0.35">
      <c r="B326" s="91" t="s">
        <v>96</v>
      </c>
      <c r="C326" s="2"/>
      <c r="D326" s="185"/>
      <c r="E326" s="190">
        <v>1577.23</v>
      </c>
      <c r="G326" s="91" t="s">
        <v>96</v>
      </c>
      <c r="H326" s="2"/>
      <c r="I326" s="185"/>
      <c r="J326" s="190">
        <v>70.23</v>
      </c>
    </row>
    <row r="327" spans="2:10" ht="15.6" thickTop="1" thickBot="1" x14ac:dyDescent="0.35">
      <c r="B327" s="96" t="s">
        <v>94</v>
      </c>
      <c r="C327" s="97"/>
      <c r="D327" s="187"/>
      <c r="E327" s="188">
        <v>6519.2999999999993</v>
      </c>
      <c r="G327" s="96" t="s">
        <v>94</v>
      </c>
      <c r="H327" s="97"/>
      <c r="I327" s="187"/>
      <c r="J327" s="188">
        <v>7696.1</v>
      </c>
    </row>
    <row r="328" spans="2:10" ht="15.6" thickTop="1" thickBot="1" x14ac:dyDescent="0.35">
      <c r="B328" s="96" t="s">
        <v>99</v>
      </c>
      <c r="C328" s="97"/>
      <c r="D328" s="187"/>
      <c r="E328" s="199">
        <v>6566.3199999999961</v>
      </c>
      <c r="G328" s="96" t="s">
        <v>99</v>
      </c>
      <c r="H328" s="97"/>
      <c r="I328" s="187"/>
      <c r="J328" s="199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2" max="2" width="14.109375" bestFit="1" customWidth="1"/>
    <col min="3" max="3" width="34.33203125" bestFit="1" customWidth="1"/>
    <col min="4" max="4" width="9.5546875" bestFit="1" customWidth="1"/>
    <col min="5" max="5" width="9" style="228" bestFit="1" customWidth="1"/>
    <col min="6" max="6" width="8.33203125" bestFit="1" customWidth="1"/>
    <col min="7" max="7" width="9" style="228" bestFit="1" customWidth="1"/>
    <col min="8" max="8" width="8" style="228" bestFit="1" customWidth="1"/>
    <col min="9" max="9" width="8.33203125" style="228" bestFit="1" customWidth="1"/>
    <col min="10" max="10" width="9.88671875" style="228" bestFit="1" customWidth="1"/>
    <col min="11" max="11" width="10" style="228" bestFit="1" customWidth="1"/>
    <col min="12" max="12" width="10.6640625" style="228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175</v>
      </c>
      <c r="B2" s="10"/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B3" s="10"/>
      <c r="D3" s="135" t="s">
        <v>176</v>
      </c>
      <c r="E3" s="155"/>
      <c r="F3" s="135" t="s">
        <v>177</v>
      </c>
      <c r="G3" s="153">
        <f>SUM(E7:E1048576)</f>
        <v>2000</v>
      </c>
      <c r="H3" s="135" t="s">
        <v>178</v>
      </c>
      <c r="I3" s="153">
        <f>SUM($P$7:$P$1048576)</f>
        <v>0</v>
      </c>
      <c r="J3" s="135" t="s">
        <v>179</v>
      </c>
      <c r="K3" s="154">
        <f>G3+I3</f>
        <v>2000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166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8">"000"&amp;_xlfn.SEQUENCE(COUNTA(C7:C1048576))</f>
        <v>0001</v>
      </c>
      <c r="B7" s="47" t="s">
        <v>355</v>
      </c>
      <c r="C7" s="47" t="s">
        <v>350</v>
      </c>
      <c r="D7" s="43">
        <v>45762</v>
      </c>
      <c r="E7" s="11">
        <v>0</v>
      </c>
      <c r="F7" s="47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3">
        <f>SUMIFS(PAGOS!$E$3:$E$1048576,PAGOS!$A$3:$A$1048576,"&lt;&gt;INGRESO*",PAGOS!$A$3:$A$1048576,"&lt;&gt;EGRESO*",PAGOS!$D$3:$D$1048576,B7)</f>
        <v>0</v>
      </c>
      <c r="O7" s="113">
        <f>E7-N7</f>
        <v>0</v>
      </c>
      <c r="P7" s="113">
        <f>SUMIFS(PAGOS!$H$3:$H$1048576,PAGOS!$A$3:$A$1048576,"&lt;&gt;INGRESO*",PAGOS!$A$3:$A$1048576,"&lt;&gt;EGRESO*",PAGOS!$D$3:$D$1048576,B7)</f>
        <v>0</v>
      </c>
      <c r="Q7" s="113">
        <f>K7-P7</f>
        <v>0</v>
      </c>
    </row>
    <row r="8" spans="1:17" x14ac:dyDescent="0.3">
      <c r="A8" s="47" t="str">
        <v>0002</v>
      </c>
      <c r="B8" s="47" t="s">
        <v>379</v>
      </c>
      <c r="C8" s="47" t="s">
        <v>350</v>
      </c>
      <c r="D8" s="43">
        <v>45792</v>
      </c>
      <c r="E8" s="225">
        <v>2000</v>
      </c>
      <c r="F8" s="47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25">
        <v>2480</v>
      </c>
      <c r="N8" s="113">
        <f>SUMIFS(PAGOS!$E$3:$E$1048576,PAGOS!$A$3:$A$1048576,"&lt;&gt;INGRESO*",PAGOS!$A$3:$A$1048576,"&lt;&gt;EGRESO*",PAGOS!$D$3:$D$1048576,B8)</f>
        <v>0</v>
      </c>
      <c r="O8" s="113">
        <f>E8-N8</f>
        <v>2000</v>
      </c>
      <c r="P8" s="113">
        <f>SUMIFS(PAGOS!$H$3:$H$1048576,PAGOS!$A$3:$A$1048576,"&lt;&gt;INGRESO*",PAGOS!$A$3:$A$1048576,"&lt;&gt;EGRESO*",PAGOS!$D$3:$D$1048576,B8)</f>
        <v>0</v>
      </c>
      <c r="Q8" s="113">
        <f>K8-P8</f>
        <v>480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2" max="2" width="14.109375" bestFit="1" customWidth="1"/>
    <col min="3" max="3" width="34.33203125" bestFit="1" customWidth="1"/>
    <col min="4" max="4" width="9.6640625" bestFit="1" customWidth="1"/>
    <col min="5" max="5" width="9.5546875" bestFit="1" customWidth="1"/>
    <col min="6" max="6" width="8.44140625" style="228" bestFit="1" customWidth="1"/>
    <col min="7" max="7" width="8" style="229" bestFit="1" customWidth="1"/>
    <col min="8" max="8" width="8.33203125" style="228" bestFit="1" customWidth="1"/>
    <col min="9" max="9" width="7.44140625" style="228" bestFit="1" customWidth="1"/>
    <col min="10" max="10" width="8.6640625" style="228" bestFit="1" customWidth="1"/>
    <col min="11" max="11" width="10.33203125" style="228" bestFit="1" customWidth="1"/>
    <col min="12" max="12" width="10.6640625" style="228" bestFit="1" customWidth="1"/>
    <col min="14" max="17" width="11.6640625" bestFit="1" customWidth="1"/>
  </cols>
  <sheetData>
    <row r="1" spans="1:17" x14ac:dyDescent="0.3">
      <c r="B1" s="10"/>
      <c r="F1"/>
      <c r="G1"/>
      <c r="H1"/>
      <c r="I1"/>
      <c r="J1"/>
      <c r="K1"/>
      <c r="L1"/>
    </row>
    <row r="2" spans="1:17" x14ac:dyDescent="0.3">
      <c r="A2" t="s">
        <v>175</v>
      </c>
      <c r="B2" s="10"/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B3" s="10"/>
      <c r="D3" s="135" t="s">
        <v>176</v>
      </c>
      <c r="E3" s="155"/>
      <c r="F3" s="135" t="s">
        <v>177</v>
      </c>
      <c r="G3" s="153">
        <f>SUM(E7:E1048576)</f>
        <v>0</v>
      </c>
      <c r="H3" s="135" t="s">
        <v>178</v>
      </c>
      <c r="I3" s="153">
        <f>SUM($P$7:$P$1048576)</f>
        <v>0</v>
      </c>
      <c r="J3" s="135" t="s">
        <v>179</v>
      </c>
      <c r="K3" s="154">
        <f>G3+I3</f>
        <v>0</v>
      </c>
      <c r="L3"/>
    </row>
    <row r="4" spans="1:17" x14ac:dyDescent="0.3">
      <c r="B4" s="10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F5"/>
      <c r="G5" s="5" t="s">
        <v>47</v>
      </c>
      <c r="H5" s="6" t="s">
        <v>167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">"000"&amp;_xlfn.SEQUENCE(COUNTA(C7:C1048576))</f>
        <v>0001</v>
      </c>
      <c r="B7" s="47" t="s">
        <v>357</v>
      </c>
      <c r="C7" s="47" t="s">
        <v>351</v>
      </c>
      <c r="D7" s="43">
        <v>45762</v>
      </c>
      <c r="E7" s="170">
        <v>0</v>
      </c>
      <c r="F7" s="11">
        <v>1</v>
      </c>
      <c r="G7" s="264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3">
        <f>SUMIFS(PAGOS!$E$3:$E$1048576,PAGOS!$A$3:$A$1048576,"&lt;&gt;INGRESO*",PAGOS!$A$3:$A$1048576,"&lt;&gt;EGRESO*",PAGOS!$D$3:$D$1048576,B7)</f>
        <v>0</v>
      </c>
      <c r="O7" s="113">
        <f>E7-N7</f>
        <v>0</v>
      </c>
      <c r="P7" s="113">
        <f>SUMIFS(PAGOS!$H$3:$H$1048576,PAGOS!$A$3:$A$1048576,"&lt;&gt;INGRESO*",PAGOS!$A$3:$A$1048576,"&lt;&gt;EGRESO*",PAGOS!$D$3:$D$1048576,B7)</f>
        <v>0</v>
      </c>
      <c r="Q7" s="113">
        <f>K7-P7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2" max="2" width="14.109375" bestFit="1" customWidth="1"/>
    <col min="3" max="3" width="34.33203125" bestFit="1" customWidth="1"/>
    <col min="4" max="4" width="9.6640625" bestFit="1" customWidth="1"/>
    <col min="5" max="5" width="9.5546875" style="228" bestFit="1" customWidth="1"/>
    <col min="6" max="6" width="8.33203125" bestFit="1" customWidth="1"/>
    <col min="7" max="7" width="7.88671875" style="228" bestFit="1" customWidth="1"/>
    <col min="8" max="8" width="8.109375" style="228" bestFit="1" customWidth="1"/>
    <col min="9" max="9" width="7.44140625" style="228" bestFit="1" customWidth="1"/>
    <col min="10" max="10" width="8.5546875" style="228" bestFit="1" customWidth="1"/>
    <col min="11" max="11" width="10.109375" style="228" bestFit="1" customWidth="1"/>
    <col min="12" max="12" width="10.6640625" style="228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175</v>
      </c>
      <c r="B2" s="10"/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B3" s="10"/>
      <c r="D3" s="135" t="s">
        <v>176</v>
      </c>
      <c r="E3" s="155"/>
      <c r="F3" s="135" t="s">
        <v>177</v>
      </c>
      <c r="G3" s="153">
        <f>SUM(E7:E1048576)</f>
        <v>0</v>
      </c>
      <c r="H3" s="135" t="s">
        <v>178</v>
      </c>
      <c r="I3" s="153">
        <f>SUM($P$7:$P$1048576)</f>
        <v>0</v>
      </c>
      <c r="J3" s="135" t="s">
        <v>179</v>
      </c>
      <c r="K3" s="154">
        <f>G3+I3</f>
        <v>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">"000"&amp;_xlfn.SEQUENCE(COUNTA(C7:C1048576))</f>
        <v>0001</v>
      </c>
      <c r="B7" s="47" t="s">
        <v>359</v>
      </c>
      <c r="C7" s="47" t="s">
        <v>352</v>
      </c>
      <c r="D7" s="43">
        <v>45762</v>
      </c>
      <c r="E7" s="11">
        <v>0</v>
      </c>
      <c r="F7" s="47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3">
        <f>SUMIFS(PAGOS!$E$3:$E$1048576,PAGOS!$A$3:$A$1048576,"&lt;&gt;INGRESO*",PAGOS!$A$3:$A$1048576,"&lt;&gt;EGRESO*",PAGOS!$D$3:$D$1048576,B7)</f>
        <v>0</v>
      </c>
      <c r="O7" s="113">
        <f>E7-N7</f>
        <v>0</v>
      </c>
      <c r="P7" s="113">
        <f>SUMIFS(PAGOS!$H$3:$H$1048576,PAGOS!$A$3:$A$1048576,"&lt;&gt;INGRESO*",PAGOS!$A$3:$A$1048576,"&lt;&gt;EGRESO*",PAGOS!$D$3:$D$1048576,B7)</f>
        <v>0</v>
      </c>
      <c r="Q7" s="113">
        <f>K7-P7</f>
        <v>0</v>
      </c>
    </row>
    <row r="13" spans="1:17" x14ac:dyDescent="0.3">
      <c r="E13"/>
      <c r="I13"/>
    </row>
    <row r="14" spans="1:17" x14ac:dyDescent="0.3">
      <c r="E14"/>
      <c r="I14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B1" sqref="B1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175</v>
      </c>
      <c r="B2" s="10"/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B3" s="10"/>
      <c r="D3" s="135" t="s">
        <v>176</v>
      </c>
      <c r="E3" s="155"/>
      <c r="F3" s="135" t="s">
        <v>177</v>
      </c>
      <c r="G3" s="153">
        <f>SUM(E7:E1048576)</f>
        <v>0</v>
      </c>
      <c r="H3" s="135" t="s">
        <v>178</v>
      </c>
      <c r="I3" s="153">
        <f>SUM($P$7:$P$1048576)</f>
        <v>0</v>
      </c>
      <c r="J3" s="135" t="s">
        <v>179</v>
      </c>
      <c r="K3" s="154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168</v>
      </c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227" t="e" cm="1" vm="1">
        <f t="array" ref="A7">"000"&amp;_xlfn.SEQUENCE(COUNTA(C7:C1048576))</f>
        <v>#VALUE!</v>
      </c>
      <c r="B7" s="232"/>
      <c r="C7" s="227"/>
      <c r="D7" s="231"/>
      <c r="E7" s="230"/>
      <c r="F7" s="227"/>
      <c r="G7" s="230"/>
      <c r="H7" s="230"/>
      <c r="I7" s="233"/>
      <c r="J7" s="230"/>
      <c r="K7" s="230"/>
      <c r="L7" s="236"/>
      <c r="N7" s="113">
        <f>SUMIFS(PAGOS!$E$3:$E$1048576,PAGOS!$A$3:$A$1048576,"&lt;&gt;INGRESO*",PAGOS!$A$3:$A$1048576,"&lt;&gt;EGRESO*",PAGOS!$D$3:$D$1048576,B7)</f>
        <v>0</v>
      </c>
      <c r="O7" s="113">
        <f>E7-N7</f>
        <v>0</v>
      </c>
      <c r="P7" s="113">
        <f>SUMIFS(PAGOS!$H$3:$H$1048576,PAGOS!$A$3:$A$1048576,"&lt;&gt;INGRESO*",PAGOS!$A$3:$A$1048576,"&lt;&gt;EGRESO*",PAGOS!$D$3:$D$1048576,B7)</f>
        <v>0</v>
      </c>
      <c r="Q7" s="113">
        <f>K7-P7</f>
        <v>0</v>
      </c>
    </row>
    <row r="8" spans="1:17" x14ac:dyDescent="0.3">
      <c r="A8" s="226"/>
      <c r="B8" s="226"/>
      <c r="C8" s="226"/>
      <c r="D8" s="234"/>
      <c r="E8" s="235"/>
      <c r="F8" s="226"/>
      <c r="G8" s="226"/>
      <c r="H8" s="226"/>
      <c r="I8" s="226"/>
      <c r="J8" s="226"/>
      <c r="K8" s="226"/>
      <c r="L8" s="235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4" t="s">
        <v>142</v>
      </c>
    </row>
    <row r="3" spans="2:6" x14ac:dyDescent="0.3">
      <c r="B3" s="135" t="s">
        <v>143</v>
      </c>
      <c r="C3" s="136">
        <v>45870</v>
      </c>
      <c r="D3" s="135" t="s">
        <v>144</v>
      </c>
      <c r="E3" s="137">
        <v>0.02</v>
      </c>
    </row>
    <row r="4" spans="2:6" x14ac:dyDescent="0.3">
      <c r="B4" s="135" t="s">
        <v>145</v>
      </c>
      <c r="C4" s="138" t="s">
        <v>23</v>
      </c>
      <c r="D4" s="135" t="s">
        <v>146</v>
      </c>
      <c r="E4" s="139">
        <f>C6*E3</f>
        <v>4</v>
      </c>
      <c r="F4" s="140"/>
    </row>
    <row r="5" spans="2:6" x14ac:dyDescent="0.3">
      <c r="B5" s="135" t="s">
        <v>171</v>
      </c>
      <c r="C5" s="147">
        <v>76</v>
      </c>
      <c r="D5" s="135" t="s">
        <v>148</v>
      </c>
      <c r="E5" s="141">
        <f>C6/C7</f>
        <v>100</v>
      </c>
      <c r="F5" s="142"/>
    </row>
    <row r="6" spans="2:6" x14ac:dyDescent="0.3">
      <c r="B6" s="135" t="s">
        <v>147</v>
      </c>
      <c r="C6" s="148">
        <v>200</v>
      </c>
      <c r="D6" s="135" t="s">
        <v>150</v>
      </c>
      <c r="E6" s="144">
        <f>E4+E5</f>
        <v>104</v>
      </c>
      <c r="F6" s="145"/>
    </row>
    <row r="7" spans="2:6" x14ac:dyDescent="0.3">
      <c r="B7" s="135" t="s">
        <v>149</v>
      </c>
      <c r="C7" s="143">
        <v>2</v>
      </c>
      <c r="D7" s="135" t="s">
        <v>151</v>
      </c>
      <c r="E7" s="149">
        <f>(E6)*C7</f>
        <v>208</v>
      </c>
      <c r="F7" s="113"/>
    </row>
    <row r="8" spans="2:6" x14ac:dyDescent="0.3">
      <c r="B8" s="5"/>
      <c r="C8" s="157"/>
      <c r="D8" s="5"/>
      <c r="E8" s="158"/>
      <c r="F8" s="113"/>
    </row>
    <row r="9" spans="2:6" x14ac:dyDescent="0.3">
      <c r="B9" s="135" t="s">
        <v>190</v>
      </c>
      <c r="C9" s="159" t="s">
        <v>459</v>
      </c>
      <c r="D9" s="160"/>
      <c r="E9" s="160"/>
      <c r="F9" s="161"/>
    </row>
    <row r="11" spans="2:6" x14ac:dyDescent="0.3">
      <c r="B11" s="146" t="s">
        <v>191</v>
      </c>
      <c r="C11" s="146" t="s">
        <v>152</v>
      </c>
      <c r="D11" s="146" t="s">
        <v>153</v>
      </c>
      <c r="E11" s="146" t="s">
        <v>154</v>
      </c>
      <c r="F11" s="146" t="s">
        <v>155</v>
      </c>
    </row>
    <row r="20" spans="3:5" x14ac:dyDescent="0.3">
      <c r="C20" t="s">
        <v>172</v>
      </c>
      <c r="E20" t="s">
        <v>172</v>
      </c>
    </row>
    <row r="21" spans="3:5" x14ac:dyDescent="0.3">
      <c r="C21" t="s">
        <v>173</v>
      </c>
      <c r="E21" t="s">
        <v>174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62" bestFit="1" customWidth="1"/>
    <col min="6" max="6" width="11.109375" customWidth="1"/>
    <col min="7" max="8" width="11" style="162" bestFit="1" customWidth="1"/>
    <col min="9" max="9" width="11" style="163" bestFit="1" customWidth="1"/>
    <col min="10" max="11" width="15.44140625" style="162" customWidth="1"/>
    <col min="12" max="12" width="13.5546875" style="162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1400</v>
      </c>
      <c r="H3" s="135" t="s">
        <v>178</v>
      </c>
      <c r="I3" s="153">
        <f>SUM($P$7:$P$1048576)</f>
        <v>104</v>
      </c>
      <c r="J3" s="135" t="s">
        <v>179</v>
      </c>
      <c r="K3" s="154">
        <f>G3+I3</f>
        <v>1504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</v>
      </c>
      <c r="I5" s="6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8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12">"000"&amp;_xlfn.SEQUENCE(COUNTA(C7:C1048576))</f>
        <v>0001</v>
      </c>
      <c r="B7" s="47" t="s">
        <v>182</v>
      </c>
      <c r="C7" s="47" t="s">
        <v>12</v>
      </c>
      <c r="D7" s="43">
        <v>44910</v>
      </c>
      <c r="E7" s="200">
        <v>100</v>
      </c>
      <c r="F7" s="47">
        <v>4</v>
      </c>
      <c r="G7" s="200">
        <v>25</v>
      </c>
      <c r="H7" s="200">
        <v>2</v>
      </c>
      <c r="I7" s="201">
        <v>27</v>
      </c>
      <c r="J7" s="200">
        <v>100</v>
      </c>
      <c r="K7" s="200">
        <v>8</v>
      </c>
      <c r="L7" s="200">
        <v>108</v>
      </c>
      <c r="N7" s="113">
        <f>SUMIFS(PAGOS!$E$3:$E$1048576,PAGOS!$A$3:$A$1048576,"&lt;&gt;INGRESO*",PAGOS!$A$3:$A$1048576,"&lt;&gt;EGRESO*",PAGOS!$D$3:$D$1048576,+MID('01'!B7,6,3)*1)</f>
        <v>100</v>
      </c>
      <c r="O7" s="113">
        <f t="shared" ref="O7:O12" si="0">E7-N7</f>
        <v>0</v>
      </c>
      <c r="P7" s="113">
        <f>SUMIFS(PAGOS!$H$3:$H$1048576,PAGOS!$A$3:$A$1048576,"&lt;&gt;INGRESO*",PAGOS!$A$3:$A$1048576,"&lt;&gt;EGRESO*",PAGOS!$D$3:$D$1048576,+MID('01'!B7,6,3)*1)</f>
        <v>8</v>
      </c>
      <c r="Q7" s="113">
        <f t="shared" ref="Q7:Q12" si="1">K7-P7</f>
        <v>0</v>
      </c>
    </row>
    <row r="8" spans="1:17" x14ac:dyDescent="0.3">
      <c r="A8" s="47" t="str">
        <v>0002</v>
      </c>
      <c r="B8" s="47" t="s">
        <v>183</v>
      </c>
      <c r="C8" s="47" t="s">
        <v>12</v>
      </c>
      <c r="D8" s="43">
        <v>45031</v>
      </c>
      <c r="E8" s="200">
        <v>100</v>
      </c>
      <c r="F8" s="47">
        <v>4</v>
      </c>
      <c r="G8" s="200">
        <v>25</v>
      </c>
      <c r="H8" s="200">
        <v>2</v>
      </c>
      <c r="I8" s="201">
        <v>27</v>
      </c>
      <c r="J8" s="200">
        <v>100</v>
      </c>
      <c r="K8" s="200">
        <v>8</v>
      </c>
      <c r="L8" s="200">
        <v>108</v>
      </c>
      <c r="N8" s="113">
        <f>SUMIFS(PAGOS!$E$3:$E$1048576,PAGOS!$A$3:$A$1048576,"&lt;&gt;INGRESO*",PAGOS!$A$3:$A$1048576,"&lt;&gt;EGRESO*",PAGOS!$D$3:$D$1048576,+MID('01'!B8,6,3)*1)</f>
        <v>100</v>
      </c>
      <c r="O8" s="113">
        <f t="shared" si="0"/>
        <v>0</v>
      </c>
      <c r="P8" s="113">
        <f>SUMIFS(PAGOS!$H$3:$H$1048576,PAGOS!$A$3:$A$1048576,"&lt;&gt;INGRESO*",PAGOS!$A$3:$A$1048576,"&lt;&gt;EGRESO*",PAGOS!$D$3:$D$1048576,+MID('01'!B8,6,3)*1)</f>
        <v>8</v>
      </c>
      <c r="Q8" s="113">
        <f t="shared" si="1"/>
        <v>0</v>
      </c>
    </row>
    <row r="9" spans="1:17" x14ac:dyDescent="0.3">
      <c r="A9" s="47" t="str">
        <v>0003</v>
      </c>
      <c r="B9" s="47" t="s">
        <v>184</v>
      </c>
      <c r="C9" s="47" t="s">
        <v>12</v>
      </c>
      <c r="D9" s="43">
        <v>45159</v>
      </c>
      <c r="E9" s="200">
        <v>100</v>
      </c>
      <c r="F9" s="47">
        <v>1</v>
      </c>
      <c r="G9" s="200">
        <v>100</v>
      </c>
      <c r="H9" s="200">
        <v>2</v>
      </c>
      <c r="I9" s="201">
        <v>102</v>
      </c>
      <c r="J9" s="200">
        <v>100</v>
      </c>
      <c r="K9" s="200">
        <v>2</v>
      </c>
      <c r="L9" s="200">
        <v>102</v>
      </c>
      <c r="N9" s="113">
        <f>SUMIFS(PAGOS!$E$3:$E$1048576,PAGOS!$A$3:$A$1048576,"&lt;&gt;INGRESO*",PAGOS!$A$3:$A$1048576,"&lt;&gt;EGRESO*",PAGOS!$D$3:$D$1048576,+MID('01'!B9,6,3)*1)</f>
        <v>100</v>
      </c>
      <c r="O9" s="113">
        <f t="shared" si="0"/>
        <v>0</v>
      </c>
      <c r="P9" s="113">
        <f>SUMIFS(PAGOS!$H$3:$H$1048576,PAGOS!$A$3:$A$1048576,"&lt;&gt;INGRESO*",PAGOS!$A$3:$A$1048576,"&lt;&gt;EGRESO*",PAGOS!$D$3:$D$1048576,+MID('01'!B9,6,3)*1)</f>
        <v>2</v>
      </c>
      <c r="Q9" s="113">
        <f t="shared" si="1"/>
        <v>0</v>
      </c>
    </row>
    <row r="10" spans="1:17" x14ac:dyDescent="0.3">
      <c r="A10" s="47" t="str">
        <v>0004</v>
      </c>
      <c r="B10" s="47" t="s">
        <v>193</v>
      </c>
      <c r="C10" s="47" t="s">
        <v>12</v>
      </c>
      <c r="D10" s="43">
        <v>45341</v>
      </c>
      <c r="E10" s="11">
        <v>100</v>
      </c>
      <c r="F10" s="47">
        <v>4</v>
      </c>
      <c r="G10" s="11">
        <v>25</v>
      </c>
      <c r="H10" s="11">
        <v>2</v>
      </c>
      <c r="I10" s="202">
        <v>27</v>
      </c>
      <c r="J10" s="11">
        <v>100</v>
      </c>
      <c r="K10" s="11">
        <v>8</v>
      </c>
      <c r="L10" s="11">
        <v>108</v>
      </c>
      <c r="N10" s="113">
        <f>SUMIFS(PAGOS!$E$3:$E$1048576,PAGOS!$A$3:$A$1048576,"&lt;&gt;INGRESO*",PAGOS!$A$3:$A$1048576,"&lt;&gt;EGRESO*",PAGOS!$D$3:$D$1048576,+MID('01'!B10,6,3)*1)</f>
        <v>100</v>
      </c>
      <c r="O10" s="113">
        <f t="shared" si="0"/>
        <v>0</v>
      </c>
      <c r="P10" s="113">
        <f>SUMIFS(PAGOS!$H$3:$H$1048576,PAGOS!$A$3:$A$1048576,"&lt;&gt;INGRESO*",PAGOS!$A$3:$A$1048576,"&lt;&gt;EGRESO*",PAGOS!$D$3:$D$1048576,+MID('01'!B10,6,3)*1)</f>
        <v>8</v>
      </c>
      <c r="Q10" s="113">
        <f t="shared" si="1"/>
        <v>0</v>
      </c>
    </row>
    <row r="11" spans="1:17" x14ac:dyDescent="0.3">
      <c r="A11" s="47" t="str">
        <v>0005</v>
      </c>
      <c r="B11" s="47" t="s">
        <v>226</v>
      </c>
      <c r="C11" s="47" t="s">
        <v>12</v>
      </c>
      <c r="D11" s="43">
        <v>45519</v>
      </c>
      <c r="E11" s="11">
        <v>300</v>
      </c>
      <c r="F11" s="47">
        <v>6</v>
      </c>
      <c r="G11" s="11">
        <v>50</v>
      </c>
      <c r="H11" s="11">
        <v>6</v>
      </c>
      <c r="I11" s="202">
        <v>56</v>
      </c>
      <c r="J11" s="11">
        <v>300</v>
      </c>
      <c r="K11" s="11">
        <v>36</v>
      </c>
      <c r="L11" s="11">
        <v>336</v>
      </c>
      <c r="N11" s="113">
        <f>SUMIFS(PAGOS!$E$3:$E$1048576,PAGOS!$A$3:$A$1048576,"&lt;&gt;INGRESO*",PAGOS!$A$3:$A$1048576,"&lt;&gt;EGRESO*",PAGOS!$D$3:$D$1048576,+MID('01'!B11,6,3)*1)</f>
        <v>300</v>
      </c>
      <c r="O11" s="113">
        <f t="shared" si="0"/>
        <v>0</v>
      </c>
      <c r="P11" s="113">
        <f>SUMIFS(PAGOS!$H$3:$H$1048576,PAGOS!$A$3:$A$1048576,"&lt;&gt;INGRESO*",PAGOS!$A$3:$A$1048576,"&lt;&gt;EGRESO*",PAGOS!$D$3:$D$1048576,+MID('01'!B11,6,3)*1)</f>
        <v>36</v>
      </c>
      <c r="Q11" s="113">
        <f t="shared" si="1"/>
        <v>0</v>
      </c>
    </row>
    <row r="12" spans="1:17" x14ac:dyDescent="0.3">
      <c r="A12" s="47" t="str">
        <v>0006</v>
      </c>
      <c r="B12" s="47" t="s">
        <v>338</v>
      </c>
      <c r="C12" s="47" t="s">
        <v>12</v>
      </c>
      <c r="D12" s="43">
        <v>45731.834143518521</v>
      </c>
      <c r="E12" s="225">
        <v>700</v>
      </c>
      <c r="F12" s="47">
        <v>3</v>
      </c>
      <c r="G12" s="11">
        <v>233.33333333333334</v>
      </c>
      <c r="H12" s="11">
        <v>14</v>
      </c>
      <c r="I12" s="202">
        <v>247.33333333333334</v>
      </c>
      <c r="J12" s="11">
        <v>700</v>
      </c>
      <c r="K12" s="11">
        <v>42</v>
      </c>
      <c r="L12" s="225">
        <v>742</v>
      </c>
      <c r="N12" s="113">
        <f>SUMIFS(PAGOS!$E$3:$E$1048576,PAGOS!$A$3:$A$1048576,"&lt;&gt;INGRESO*",PAGOS!$A$3:$A$1048576,"&lt;&gt;EGRESO*",PAGOS!$D$3:$D$1048576,+MID('01'!B12,6,3)*1)</f>
        <v>700</v>
      </c>
      <c r="O12" s="113">
        <f t="shared" si="0"/>
        <v>0</v>
      </c>
      <c r="P12" s="113">
        <f>SUMIFS(PAGOS!$H$3:$H$1048576,PAGOS!$A$3:$A$1048576,"&lt;&gt;INGRESO*",PAGOS!$A$3:$A$1048576,"&lt;&gt;EGRESO*",PAGOS!$D$3:$D$1048576,+MID('01'!B12,6,3)*1)</f>
        <v>42</v>
      </c>
      <c r="Q12" s="113">
        <f t="shared" si="1"/>
        <v>0</v>
      </c>
    </row>
    <row r="13" spans="1:17" x14ac:dyDescent="0.3">
      <c r="E13"/>
      <c r="I13"/>
    </row>
    <row r="14" spans="1:17" x14ac:dyDescent="0.3">
      <c r="E14"/>
      <c r="I14"/>
    </row>
    <row r="15" spans="1:17" x14ac:dyDescent="0.3">
      <c r="E15"/>
      <c r="I15"/>
    </row>
  </sheetData>
  <sheetProtection formatCells="0" formatRows="0" insertRows="0" autoFilter="0"/>
  <pageMargins left="0.7" right="0.7" top="0.75" bottom="0.75" header="0.3" footer="0.3"/>
  <pageSetup paperSize="9" scale="86" fitToHeight="0" orientation="landscape" cellComments="atEnd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6"/>
  <sheetViews>
    <sheetView zoomScaleNormal="100" workbookViewId="0"/>
  </sheetViews>
  <sheetFormatPr baseColWidth="10" defaultColWidth="11.5546875" defaultRowHeight="14.4" x14ac:dyDescent="0.3"/>
  <cols>
    <col min="1" max="1" width="14.33203125" bestFit="1" customWidth="1"/>
    <col min="2" max="2" width="9.6640625" bestFit="1" customWidth="1"/>
    <col min="3" max="3" width="20.33203125" customWidth="1"/>
    <col min="4" max="6" width="11" bestFit="1" customWidth="1"/>
    <col min="7" max="8" width="11" style="162" bestFit="1" customWidth="1"/>
    <col min="9" max="9" width="11" style="163" bestFit="1" customWidth="1"/>
    <col min="10" max="12" width="11" style="162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1200</v>
      </c>
      <c r="H3" s="135" t="s">
        <v>178</v>
      </c>
      <c r="I3" s="153">
        <f>SUM($P$7:$P$1048576)</f>
        <v>74</v>
      </c>
      <c r="J3" s="135" t="s">
        <v>179</v>
      </c>
      <c r="K3" s="154">
        <f>G3+I3</f>
        <v>1274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0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8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9">"000"&amp;_xlfn.SEQUENCE(COUNTA(C7:C1048576))</f>
        <v>0001</v>
      </c>
      <c r="B7" s="47" t="s">
        <v>185</v>
      </c>
      <c r="C7" s="47" t="s">
        <v>13</v>
      </c>
      <c r="D7" s="43">
        <v>45184</v>
      </c>
      <c r="E7" s="165">
        <v>100</v>
      </c>
      <c r="F7" s="47">
        <v>4</v>
      </c>
      <c r="G7" s="165">
        <v>25</v>
      </c>
      <c r="H7" s="165">
        <v>2</v>
      </c>
      <c r="I7" s="166">
        <v>27</v>
      </c>
      <c r="J7" s="165">
        <v>100</v>
      </c>
      <c r="K7" s="165">
        <v>8</v>
      </c>
      <c r="L7" s="165">
        <v>108</v>
      </c>
      <c r="N7" s="113">
        <f>SUMIFS(PAGOS!$E$3:$E$1048576,PAGOS!$A$3:$A$1048576,"&lt;&gt;INGRESO*",PAGOS!$A$3:$A$1048576,"&lt;&gt;EGRESO*",PAGOS!$D$3:$D$1048576,+MID('02'!B7,6,3)*1)</f>
        <v>100</v>
      </c>
      <c r="O7" s="113">
        <f>E7-N7</f>
        <v>0</v>
      </c>
      <c r="P7" s="113">
        <f>SUMIFS(PAGOS!$H$3:$H$1048576,PAGOS!$A$3:$A$1048576,"&lt;&gt;INGRESO*",PAGOS!$A$3:$A$1048576,"&lt;&gt;EGRESO*",PAGOS!$D$3:$D$1048576,+MID('02'!B7,6,3)*1)</f>
        <v>8</v>
      </c>
      <c r="Q7" s="113">
        <f>K7-P7</f>
        <v>0</v>
      </c>
    </row>
    <row r="8" spans="1:17" x14ac:dyDescent="0.3">
      <c r="A8" s="47" t="str">
        <v>0002</v>
      </c>
      <c r="B8" s="47" t="s">
        <v>270</v>
      </c>
      <c r="C8" s="47" t="s">
        <v>13</v>
      </c>
      <c r="D8" s="43">
        <v>45611</v>
      </c>
      <c r="E8" s="165">
        <v>500</v>
      </c>
      <c r="F8" s="47">
        <v>3</v>
      </c>
      <c r="G8" s="11">
        <v>166.66666666666666</v>
      </c>
      <c r="H8" s="11">
        <v>10</v>
      </c>
      <c r="I8" s="202">
        <v>176.66666666666666</v>
      </c>
      <c r="J8" s="11">
        <v>500</v>
      </c>
      <c r="K8" s="11">
        <v>30</v>
      </c>
      <c r="L8" s="11">
        <v>530</v>
      </c>
      <c r="N8" s="113">
        <f>SUMIFS(PAGOS!$E$3:$E$1048576,PAGOS!$A$3:$A$1048576,"&lt;&gt;INGRESO*",PAGOS!$A$3:$A$1048576,"&lt;&gt;EGRESO*",PAGOS!$D$3:$D$1048576,+MID('02'!B8,6,3)*1)</f>
        <v>477.90999999999997</v>
      </c>
      <c r="O8" s="113">
        <f>E8-N8</f>
        <v>22.090000000000032</v>
      </c>
      <c r="P8" s="113">
        <f>SUMIFS(PAGOS!$H$3:$H$1048576,PAGOS!$A$3:$A$1048576,"&lt;&gt;INGRESO*",PAGOS!$A$3:$A$1048576,"&lt;&gt;EGRESO*",PAGOS!$D$3:$D$1048576,+MID('02'!B8,6,3)*1)</f>
        <v>30</v>
      </c>
      <c r="Q8" s="113">
        <f>K8-P8</f>
        <v>0</v>
      </c>
    </row>
    <row r="9" spans="1:17" x14ac:dyDescent="0.3">
      <c r="A9" s="47" t="str">
        <v>0003</v>
      </c>
      <c r="B9" s="165" t="s">
        <v>354</v>
      </c>
      <c r="C9" s="165" t="s">
        <v>13</v>
      </c>
      <c r="D9" s="43">
        <v>45762</v>
      </c>
      <c r="E9" s="165">
        <v>600</v>
      </c>
      <c r="F9" s="47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3">
        <f>SUMIFS(PAGOS!$E$3:$E$1048576,PAGOS!$A$3:$A$1048576,"&lt;&gt;INGRESO*",PAGOS!$A$3:$A$1048576,"&lt;&gt;EGRESO*",PAGOS!$D$3:$D$1048576,+MID('02'!B9,6,3)*1)</f>
        <v>600</v>
      </c>
      <c r="O9" s="113">
        <f>E9-N9</f>
        <v>0</v>
      </c>
      <c r="P9" s="113">
        <f>SUMIFS(PAGOS!$H$3:$H$1048576,PAGOS!$A$3:$A$1048576,"&lt;&gt;INGRESO*",PAGOS!$A$3:$A$1048576,"&lt;&gt;EGRESO*",PAGOS!$D$3:$D$1048576,+MID('02'!B9,6,3)*1)</f>
        <v>36</v>
      </c>
      <c r="Q9" s="113">
        <f>K9-P9</f>
        <v>0</v>
      </c>
    </row>
    <row r="10" spans="1:17" x14ac:dyDescent="0.3">
      <c r="N10" s="113"/>
      <c r="O10" s="113"/>
      <c r="P10" s="113"/>
      <c r="Q10" s="113"/>
    </row>
    <row r="11" spans="1:17" x14ac:dyDescent="0.3">
      <c r="I11" s="162"/>
    </row>
    <row r="12" spans="1:17" x14ac:dyDescent="0.3">
      <c r="I12" s="162"/>
    </row>
    <row r="13" spans="1:17" x14ac:dyDescent="0.3">
      <c r="I13" s="162"/>
    </row>
    <row r="14" spans="1:17" x14ac:dyDescent="0.3">
      <c r="I14" s="162"/>
    </row>
    <row r="15" spans="1:17" x14ac:dyDescent="0.3">
      <c r="I15"/>
    </row>
    <row r="16" spans="1:17" x14ac:dyDescent="0.3">
      <c r="I16"/>
    </row>
  </sheetData>
  <pageMargins left="0.7" right="0.7" top="0.75" bottom="0.75" header="0.3" footer="0.3"/>
  <pageSetup paperSize="9" scale="92" fitToHeight="0" orientation="landscape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2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14.33203125" bestFit="1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62" bestFit="1" customWidth="1"/>
    <col min="9" max="9" width="8.33203125" style="163" customWidth="1"/>
    <col min="10" max="10" width="11.33203125" style="162" customWidth="1"/>
    <col min="11" max="12" width="11.6640625" style="162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3700</v>
      </c>
      <c r="H3" s="135" t="s">
        <v>178</v>
      </c>
      <c r="I3" s="153">
        <f>SUM($P$7:$P$1048576)</f>
        <v>348</v>
      </c>
      <c r="J3" s="135" t="s">
        <v>179</v>
      </c>
      <c r="K3" s="154">
        <f>G3+I3</f>
        <v>4048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8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13">"000"&amp;_xlfn.SEQUENCE(COUNTA(C7:C1048576))</f>
        <v>0001</v>
      </c>
      <c r="B7" s="47" t="s">
        <v>186</v>
      </c>
      <c r="C7" s="47" t="s">
        <v>14</v>
      </c>
      <c r="D7" s="43">
        <v>45153</v>
      </c>
      <c r="E7" s="165">
        <v>100</v>
      </c>
      <c r="F7" s="47">
        <v>2</v>
      </c>
      <c r="G7" s="165">
        <v>50</v>
      </c>
      <c r="H7" s="165">
        <v>2</v>
      </c>
      <c r="I7" s="166">
        <v>52</v>
      </c>
      <c r="J7" s="165">
        <v>100</v>
      </c>
      <c r="K7" s="165">
        <v>4</v>
      </c>
      <c r="L7" s="165">
        <v>104</v>
      </c>
      <c r="N7" s="113">
        <f>SUMIFS(PAGOS!$E$3:$E$1048576,PAGOS!$A$3:$A$1048576,"&lt;&gt;INGRESO*",PAGOS!$A$3:$A$1048576,"&lt;&gt;EGRESO*",PAGOS!$D$3:$D$1048576,+MID('03'!B7,6,3)*1)</f>
        <v>100</v>
      </c>
      <c r="O7" s="113">
        <f t="shared" ref="O7:O12" si="0">E7-N7</f>
        <v>0</v>
      </c>
      <c r="P7" s="113">
        <f>SUMIFS(PAGOS!$H$3:$H$1048576,PAGOS!$A$3:$A$1048576,"&lt;&gt;INGRESO*",PAGOS!$A$3:$A$1048576,"&lt;&gt;EGRESO*",PAGOS!$D$3:$D$1048576,+MID('03'!B7,6,3)*1)</f>
        <v>4</v>
      </c>
      <c r="Q7" s="113">
        <f t="shared" ref="Q7:Q12" si="1">K7-P7</f>
        <v>0</v>
      </c>
    </row>
    <row r="8" spans="1:17" x14ac:dyDescent="0.3">
      <c r="A8" s="47" t="str">
        <v>0002</v>
      </c>
      <c r="B8" s="47" t="s">
        <v>187</v>
      </c>
      <c r="C8" s="47" t="s">
        <v>14</v>
      </c>
      <c r="D8" s="43">
        <v>44972</v>
      </c>
      <c r="E8" s="165">
        <v>300</v>
      </c>
      <c r="F8" s="47">
        <v>3</v>
      </c>
      <c r="G8" s="165">
        <v>100</v>
      </c>
      <c r="H8" s="165">
        <v>6</v>
      </c>
      <c r="I8" s="166">
        <v>106</v>
      </c>
      <c r="J8" s="165">
        <v>300</v>
      </c>
      <c r="K8" s="165">
        <v>18</v>
      </c>
      <c r="L8" s="165">
        <v>318</v>
      </c>
      <c r="N8" s="113">
        <f>SUMIFS(PAGOS!$E$3:$E$1048576,PAGOS!$A$3:$A$1048576,"&lt;&gt;INGRESO*",PAGOS!$A$3:$A$1048576,"&lt;&gt;EGRESO*",PAGOS!$D$3:$D$1048576,+MID('03'!B8,6,3)*1)</f>
        <v>300</v>
      </c>
      <c r="O8" s="113">
        <f t="shared" si="0"/>
        <v>0</v>
      </c>
      <c r="P8" s="113">
        <f>SUMIFS(PAGOS!$H$3:$H$1048576,PAGOS!$A$3:$A$1048576,"&lt;&gt;INGRESO*",PAGOS!$A$3:$A$1048576,"&lt;&gt;EGRESO*",PAGOS!$D$3:$D$1048576,+MID('03'!B8,6,3)*1)</f>
        <v>18</v>
      </c>
      <c r="Q8" s="113">
        <f t="shared" si="1"/>
        <v>0</v>
      </c>
    </row>
    <row r="9" spans="1:17" x14ac:dyDescent="0.3">
      <c r="A9" s="47" t="str">
        <v>0003</v>
      </c>
      <c r="B9" s="47" t="s">
        <v>188</v>
      </c>
      <c r="C9" s="47" t="s">
        <v>14</v>
      </c>
      <c r="D9" s="43">
        <v>45092</v>
      </c>
      <c r="E9" s="165">
        <v>400</v>
      </c>
      <c r="F9" s="47">
        <v>4</v>
      </c>
      <c r="G9" s="165">
        <v>100</v>
      </c>
      <c r="H9" s="165">
        <v>8</v>
      </c>
      <c r="I9" s="166">
        <v>208</v>
      </c>
      <c r="J9" s="165">
        <v>400</v>
      </c>
      <c r="K9" s="165">
        <v>32</v>
      </c>
      <c r="L9" s="165">
        <v>432</v>
      </c>
      <c r="N9" s="113">
        <f>SUMIFS(PAGOS!$E$3:$E$1048576,PAGOS!$A$3:$A$1048576,"&lt;&gt;INGRESO*",PAGOS!$A$3:$A$1048576,"&lt;&gt;EGRESO*",PAGOS!$D$3:$D$1048576,+MID('03'!B9,6,3)*1)</f>
        <v>400</v>
      </c>
      <c r="O9" s="113">
        <f t="shared" si="0"/>
        <v>0</v>
      </c>
      <c r="P9" s="113">
        <f>SUMIFS(PAGOS!$H$3:$H$1048576,PAGOS!$A$3:$A$1048576,"&lt;&gt;INGRESO*",PAGOS!$A$3:$A$1048576,"&lt;&gt;EGRESO*",PAGOS!$D$3:$D$1048576,+MID('03'!B9,6,3)*1)</f>
        <v>32</v>
      </c>
      <c r="Q9" s="113">
        <f t="shared" si="1"/>
        <v>0</v>
      </c>
    </row>
    <row r="10" spans="1:17" x14ac:dyDescent="0.3">
      <c r="A10" s="47" t="str">
        <v>0004</v>
      </c>
      <c r="B10" s="47" t="s">
        <v>189</v>
      </c>
      <c r="C10" s="47" t="s">
        <v>14</v>
      </c>
      <c r="D10" s="43">
        <v>45245</v>
      </c>
      <c r="E10" s="165">
        <v>200</v>
      </c>
      <c r="F10" s="47">
        <v>4</v>
      </c>
      <c r="G10" s="165">
        <v>50</v>
      </c>
      <c r="H10" s="165">
        <v>4</v>
      </c>
      <c r="I10" s="166">
        <v>54</v>
      </c>
      <c r="J10" s="165">
        <v>200</v>
      </c>
      <c r="K10" s="165">
        <v>16</v>
      </c>
      <c r="L10" s="165">
        <v>216</v>
      </c>
      <c r="N10" s="113">
        <f>SUMIFS(PAGOS!$E$3:$E$1048576,PAGOS!$A$3:$A$1048576,"&lt;&gt;INGRESO*",PAGOS!$A$3:$A$1048576,"&lt;&gt;EGRESO*",PAGOS!$D$3:$D$1048576,+MID('03'!B10,6,3)*1)</f>
        <v>200</v>
      </c>
      <c r="O10" s="113">
        <f t="shared" si="0"/>
        <v>0</v>
      </c>
      <c r="P10" s="113">
        <f>SUMIFS(PAGOS!$H$3:$H$1048576,PAGOS!$A$3:$A$1048576,"&lt;&gt;INGRESO*",PAGOS!$A$3:$A$1048576,"&lt;&gt;EGRESO*",PAGOS!$D$3:$D$1048576,+MID('03'!B10,6,3)*1)</f>
        <v>16</v>
      </c>
      <c r="Q10" s="113">
        <f t="shared" si="1"/>
        <v>0</v>
      </c>
    </row>
    <row r="11" spans="1:17" x14ac:dyDescent="0.3">
      <c r="A11" s="47" t="str">
        <v>0005</v>
      </c>
      <c r="B11" s="47" t="s">
        <v>198</v>
      </c>
      <c r="C11" s="47" t="s">
        <v>14</v>
      </c>
      <c r="D11" s="43">
        <v>45366</v>
      </c>
      <c r="E11" s="170">
        <v>1000</v>
      </c>
      <c r="F11" s="47">
        <v>10</v>
      </c>
      <c r="G11" s="165">
        <v>100</v>
      </c>
      <c r="H11" s="165">
        <v>20</v>
      </c>
      <c r="I11" s="166">
        <v>120</v>
      </c>
      <c r="J11" s="165">
        <v>1000</v>
      </c>
      <c r="K11" s="165">
        <v>200</v>
      </c>
      <c r="L11" s="165">
        <v>1200</v>
      </c>
      <c r="N11" s="113">
        <f>SUMIFS(PAGOS!$E$3:$E$1048576,PAGOS!$A$3:$A$1048576,"&lt;&gt;INGRESO*",PAGOS!$A$3:$A$1048576,"&lt;&gt;EGRESO*",PAGOS!$D$3:$D$1048576,+MID('03'!B11,6,3)*1)</f>
        <v>1000</v>
      </c>
      <c r="O11" s="113">
        <f t="shared" si="0"/>
        <v>0</v>
      </c>
      <c r="P11" s="113">
        <f>SUMIFS(PAGOS!$H$3:$H$1048576,PAGOS!$A$3:$A$1048576,"&lt;&gt;INGRESO*",PAGOS!$A$3:$A$1048576,"&lt;&gt;EGRESO*",PAGOS!$D$3:$D$1048576,+MID('03'!B11,6,3)*1)</f>
        <v>200</v>
      </c>
      <c r="Q11" s="113">
        <f t="shared" si="1"/>
        <v>0</v>
      </c>
    </row>
    <row r="12" spans="1:17" x14ac:dyDescent="0.3">
      <c r="A12" s="47" t="str">
        <v>0006</v>
      </c>
      <c r="B12" s="47" t="s">
        <v>330</v>
      </c>
      <c r="C12" s="47" t="s">
        <v>14</v>
      </c>
      <c r="D12" s="43">
        <v>45704</v>
      </c>
      <c r="E12" s="170">
        <v>500</v>
      </c>
      <c r="F12" s="47">
        <v>5</v>
      </c>
      <c r="G12" s="11">
        <v>100</v>
      </c>
      <c r="H12" s="11">
        <v>10</v>
      </c>
      <c r="I12" s="202">
        <v>110</v>
      </c>
      <c r="J12" s="11">
        <v>500</v>
      </c>
      <c r="K12" s="11">
        <v>50</v>
      </c>
      <c r="L12" s="11">
        <v>550</v>
      </c>
      <c r="N12" s="113">
        <f>SUMIFS(PAGOS!$E$3:$E$1048576,PAGOS!$A$3:$A$1048576,"&lt;&gt;INGRESO*",PAGOS!$A$3:$A$1048576,"&lt;&gt;EGRESO*",PAGOS!$D$3:$D$1048576,+MID('03'!B12,6,3)*1)</f>
        <v>300</v>
      </c>
      <c r="O12" s="113">
        <f t="shared" si="0"/>
        <v>200</v>
      </c>
      <c r="P12" s="113">
        <f>SUMIFS(PAGOS!$H$3:$H$1048576,PAGOS!$A$3:$A$1048576,"&lt;&gt;INGRESO*",PAGOS!$A$3:$A$1048576,"&lt;&gt;EGRESO*",PAGOS!$D$3:$D$1048576,+MID('03'!B12,6,3)*1)</f>
        <v>30</v>
      </c>
      <c r="Q12" s="113">
        <f t="shared" si="1"/>
        <v>20</v>
      </c>
    </row>
    <row r="13" spans="1:17" x14ac:dyDescent="0.3">
      <c r="A13" s="47" t="str">
        <v>0007</v>
      </c>
      <c r="B13" s="47" t="s">
        <v>377</v>
      </c>
      <c r="C13" s="47" t="s">
        <v>14</v>
      </c>
      <c r="D13" s="43">
        <v>45792</v>
      </c>
      <c r="E13" s="170">
        <v>1200</v>
      </c>
      <c r="F13" s="47">
        <v>12</v>
      </c>
      <c r="G13" s="11">
        <v>100</v>
      </c>
      <c r="H13" s="11">
        <v>24</v>
      </c>
      <c r="I13" s="202">
        <v>124</v>
      </c>
      <c r="J13" s="11">
        <v>1200</v>
      </c>
      <c r="K13" s="11">
        <v>288</v>
      </c>
      <c r="L13" s="11">
        <v>1488</v>
      </c>
      <c r="N13" s="113">
        <f>SUMIFS(PAGOS!$E$3:$E$1048576,PAGOS!$A$3:$A$1048576,"&lt;&gt;INGRESO*",PAGOS!$A$3:$A$1048576,"&lt;&gt;EGRESO*",PAGOS!$D$3:$D$1048576,+MID('03'!B13,6,3)*1)</f>
        <v>200</v>
      </c>
      <c r="O13" s="113">
        <f t="shared" ref="O13" si="2">E13-N13</f>
        <v>1000</v>
      </c>
      <c r="P13" s="113">
        <f>SUMIFS(PAGOS!$H$3:$H$1048576,PAGOS!$A$3:$A$1048576,"&lt;&gt;INGRESO*",PAGOS!$A$3:$A$1048576,"&lt;&gt;EGRESO*",PAGOS!$D$3:$D$1048576,+MID('03'!B13,6,3)*1)</f>
        <v>48</v>
      </c>
      <c r="Q13" s="113">
        <f t="shared" ref="Q13" si="3">K13-P13</f>
        <v>240</v>
      </c>
    </row>
    <row r="16" spans="1:17" x14ac:dyDescent="0.3">
      <c r="I16" s="162"/>
    </row>
    <row r="17" spans="9:9" x14ac:dyDescent="0.3">
      <c r="I17" s="162"/>
    </row>
    <row r="18" spans="9:9" x14ac:dyDescent="0.3">
      <c r="I18" s="162"/>
    </row>
    <row r="19" spans="9:9" x14ac:dyDescent="0.3">
      <c r="I19" s="162"/>
    </row>
    <row r="23" spans="9:9" x14ac:dyDescent="0.3">
      <c r="I23" s="162"/>
    </row>
    <row r="24" spans="9:9" x14ac:dyDescent="0.3">
      <c r="I24" s="162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R7" sqref="R7"/>
    </sheetView>
  </sheetViews>
  <sheetFormatPr baseColWidth="10" defaultColWidth="11.5546875" defaultRowHeight="14.4" x14ac:dyDescent="0.3"/>
  <cols>
    <col min="1" max="1" width="14.33203125" bestFit="1" customWidth="1"/>
    <col min="2" max="2" width="12" style="10" bestFit="1" customWidth="1"/>
    <col min="3" max="3" width="19.88671875" customWidth="1"/>
    <col min="4" max="4" width="10.5546875" bestFit="1" customWidth="1"/>
    <col min="5" max="5" width="11" customWidth="1"/>
    <col min="6" max="6" width="9.33203125" bestFit="1" customWidth="1"/>
    <col min="7" max="7" width="9.6640625" bestFit="1" customWidth="1"/>
    <col min="8" max="8" width="7.88671875" bestFit="1" customWidth="1"/>
    <col min="9" max="9" width="8.88671875" style="132" customWidth="1"/>
    <col min="10" max="10" width="13.6640625" bestFit="1" customWidth="1"/>
    <col min="11" max="11" width="11.109375" bestFit="1" customWidth="1"/>
    <col min="12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2750</v>
      </c>
      <c r="H3" s="135" t="s">
        <v>178</v>
      </c>
      <c r="I3" s="153">
        <f>SUM($P$7:$P$1048576)</f>
        <v>118</v>
      </c>
      <c r="J3" s="135" t="s">
        <v>179</v>
      </c>
      <c r="K3" s="154">
        <f>G3+I3</f>
        <v>2868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4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13">"000"&amp;_xlfn.SEQUENCE(COUNTA(C7:C1048576))</f>
        <v>0001</v>
      </c>
      <c r="B7" s="164">
        <v>3</v>
      </c>
      <c r="C7" s="47" t="s">
        <v>15</v>
      </c>
      <c r="D7" s="43">
        <v>44849</v>
      </c>
      <c r="E7" s="165">
        <v>200</v>
      </c>
      <c r="F7" s="47">
        <v>1</v>
      </c>
      <c r="G7" s="165">
        <v>200</v>
      </c>
      <c r="H7" s="165">
        <v>4</v>
      </c>
      <c r="I7" s="166">
        <v>204</v>
      </c>
      <c r="J7" s="165">
        <v>200</v>
      </c>
      <c r="K7" s="165">
        <v>4</v>
      </c>
      <c r="L7" s="165">
        <v>204</v>
      </c>
      <c r="N7" s="113">
        <f>SUMIFS(PAGOS!$E$3:$E$1048576,PAGOS!$A$3:$A$1048576,"&lt;&gt;INGRESO*",PAGOS!$A$3:$A$1048576,"&lt;&gt;EGRESO*",PAGOS!$D$3:$D$1048576,B7)</f>
        <v>200</v>
      </c>
      <c r="O7" s="113">
        <f t="shared" ref="O7:O13" si="0">E7-N7</f>
        <v>0</v>
      </c>
      <c r="P7" s="113">
        <f>SUMIFS(PAGOS!$H$3:$H$1048576,PAGOS!$A$3:$A$1048576,"&lt;&gt;INGRESO*",PAGOS!$A$3:$A$1048576,"&lt;&gt;EGRESO*",PAGOS!$D$3:$D$1048576,B7)</f>
        <v>4</v>
      </c>
      <c r="Q7" s="113">
        <f t="shared" ref="Q7:Q13" si="1">K7-P7</f>
        <v>0</v>
      </c>
    </row>
    <row r="8" spans="1:17" x14ac:dyDescent="0.3">
      <c r="A8" s="47" t="str">
        <v>0002</v>
      </c>
      <c r="B8" s="164">
        <v>13</v>
      </c>
      <c r="C8" s="47" t="s">
        <v>15</v>
      </c>
      <c r="D8" s="43">
        <v>45000</v>
      </c>
      <c r="E8" s="165">
        <v>400</v>
      </c>
      <c r="F8" s="47">
        <v>4</v>
      </c>
      <c r="G8" s="165">
        <v>100</v>
      </c>
      <c r="H8" s="165">
        <v>8</v>
      </c>
      <c r="I8" s="166">
        <v>108</v>
      </c>
      <c r="J8" s="165">
        <v>400</v>
      </c>
      <c r="K8" s="165">
        <v>32</v>
      </c>
      <c r="L8" s="165">
        <v>432</v>
      </c>
      <c r="N8" s="113">
        <f>SUMIFS(PAGOS!$E$3:$E$1048576,PAGOS!$A$3:$A$1048576,"&lt;&gt;INGRESO*",PAGOS!$A$3:$A$1048576,"&lt;&gt;EGRESO*",PAGOS!$D$3:$D$1048576,B8)</f>
        <v>400</v>
      </c>
      <c r="O8" s="113">
        <f t="shared" si="0"/>
        <v>0</v>
      </c>
      <c r="P8" s="113">
        <f>SUMIFS(PAGOS!$H$3:$H$1048576,PAGOS!$A$3:$A$1048576,"&lt;&gt;INGRESO*",PAGOS!$A$3:$A$1048576,"&lt;&gt;EGRESO*",PAGOS!$D$3:$D$1048576,B8)</f>
        <v>32</v>
      </c>
      <c r="Q8" s="113">
        <f t="shared" si="1"/>
        <v>0</v>
      </c>
    </row>
    <row r="9" spans="1:17" x14ac:dyDescent="0.3">
      <c r="A9" s="47" t="str">
        <v>0003</v>
      </c>
      <c r="B9" s="164">
        <v>23</v>
      </c>
      <c r="C9" s="47" t="s">
        <v>15</v>
      </c>
      <c r="D9" s="43">
        <v>45129</v>
      </c>
      <c r="E9" s="165">
        <v>200</v>
      </c>
      <c r="F9" s="47">
        <v>1</v>
      </c>
      <c r="G9" s="165">
        <v>200</v>
      </c>
      <c r="H9" s="165">
        <v>4</v>
      </c>
      <c r="I9" s="166">
        <v>204</v>
      </c>
      <c r="J9" s="165">
        <v>200</v>
      </c>
      <c r="K9" s="165">
        <v>4</v>
      </c>
      <c r="L9" s="165">
        <v>204</v>
      </c>
      <c r="N9" s="113">
        <f>SUMIFS(PAGOS!$E$3:$E$1048576,PAGOS!$A$3:$A$1048576,"&lt;&gt;INGRESO*",PAGOS!$A$3:$A$1048576,"&lt;&gt;EGRESO*",PAGOS!$D$3:$D$1048576,B9)</f>
        <v>200</v>
      </c>
      <c r="O9" s="113">
        <f t="shared" si="0"/>
        <v>0</v>
      </c>
      <c r="P9" s="113">
        <f>SUMIFS(PAGOS!$H$3:$H$1048576,PAGOS!$A$3:$A$1048576,"&lt;&gt;INGRESO*",PAGOS!$A$3:$A$1048576,"&lt;&gt;EGRESO*",PAGOS!$D$3:$D$1048576,B9)</f>
        <v>4</v>
      </c>
      <c r="Q9" s="113">
        <f t="shared" si="1"/>
        <v>0</v>
      </c>
    </row>
    <row r="10" spans="1:17" x14ac:dyDescent="0.3">
      <c r="A10" s="47" t="str">
        <v>0004</v>
      </c>
      <c r="B10" s="164">
        <v>26</v>
      </c>
      <c r="C10" s="47" t="s">
        <v>15</v>
      </c>
      <c r="D10" s="43">
        <v>45184</v>
      </c>
      <c r="E10" s="165">
        <v>100</v>
      </c>
      <c r="F10" s="47">
        <v>1</v>
      </c>
      <c r="G10" s="165">
        <v>100</v>
      </c>
      <c r="H10" s="165">
        <v>2</v>
      </c>
      <c r="I10" s="166">
        <v>102</v>
      </c>
      <c r="J10" s="165">
        <v>100</v>
      </c>
      <c r="K10" s="165">
        <v>2</v>
      </c>
      <c r="L10" s="165">
        <v>102</v>
      </c>
      <c r="N10" s="113">
        <f>SUMIFS(PAGOS!$E$3:$E$1048576,PAGOS!$A$3:$A$1048576,"&lt;&gt;INGRESO*",PAGOS!$A$3:$A$1048576,"&lt;&gt;EGRESO*",PAGOS!$D$3:$D$1048576,B10)</f>
        <v>100</v>
      </c>
      <c r="O10" s="113">
        <f t="shared" si="0"/>
        <v>0</v>
      </c>
      <c r="P10" s="113">
        <f>SUMIFS(PAGOS!$H$3:$H$1048576,PAGOS!$A$3:$A$1048576,"&lt;&gt;INGRESO*",PAGOS!$A$3:$A$1048576,"&lt;&gt;EGRESO*",PAGOS!$D$3:$D$1048576,B10)</f>
        <v>2</v>
      </c>
      <c r="Q10" s="113">
        <f t="shared" si="1"/>
        <v>0</v>
      </c>
    </row>
    <row r="11" spans="1:17" x14ac:dyDescent="0.3">
      <c r="A11" s="47" t="str">
        <v>0005</v>
      </c>
      <c r="B11" s="41" t="s">
        <v>211</v>
      </c>
      <c r="C11" s="47" t="s">
        <v>15</v>
      </c>
      <c r="D11" s="43">
        <v>45427</v>
      </c>
      <c r="E11" s="170">
        <v>400</v>
      </c>
      <c r="F11" s="47">
        <v>4</v>
      </c>
      <c r="G11" s="203">
        <v>100</v>
      </c>
      <c r="H11" s="203">
        <v>8</v>
      </c>
      <c r="I11" s="204">
        <v>108</v>
      </c>
      <c r="J11" s="203">
        <v>400</v>
      </c>
      <c r="K11" s="203">
        <v>32</v>
      </c>
      <c r="L11" s="170">
        <v>432</v>
      </c>
      <c r="N11" s="113">
        <f>SUMIFS(PAGOS!$E$3:$E$1048576,PAGOS!$A$3:$A$1048576,"&lt;&gt;INGRESO*",PAGOS!$A$3:$A$1048576,"&lt;&gt;EGRESO*",PAGOS!$D$3:$D$1048576,+MID('04'!B11,6,3)*1)</f>
        <v>400</v>
      </c>
      <c r="O11" s="113">
        <f t="shared" si="0"/>
        <v>0</v>
      </c>
      <c r="P11" s="113">
        <f>SUMIFS(PAGOS!$H$3:$H$1048576,PAGOS!$A$3:$A$1048576,"&lt;&gt;INGRESO*",PAGOS!$A$3:$A$1048576,"&lt;&gt;EGRESO*",PAGOS!$D$3:$D$1048576,+MID('04'!B11,6,3)*1)</f>
        <v>32</v>
      </c>
      <c r="Q11" s="113">
        <f t="shared" si="1"/>
        <v>0</v>
      </c>
    </row>
    <row r="12" spans="1:17" x14ac:dyDescent="0.3">
      <c r="A12" s="47" t="str">
        <v>0006</v>
      </c>
      <c r="B12" s="41" t="s">
        <v>241</v>
      </c>
      <c r="C12" s="47" t="s">
        <v>15</v>
      </c>
      <c r="D12" s="43">
        <v>45580</v>
      </c>
      <c r="E12" s="170">
        <v>250</v>
      </c>
      <c r="F12" s="47">
        <v>4</v>
      </c>
      <c r="G12" s="165">
        <v>62.5</v>
      </c>
      <c r="H12" s="165">
        <v>5</v>
      </c>
      <c r="I12" s="204">
        <v>67.5</v>
      </c>
      <c r="J12" s="165">
        <v>250</v>
      </c>
      <c r="K12" s="165">
        <v>20</v>
      </c>
      <c r="L12" s="170">
        <v>270</v>
      </c>
      <c r="N12" s="113">
        <f>SUMIFS(PAGOS!$E$3:$E$1048576,PAGOS!$A$3:$A$1048576,"&lt;&gt;INGRESO*",PAGOS!$A$3:$A$1048576,"&lt;&gt;EGRESO*",PAGOS!$D$3:$D$1048576,+MID('04'!B12,6,3)*1)</f>
        <v>250</v>
      </c>
      <c r="O12" s="113">
        <f t="shared" si="0"/>
        <v>0</v>
      </c>
      <c r="P12" s="113">
        <f>SUMIFS(PAGOS!$H$3:$H$1048576,PAGOS!$A$3:$A$1048576,"&lt;&gt;INGRESO*",PAGOS!$A$3:$A$1048576,"&lt;&gt;EGRESO*",PAGOS!$D$3:$D$1048576,+MID('04'!B12,6,3)*1)</f>
        <v>20</v>
      </c>
      <c r="Q12" s="113">
        <f t="shared" si="1"/>
        <v>0</v>
      </c>
    </row>
    <row r="13" spans="1:17" x14ac:dyDescent="0.3">
      <c r="A13" s="47" t="str">
        <v>0007</v>
      </c>
      <c r="B13" s="41" t="s">
        <v>343</v>
      </c>
      <c r="C13" s="47" t="s">
        <v>15</v>
      </c>
      <c r="D13" s="43">
        <v>45758</v>
      </c>
      <c r="E13" s="170">
        <v>1200</v>
      </c>
      <c r="F13" s="47">
        <v>1</v>
      </c>
      <c r="G13" s="165">
        <v>1200</v>
      </c>
      <c r="H13" s="165">
        <v>24</v>
      </c>
      <c r="I13" s="204">
        <v>1224</v>
      </c>
      <c r="J13" s="165">
        <v>1200</v>
      </c>
      <c r="K13" s="165">
        <v>24</v>
      </c>
      <c r="L13" s="170">
        <v>1224</v>
      </c>
      <c r="N13" s="113">
        <f>SUMIFS(PAGOS!$E$3:$E$1048576,PAGOS!$A$3:$A$1048576,"&lt;&gt;INGRESO*",PAGOS!$A$3:$A$1048576,"&lt;&gt;EGRESO*",PAGOS!$D$3:$D$1048576,+MID('04'!B13,6,3)*1)</f>
        <v>1200</v>
      </c>
      <c r="O13" s="113">
        <f t="shared" si="0"/>
        <v>0</v>
      </c>
      <c r="P13" s="113">
        <f>SUMIFS(PAGOS!$H$3:$H$1048576,PAGOS!$A$3:$A$1048576,"&lt;&gt;INGRESO*",PAGOS!$A$3:$A$1048576,"&lt;&gt;EGRESO*",PAGOS!$D$3:$D$1048576,+MID('04'!B13,6,3)*1)</f>
        <v>24</v>
      </c>
      <c r="Q13" s="113">
        <f t="shared" si="1"/>
        <v>0</v>
      </c>
    </row>
    <row r="17" spans="9:9" x14ac:dyDescent="0.3">
      <c r="I17"/>
    </row>
    <row r="18" spans="9:9" x14ac:dyDescent="0.3">
      <c r="I18"/>
    </row>
  </sheetData>
  <pageMargins left="0.7" right="0.7" top="0.75" bottom="0.75" header="0.3" footer="0.3"/>
  <pageSetup scale="87" fitToHeight="0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R7" sqref="R7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62" bestFit="1" customWidth="1"/>
    <col min="8" max="8" width="7.88671875" style="162" bestFit="1" customWidth="1"/>
    <col min="9" max="9" width="9.109375" style="163" customWidth="1"/>
    <col min="10" max="10" width="8.44140625" style="162" bestFit="1" customWidth="1"/>
    <col min="11" max="12" width="11.33203125" style="162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2050</v>
      </c>
      <c r="H3" s="135" t="s">
        <v>178</v>
      </c>
      <c r="I3" s="153">
        <f>SUM($P$7:$P$1048576)</f>
        <v>92</v>
      </c>
      <c r="J3" s="135" t="s">
        <v>179</v>
      </c>
      <c r="K3" s="154">
        <f>G3+I3</f>
        <v>2142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13">"000"&amp;_xlfn.SEQUENCE(COUNTA(C7:C1048576))</f>
        <v>0001</v>
      </c>
      <c r="B7" s="164">
        <v>17</v>
      </c>
      <c r="C7" s="47" t="s">
        <v>16</v>
      </c>
      <c r="D7" s="43">
        <v>45061</v>
      </c>
      <c r="E7" s="165">
        <v>200</v>
      </c>
      <c r="F7" s="47">
        <v>2</v>
      </c>
      <c r="G7" s="165">
        <v>100</v>
      </c>
      <c r="H7" s="165">
        <v>4</v>
      </c>
      <c r="I7" s="166">
        <v>104</v>
      </c>
      <c r="J7" s="165">
        <v>200</v>
      </c>
      <c r="K7" s="165">
        <v>8</v>
      </c>
      <c r="L7" s="165">
        <v>208</v>
      </c>
      <c r="N7" s="113">
        <f>SUMIFS(PAGOS!$E$3:$E$1048576,PAGOS!$A$3:$A$1048576,"&lt;&gt;INGRESO*",PAGOS!$A$3:$A$1048576,"&lt;&gt;EGRESO*",PAGOS!$D$3:$D$1048576,B7)</f>
        <v>200</v>
      </c>
      <c r="O7" s="113">
        <f>E7-N7</f>
        <v>0</v>
      </c>
      <c r="P7" s="113">
        <f>SUMIFS(PAGOS!$H$3:$H$1048576,PAGOS!$A$3:$A$1048576,"&lt;&gt;INGRESO*",PAGOS!$A$3:$A$1048576,"&lt;&gt;EGRESO*",PAGOS!$D$3:$D$1048576,B7)</f>
        <v>8</v>
      </c>
      <c r="Q7" s="113">
        <f>K7-P7</f>
        <v>0</v>
      </c>
    </row>
    <row r="8" spans="1:17" x14ac:dyDescent="0.3">
      <c r="A8" s="47" t="str">
        <v>0002</v>
      </c>
      <c r="B8" s="164">
        <v>24</v>
      </c>
      <c r="C8" s="47" t="s">
        <v>16</v>
      </c>
      <c r="D8" s="43">
        <v>45153</v>
      </c>
      <c r="E8" s="165">
        <v>200</v>
      </c>
      <c r="F8" s="47">
        <v>1</v>
      </c>
      <c r="G8" s="165">
        <v>200</v>
      </c>
      <c r="H8" s="165">
        <v>4</v>
      </c>
      <c r="I8" s="166">
        <v>204</v>
      </c>
      <c r="J8" s="165">
        <v>200</v>
      </c>
      <c r="K8" s="165">
        <v>4</v>
      </c>
      <c r="L8" s="165">
        <v>204</v>
      </c>
      <c r="N8" s="113">
        <f>SUMIFS(PAGOS!$E$3:$E$1048576,PAGOS!$A$3:$A$1048576,"&lt;&gt;INGRESO*",PAGOS!$A$3:$A$1048576,"&lt;&gt;EGRESO*",PAGOS!$D$3:$D$1048576,B8)</f>
        <v>200</v>
      </c>
      <c r="O8" s="113">
        <f>E8-N8</f>
        <v>0</v>
      </c>
      <c r="P8" s="113">
        <f>SUMIFS(PAGOS!$H$3:$H$1048576,PAGOS!$A$3:$A$1048576,"&lt;&gt;INGRESO*",PAGOS!$A$3:$A$1048576,"&lt;&gt;EGRESO*",PAGOS!$D$3:$D$1048576,B8)</f>
        <v>4</v>
      </c>
      <c r="Q8" s="113">
        <f>K8-P8</f>
        <v>0</v>
      </c>
    </row>
    <row r="9" spans="1:17" x14ac:dyDescent="0.3">
      <c r="A9" s="47" t="str">
        <v>0003</v>
      </c>
      <c r="B9" s="41" t="s">
        <v>216</v>
      </c>
      <c r="C9" s="47" t="s">
        <v>16</v>
      </c>
      <c r="D9" s="43">
        <v>45458</v>
      </c>
      <c r="E9" s="170">
        <v>300</v>
      </c>
      <c r="F9" s="47">
        <v>3</v>
      </c>
      <c r="G9" s="165">
        <v>100</v>
      </c>
      <c r="H9" s="165">
        <v>6</v>
      </c>
      <c r="I9" s="166">
        <v>106</v>
      </c>
      <c r="J9" s="165">
        <v>300</v>
      </c>
      <c r="K9" s="165">
        <v>18</v>
      </c>
      <c r="L9" s="170">
        <v>318</v>
      </c>
      <c r="N9" s="113">
        <f>SUMIFS(PAGOS!$E$3:$E$1048576,PAGOS!$A$3:$A$1048576,"&lt;&gt;INGRESO*",PAGOS!$A$3:$A$1048576,"&lt;&gt;EGRESO*",PAGOS!$D$3:$D$1048576,+MID('05'!B9,6,3)*1)</f>
        <v>300</v>
      </c>
      <c r="O9" s="113">
        <f>E9-N9</f>
        <v>0</v>
      </c>
      <c r="P9" s="113">
        <f>SUMIFS(PAGOS!$H$3:$H$1048576,PAGOS!$A$3:$A$1048576,"&lt;&gt;INGRESO*",PAGOS!$A$3:$A$1048576,"&lt;&gt;EGRESO*",PAGOS!$D$3:$D$1048576,+MID('05'!B9,6,3)*1)</f>
        <v>18</v>
      </c>
      <c r="Q9" s="113">
        <f>K9-P9</f>
        <v>0</v>
      </c>
    </row>
    <row r="10" spans="1:17" x14ac:dyDescent="0.3">
      <c r="A10" s="47" t="str">
        <v>0004</v>
      </c>
      <c r="B10" s="41" t="s">
        <v>242</v>
      </c>
      <c r="C10" s="47" t="s">
        <v>16</v>
      </c>
      <c r="D10" s="43">
        <v>45580</v>
      </c>
      <c r="E10" s="170">
        <v>250</v>
      </c>
      <c r="F10" s="47">
        <v>4</v>
      </c>
      <c r="G10" s="165">
        <v>62.5</v>
      </c>
      <c r="H10" s="165">
        <v>5</v>
      </c>
      <c r="I10" s="166">
        <v>67.5</v>
      </c>
      <c r="J10" s="165">
        <v>250</v>
      </c>
      <c r="K10" s="165">
        <v>20</v>
      </c>
      <c r="L10" s="170">
        <v>270</v>
      </c>
      <c r="N10" s="113">
        <f>SUMIFS(PAGOS!$E$3:$E$1048576,PAGOS!$A$3:$A$1048576,"&lt;&gt;INGRESO*",PAGOS!$A$3:$A$1048576,"&lt;&gt;EGRESO*",PAGOS!$D$3:$D$1048576,+MID('05'!B10,6,3)*1)</f>
        <v>250</v>
      </c>
      <c r="O10" s="113">
        <f>E10-N10</f>
        <v>0</v>
      </c>
      <c r="P10" s="113">
        <f>SUMIFS(PAGOS!$H$3:$H$1048576,PAGOS!$A$3:$A$1048576,"&lt;&gt;INGRESO*",PAGOS!$A$3:$A$1048576,"&lt;&gt;EGRESO*",PAGOS!$D$3:$D$1048576,+MID('05'!B10,6,3)*1)</f>
        <v>20</v>
      </c>
      <c r="Q10" s="113">
        <f>K10-P10</f>
        <v>0</v>
      </c>
    </row>
    <row r="11" spans="1:17" x14ac:dyDescent="0.3">
      <c r="A11" s="47" t="str">
        <v>0005</v>
      </c>
      <c r="B11" s="41" t="s">
        <v>331</v>
      </c>
      <c r="C11" s="47" t="s">
        <v>16</v>
      </c>
      <c r="D11" s="43">
        <v>45704</v>
      </c>
      <c r="E11" s="170">
        <v>300</v>
      </c>
      <c r="F11" s="47">
        <v>3</v>
      </c>
      <c r="G11" s="11">
        <v>100</v>
      </c>
      <c r="H11" s="11">
        <v>6</v>
      </c>
      <c r="I11" s="202">
        <v>106</v>
      </c>
      <c r="J11" s="11">
        <v>300</v>
      </c>
      <c r="K11" s="11">
        <v>18</v>
      </c>
      <c r="L11" s="11">
        <v>318</v>
      </c>
      <c r="N11" s="113">
        <f>SUMIFS(PAGOS!$E$3:$E$1048576,PAGOS!$A$3:$A$1048576,"&lt;&gt;INGRESO*",PAGOS!$A$3:$A$1048576,"&lt;&gt;EGRESO*",PAGOS!$D$3:$D$1048576,+MID('05'!B11,6,3)*1)</f>
        <v>200</v>
      </c>
      <c r="O11" s="113">
        <f>E11-N11</f>
        <v>100</v>
      </c>
      <c r="P11" s="113">
        <f>SUMIFS(PAGOS!$H$3:$H$1048576,PAGOS!$A$3:$A$1048576,"&lt;&gt;INGRESO*",PAGOS!$A$3:$A$1048576,"&lt;&gt;EGRESO*",PAGOS!$D$3:$D$1048576,+MID('05'!B11,6,3)*1)</f>
        <v>12</v>
      </c>
      <c r="Q11" s="113">
        <f>K11-P11</f>
        <v>6</v>
      </c>
    </row>
    <row r="12" spans="1:17" x14ac:dyDescent="0.3">
      <c r="A12" s="47" t="str">
        <v>0006</v>
      </c>
      <c r="B12" s="41" t="s">
        <v>361</v>
      </c>
      <c r="C12" s="47" t="s">
        <v>16</v>
      </c>
      <c r="D12" s="43">
        <v>45764</v>
      </c>
      <c r="E12" s="170">
        <v>500</v>
      </c>
      <c r="F12" s="47">
        <v>5</v>
      </c>
      <c r="G12" s="11">
        <v>100</v>
      </c>
      <c r="H12" s="11">
        <v>10</v>
      </c>
      <c r="I12" s="202">
        <v>110</v>
      </c>
      <c r="J12" s="11">
        <v>500</v>
      </c>
      <c r="K12" s="11">
        <v>50</v>
      </c>
      <c r="L12" s="11">
        <v>550</v>
      </c>
      <c r="N12" s="113">
        <f>SUMIFS(PAGOS!$E$3:$E$1048576,PAGOS!$A$3:$A$1048576,"&lt;&gt;INGRESO*",PAGOS!$A$3:$A$1048576,"&lt;&gt;EGRESO*",PAGOS!$D$3:$D$1048576,+MID('05'!B12,6,3)*1)</f>
        <v>300</v>
      </c>
      <c r="O12" s="113">
        <f t="shared" ref="O12:O13" si="0">E12-N12</f>
        <v>200</v>
      </c>
      <c r="P12" s="113">
        <f>SUMIFS(PAGOS!$H$3:$H$1048576,PAGOS!$A$3:$A$1048576,"&lt;&gt;INGRESO*",PAGOS!$A$3:$A$1048576,"&lt;&gt;EGRESO*",PAGOS!$D$3:$D$1048576,+MID('05'!B12,6,3)*1)</f>
        <v>30</v>
      </c>
      <c r="Q12" s="113">
        <f t="shared" ref="Q12:Q13" si="1">K12-P12</f>
        <v>20</v>
      </c>
    </row>
    <row r="13" spans="1:17" x14ac:dyDescent="0.3">
      <c r="A13" s="47" t="str">
        <v>0007</v>
      </c>
      <c r="B13" s="41" t="s">
        <v>427</v>
      </c>
      <c r="C13" s="47" t="s">
        <v>16</v>
      </c>
      <c r="D13" s="43">
        <v>45860</v>
      </c>
      <c r="E13" s="170">
        <v>300</v>
      </c>
      <c r="F13" s="47">
        <v>2</v>
      </c>
      <c r="G13" s="11">
        <v>150</v>
      </c>
      <c r="H13" s="11">
        <v>6</v>
      </c>
      <c r="I13" s="202">
        <v>156</v>
      </c>
      <c r="J13" s="11">
        <v>300</v>
      </c>
      <c r="K13" s="11">
        <v>12</v>
      </c>
      <c r="L13" s="11">
        <v>312</v>
      </c>
      <c r="N13" s="113">
        <f>SUMIFS(PAGOS!$E$3:$E$1048576,PAGOS!$A$3:$A$1048576,"&lt;&gt;INGRESO*",PAGOS!$A$3:$A$1048576,"&lt;&gt;EGRESO*",PAGOS!$D$3:$D$1048576,+MID('05'!B13,6,3)*1)</f>
        <v>0</v>
      </c>
      <c r="O13" s="113">
        <f t="shared" si="0"/>
        <v>300</v>
      </c>
      <c r="P13" s="113">
        <f>SUMIFS(PAGOS!$H$3:$H$1048576,PAGOS!$A$3:$A$1048576,"&lt;&gt;INGRESO*",PAGOS!$A$3:$A$1048576,"&lt;&gt;EGRESO*",PAGOS!$D$3:$D$1048576,+MID('05'!B13,6,3)*1)</f>
        <v>0</v>
      </c>
      <c r="Q13" s="113">
        <f t="shared" si="1"/>
        <v>12</v>
      </c>
    </row>
    <row r="16" spans="1:17" x14ac:dyDescent="0.3">
      <c r="I16" s="162"/>
    </row>
    <row r="17" spans="9:9" x14ac:dyDescent="0.3">
      <c r="I17" s="162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8"/>
  <sheetViews>
    <sheetView zoomScaleNormal="100" workbookViewId="0">
      <selection activeCell="R7" sqref="R7"/>
    </sheetView>
  </sheetViews>
  <sheetFormatPr baseColWidth="10" defaultColWidth="11.5546875" defaultRowHeight="14.4" x14ac:dyDescent="0.3"/>
  <cols>
    <col min="1" max="1" width="14.33203125" bestFit="1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3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2760</v>
      </c>
      <c r="H3" s="135" t="s">
        <v>178</v>
      </c>
      <c r="I3" s="153">
        <f>SUM($P$7:$P$1048576)</f>
        <v>258.39999999999998</v>
      </c>
      <c r="J3" s="135" t="s">
        <v>179</v>
      </c>
      <c r="K3" s="154">
        <f>G3+I3</f>
        <v>3018.4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13">"000"&amp;_xlfn.SEQUENCE(COUNTA(C7:C1048576))</f>
        <v>0001</v>
      </c>
      <c r="B7" s="164">
        <v>1</v>
      </c>
      <c r="C7" s="47" t="s">
        <v>17</v>
      </c>
      <c r="D7" s="43">
        <v>44788</v>
      </c>
      <c r="E7" s="165">
        <v>60</v>
      </c>
      <c r="F7" s="47">
        <v>2</v>
      </c>
      <c r="G7" s="165">
        <v>30</v>
      </c>
      <c r="H7" s="165">
        <v>1.2</v>
      </c>
      <c r="I7" s="166">
        <v>31.2</v>
      </c>
      <c r="J7" s="165">
        <v>60</v>
      </c>
      <c r="K7" s="165">
        <v>2.4</v>
      </c>
      <c r="L7" s="165">
        <v>62.4</v>
      </c>
      <c r="N7" s="113">
        <f>SUMIFS(PAGOS!$E$3:$E$1048576,PAGOS!$A$3:$A$1048576,"&lt;&gt;INGRESO*",PAGOS!$A$3:$A$1048576,"&lt;&gt;EGRESO*",PAGOS!$D$3:$D$1048576,B7)</f>
        <v>60</v>
      </c>
      <c r="O7" s="113">
        <f t="shared" ref="O7:O13" si="0">E7-N7</f>
        <v>0</v>
      </c>
      <c r="P7" s="113">
        <f>SUMIFS(PAGOS!$H$3:$H$1048576,PAGOS!$A$3:$A$1048576,"&lt;&gt;INGRESO*",PAGOS!$A$3:$A$1048576,"&lt;&gt;EGRESO*",PAGOS!$D$3:$D$1048576,B7)</f>
        <v>2.4</v>
      </c>
      <c r="Q7" s="113">
        <f t="shared" ref="Q7:Q13" si="1">K7-P7</f>
        <v>0</v>
      </c>
    </row>
    <row r="8" spans="1:17" x14ac:dyDescent="0.3">
      <c r="A8" s="47" t="str">
        <v>0002</v>
      </c>
      <c r="B8" s="164">
        <v>10</v>
      </c>
      <c r="C8" s="47" t="s">
        <v>17</v>
      </c>
      <c r="D8" s="43">
        <v>44941</v>
      </c>
      <c r="E8" s="165">
        <v>100</v>
      </c>
      <c r="F8" s="47">
        <v>4</v>
      </c>
      <c r="G8" s="165">
        <v>25</v>
      </c>
      <c r="H8" s="165">
        <v>2</v>
      </c>
      <c r="I8" s="166">
        <v>27</v>
      </c>
      <c r="J8" s="165">
        <v>100</v>
      </c>
      <c r="K8" s="165">
        <v>8</v>
      </c>
      <c r="L8" s="165">
        <v>108</v>
      </c>
      <c r="N8" s="113">
        <f>SUMIFS(PAGOS!$E$3:$E$1048576,PAGOS!$A$3:$A$1048576,"&lt;&gt;INGRESO*",PAGOS!$A$3:$A$1048576,"&lt;&gt;EGRESO*",PAGOS!$D$3:$D$1048576,B8)</f>
        <v>100</v>
      </c>
      <c r="O8" s="113">
        <f t="shared" si="0"/>
        <v>0</v>
      </c>
      <c r="P8" s="113">
        <f>SUMIFS(PAGOS!$H$3:$H$1048576,PAGOS!$A$3:$A$1048576,"&lt;&gt;INGRESO*",PAGOS!$A$3:$A$1048576,"&lt;&gt;EGRESO*",PAGOS!$D$3:$D$1048576,B8)</f>
        <v>8</v>
      </c>
      <c r="Q8" s="113">
        <f t="shared" si="1"/>
        <v>0</v>
      </c>
    </row>
    <row r="9" spans="1:17" x14ac:dyDescent="0.3">
      <c r="A9" s="47" t="str">
        <v>0003</v>
      </c>
      <c r="B9" s="164">
        <v>18</v>
      </c>
      <c r="C9" s="47" t="s">
        <v>17</v>
      </c>
      <c r="D9" s="43">
        <v>45061</v>
      </c>
      <c r="E9" s="165">
        <v>100</v>
      </c>
      <c r="F9" s="47">
        <v>4</v>
      </c>
      <c r="G9" s="165">
        <v>25</v>
      </c>
      <c r="H9" s="165">
        <v>2</v>
      </c>
      <c r="I9" s="166">
        <v>27</v>
      </c>
      <c r="J9" s="165">
        <v>100</v>
      </c>
      <c r="K9" s="165">
        <v>8</v>
      </c>
      <c r="L9" s="165">
        <v>108</v>
      </c>
      <c r="N9" s="113">
        <f>SUMIFS(PAGOS!$E$3:$E$1048576,PAGOS!$A$3:$A$1048576,"&lt;&gt;INGRESO*",PAGOS!$A$3:$A$1048576,"&lt;&gt;EGRESO*",PAGOS!$D$3:$D$1048576,B9)</f>
        <v>100</v>
      </c>
      <c r="O9" s="113">
        <f t="shared" si="0"/>
        <v>0</v>
      </c>
      <c r="P9" s="113">
        <f>SUMIFS(PAGOS!$H$3:$H$1048576,PAGOS!$A$3:$A$1048576,"&lt;&gt;INGRESO*",PAGOS!$A$3:$A$1048576,"&lt;&gt;EGRESO*",PAGOS!$D$3:$D$1048576,B9)</f>
        <v>8</v>
      </c>
      <c r="Q9" s="113">
        <f t="shared" si="1"/>
        <v>0</v>
      </c>
    </row>
    <row r="10" spans="1:17" x14ac:dyDescent="0.3">
      <c r="A10" s="47" t="str">
        <v>0004</v>
      </c>
      <c r="B10" s="164">
        <v>28</v>
      </c>
      <c r="C10" s="47" t="s">
        <v>17</v>
      </c>
      <c r="D10" s="43">
        <v>45214</v>
      </c>
      <c r="E10" s="165">
        <v>600</v>
      </c>
      <c r="F10" s="47">
        <v>4</v>
      </c>
      <c r="G10" s="165">
        <v>150</v>
      </c>
      <c r="H10" s="165">
        <v>12</v>
      </c>
      <c r="I10" s="166">
        <v>162</v>
      </c>
      <c r="J10" s="165">
        <v>600</v>
      </c>
      <c r="K10" s="165">
        <v>48</v>
      </c>
      <c r="L10" s="165">
        <v>648</v>
      </c>
      <c r="N10" s="113">
        <f>SUMIFS(PAGOS!$E$3:$E$1048576,PAGOS!$A$3:$A$1048576,"&lt;&gt;INGRESO*",PAGOS!$A$3:$A$1048576,"&lt;&gt;EGRESO*",PAGOS!$D$3:$D$1048576,B10)</f>
        <v>0</v>
      </c>
      <c r="O10" s="113">
        <f t="shared" si="0"/>
        <v>600</v>
      </c>
      <c r="P10" s="113">
        <f>SUMIFS(PAGOS!$H$3:$H$1048576,PAGOS!$A$3:$A$1048576,"&lt;&gt;INGRESO*",PAGOS!$A$3:$A$1048576,"&lt;&gt;EGRESO*",PAGOS!$D$3:$D$1048576,B10)</f>
        <v>48</v>
      </c>
      <c r="Q10" s="113">
        <f t="shared" si="1"/>
        <v>0</v>
      </c>
    </row>
    <row r="11" spans="1:17" x14ac:dyDescent="0.3">
      <c r="A11" s="47" t="str">
        <v>0005</v>
      </c>
      <c r="B11" s="164">
        <v>35</v>
      </c>
      <c r="C11" s="47" t="s">
        <v>17</v>
      </c>
      <c r="D11" s="43">
        <v>45337</v>
      </c>
      <c r="E11" s="165">
        <v>600</v>
      </c>
      <c r="F11" s="47">
        <v>5</v>
      </c>
      <c r="G11" s="165">
        <v>120</v>
      </c>
      <c r="H11" s="165">
        <v>12</v>
      </c>
      <c r="I11" s="166">
        <v>132</v>
      </c>
      <c r="J11" s="165">
        <v>600</v>
      </c>
      <c r="K11" s="165">
        <v>60</v>
      </c>
      <c r="L11" s="165">
        <v>660</v>
      </c>
      <c r="N11" s="113">
        <f>SUMIFS(PAGOS!$E$3:$E$1048576,PAGOS!$A$3:$A$1048576,"&lt;&gt;INGRESO*",PAGOS!$A$3:$A$1048576,"&lt;&gt;EGRESO*",PAGOS!$D$3:$D$1048576,B11)</f>
        <v>600</v>
      </c>
      <c r="O11" s="113">
        <f t="shared" si="0"/>
        <v>0</v>
      </c>
      <c r="P11" s="113">
        <f>SUMIFS(PAGOS!$H$3:$H$1048576,PAGOS!$A$3:$A$1048576,"&lt;&gt;INGRESO*",PAGOS!$A$3:$A$1048576,"&lt;&gt;EGRESO*",PAGOS!$D$3:$D$1048576,B11)</f>
        <v>60</v>
      </c>
      <c r="Q11" s="113">
        <f t="shared" si="1"/>
        <v>0</v>
      </c>
    </row>
    <row r="12" spans="1:17" x14ac:dyDescent="0.3">
      <c r="A12" s="47" t="str">
        <v>0006</v>
      </c>
      <c r="B12" s="41" t="s">
        <v>224</v>
      </c>
      <c r="C12" s="47" t="s">
        <v>17</v>
      </c>
      <c r="D12" s="43">
        <v>45519</v>
      </c>
      <c r="E12" s="170">
        <v>600</v>
      </c>
      <c r="F12" s="47">
        <v>6</v>
      </c>
      <c r="G12" s="165">
        <v>100</v>
      </c>
      <c r="H12" s="165">
        <v>12</v>
      </c>
      <c r="I12" s="166">
        <v>112</v>
      </c>
      <c r="J12" s="165">
        <v>600</v>
      </c>
      <c r="K12" s="165">
        <v>72</v>
      </c>
      <c r="L12" s="170">
        <v>672</v>
      </c>
      <c r="N12" s="113">
        <f>SUMIFS(PAGOS!$E$3:$E$1048576,PAGOS!$A$3:$A$1048576,"&lt;&gt;INGRESO*",PAGOS!$A$3:$A$1048576,"&lt;&gt;EGRESO*",PAGOS!$D$3:$D$1048576,+MID('06'!B12,6,3)*1)</f>
        <v>400</v>
      </c>
      <c r="O12" s="113">
        <f t="shared" si="0"/>
        <v>200</v>
      </c>
      <c r="P12" s="113">
        <f>SUMIFS(PAGOS!$H$3:$H$1048576,PAGOS!$A$3:$A$1048576,"&lt;&gt;INGRESO*",PAGOS!$A$3:$A$1048576,"&lt;&gt;EGRESO*",PAGOS!$D$3:$D$1048576,+MID('06'!B12,6,3)*1)</f>
        <v>48</v>
      </c>
      <c r="Q12" s="113">
        <f t="shared" si="1"/>
        <v>24</v>
      </c>
    </row>
    <row r="13" spans="1:17" x14ac:dyDescent="0.3">
      <c r="A13" s="47" t="str">
        <v>0007</v>
      </c>
      <c r="B13" s="41" t="s">
        <v>312</v>
      </c>
      <c r="C13" s="47" t="s">
        <v>17</v>
      </c>
      <c r="D13" s="43">
        <v>45672</v>
      </c>
      <c r="E13" s="170">
        <v>700</v>
      </c>
      <c r="F13" s="47">
        <v>7</v>
      </c>
      <c r="G13" s="165">
        <v>100</v>
      </c>
      <c r="H13" s="165">
        <v>14</v>
      </c>
      <c r="I13" s="166">
        <v>114</v>
      </c>
      <c r="J13" s="165">
        <v>700</v>
      </c>
      <c r="K13" s="165">
        <v>98</v>
      </c>
      <c r="L13" s="165">
        <v>798</v>
      </c>
      <c r="N13" s="113">
        <f>SUMIFS(PAGOS!$E$3:$E$1048576,PAGOS!$A$3:$A$1048576,"&lt;&gt;INGRESO*",PAGOS!$A$3:$A$1048576,"&lt;&gt;EGRESO*",PAGOS!$D$3:$D$1048576,+MID('06'!B13,6,3)*1)</f>
        <v>600</v>
      </c>
      <c r="O13" s="113">
        <f t="shared" si="0"/>
        <v>100</v>
      </c>
      <c r="P13" s="113">
        <f>SUMIFS(PAGOS!$H$3:$H$1048576,PAGOS!$A$3:$A$1048576,"&lt;&gt;INGRESO*",PAGOS!$A$3:$A$1048576,"&lt;&gt;EGRESO*",PAGOS!$D$3:$D$1048576,+MID('06'!B13,6,3)*1)</f>
        <v>84</v>
      </c>
      <c r="Q13" s="113">
        <f t="shared" si="1"/>
        <v>14</v>
      </c>
    </row>
    <row r="17" spans="9:9" x14ac:dyDescent="0.3">
      <c r="I17"/>
    </row>
    <row r="18" spans="9:9" x14ac:dyDescent="0.3">
      <c r="I18"/>
    </row>
  </sheetData>
  <pageMargins left="0.7" right="0.7" top="0.75" bottom="0.75" header="0.3" footer="0.3"/>
  <pageSetup scale="82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R7" sqref="R7"/>
    </sheetView>
  </sheetViews>
  <sheetFormatPr baseColWidth="10" defaultColWidth="11.5546875" defaultRowHeight="14.4" x14ac:dyDescent="0.3"/>
  <cols>
    <col min="1" max="1" width="14.33203125" bestFit="1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32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600</v>
      </c>
      <c r="H3" s="135" t="s">
        <v>178</v>
      </c>
      <c r="I3" s="153">
        <f>SUM($P$7:$P$1048576)</f>
        <v>42</v>
      </c>
      <c r="J3" s="135" t="s">
        <v>179</v>
      </c>
      <c r="K3" s="154">
        <f>G3+I3</f>
        <v>642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10">"000"&amp;_xlfn.SEQUENCE(COUNTA(C7:C1048576))</f>
        <v>0001</v>
      </c>
      <c r="B7" s="164">
        <v>12</v>
      </c>
      <c r="C7" s="47" t="s">
        <v>18</v>
      </c>
      <c r="D7" s="43">
        <v>44972</v>
      </c>
      <c r="E7" s="165">
        <v>100</v>
      </c>
      <c r="F7" s="47">
        <v>4</v>
      </c>
      <c r="G7" s="165">
        <v>25</v>
      </c>
      <c r="H7" s="165">
        <v>2</v>
      </c>
      <c r="I7" s="166">
        <v>27</v>
      </c>
      <c r="J7" s="165">
        <v>100</v>
      </c>
      <c r="K7" s="165">
        <v>8</v>
      </c>
      <c r="L7" s="165">
        <v>108</v>
      </c>
      <c r="N7" s="113">
        <f>SUMIFS(PAGOS!$E$3:$E$1048576,PAGOS!$A$3:$A$1048576,"&lt;&gt;INGRESO*",PAGOS!$A$3:$A$1048576,"&lt;&gt;EGRESO*",PAGOS!$D$3:$D$1048576,B7)</f>
        <v>100</v>
      </c>
      <c r="O7" s="113">
        <f>E7-N7</f>
        <v>0</v>
      </c>
      <c r="P7" s="113">
        <f>SUMIFS(PAGOS!$H$3:$H$1048576,PAGOS!$A$3:$A$1048576,"&lt;&gt;INGRESO*",PAGOS!$A$3:$A$1048576,"&lt;&gt;EGRESO*",PAGOS!$D$3:$D$1048576,B7)</f>
        <v>8</v>
      </c>
      <c r="Q7" s="113">
        <f>K7-P7</f>
        <v>0</v>
      </c>
    </row>
    <row r="8" spans="1:17" x14ac:dyDescent="0.3">
      <c r="A8" s="47" t="str">
        <v>0002</v>
      </c>
      <c r="B8" s="41" t="s">
        <v>202</v>
      </c>
      <c r="C8" s="47" t="s">
        <v>18</v>
      </c>
      <c r="D8" s="43">
        <v>45366</v>
      </c>
      <c r="E8" s="170">
        <v>100</v>
      </c>
      <c r="F8" s="47">
        <v>5</v>
      </c>
      <c r="G8" s="165">
        <v>20</v>
      </c>
      <c r="H8" s="165">
        <v>2</v>
      </c>
      <c r="I8" s="166">
        <v>22</v>
      </c>
      <c r="J8" s="165">
        <v>100</v>
      </c>
      <c r="K8" s="165">
        <v>10</v>
      </c>
      <c r="L8" s="165">
        <v>110</v>
      </c>
      <c r="N8" s="113">
        <f>SUMIFS(PAGOS!$E$3:$E$1048576,PAGOS!$A$3:$A$1048576,"&lt;&gt;INGRESO*",PAGOS!$A$3:$A$1048576,"&lt;&gt;EGRESO*",PAGOS!$D$3:$D$1048576,+MID('07'!B8,6,3)*1)</f>
        <v>100</v>
      </c>
      <c r="O8" s="113">
        <f>E8-N8</f>
        <v>0</v>
      </c>
      <c r="P8" s="113">
        <f>SUMIFS(PAGOS!$H$3:$H$1048576,PAGOS!$A$3:$A$1048576,"&lt;&gt;INGRESO*",PAGOS!$A$3:$A$1048576,"&lt;&gt;EGRESO*",PAGOS!$D$3:$D$1048576,+MID('07'!B8,6,3)*1)</f>
        <v>10</v>
      </c>
      <c r="Q8" s="113">
        <f>K8-P8</f>
        <v>0</v>
      </c>
    </row>
    <row r="9" spans="1:17" x14ac:dyDescent="0.3">
      <c r="A9" s="47" t="str">
        <v>0003</v>
      </c>
      <c r="B9" s="41" t="s">
        <v>276</v>
      </c>
      <c r="C9" s="47" t="s">
        <v>18</v>
      </c>
      <c r="D9" s="43">
        <v>45611</v>
      </c>
      <c r="E9" s="170">
        <v>200</v>
      </c>
      <c r="F9" s="47">
        <v>5</v>
      </c>
      <c r="G9" s="165">
        <v>40</v>
      </c>
      <c r="H9" s="165">
        <v>4</v>
      </c>
      <c r="I9" s="166">
        <v>44</v>
      </c>
      <c r="J9" s="165">
        <v>200</v>
      </c>
      <c r="K9" s="165">
        <v>20</v>
      </c>
      <c r="L9" s="165">
        <v>220</v>
      </c>
      <c r="N9" s="113">
        <f>SUMIFS(PAGOS!$E$3:$E$1048576,PAGOS!$A$3:$A$1048576,"&lt;&gt;INGRESO*",PAGOS!$A$3:$A$1048576,"&lt;&gt;EGRESO*",PAGOS!$D$3:$D$1048576,+MID('07'!B9,6,3)*1)</f>
        <v>120</v>
      </c>
      <c r="O9" s="113">
        <f>E9-N9</f>
        <v>80</v>
      </c>
      <c r="P9" s="113">
        <f>SUMIFS(PAGOS!$H$3:$H$1048576,PAGOS!$A$3:$A$1048576,"&lt;&gt;INGRESO*",PAGOS!$A$3:$A$1048576,"&lt;&gt;EGRESO*",PAGOS!$D$3:$D$1048576,+MID('07'!B9,6,3)*1)</f>
        <v>12</v>
      </c>
      <c r="Q9" s="113">
        <f>K9-P9</f>
        <v>8</v>
      </c>
    </row>
    <row r="10" spans="1:17" x14ac:dyDescent="0.3">
      <c r="A10" s="47" t="str">
        <v>0004</v>
      </c>
      <c r="B10" s="41" t="s">
        <v>349</v>
      </c>
      <c r="C10" s="47" t="s">
        <v>18</v>
      </c>
      <c r="D10" s="43">
        <v>45762</v>
      </c>
      <c r="E10" s="170">
        <v>200</v>
      </c>
      <c r="F10" s="47">
        <v>5</v>
      </c>
      <c r="G10" s="165">
        <v>40</v>
      </c>
      <c r="H10" s="165">
        <v>4</v>
      </c>
      <c r="I10" s="166">
        <v>44</v>
      </c>
      <c r="J10" s="165">
        <v>200</v>
      </c>
      <c r="K10" s="165">
        <v>20</v>
      </c>
      <c r="L10" s="170">
        <v>220</v>
      </c>
      <c r="N10" s="113">
        <f>SUMIFS(PAGOS!$E$3:$E$1048576,PAGOS!$A$3:$A$1048576,"&lt;&gt;INGRESO*",PAGOS!$A$3:$A$1048576,"&lt;&gt;EGRESO*",PAGOS!$D$3:$D$1048576,+MID('07'!B10,6,3)*1)</f>
        <v>120</v>
      </c>
      <c r="O10" s="113">
        <f>E10-N10</f>
        <v>80</v>
      </c>
      <c r="P10" s="113">
        <f>SUMIFS(PAGOS!$H$3:$H$1048576,PAGOS!$A$3:$A$1048576,"&lt;&gt;INGRESO*",PAGOS!$A$3:$A$1048576,"&lt;&gt;EGRESO*",PAGOS!$D$3:$D$1048576,+MID('07'!B10,6,3)*1)</f>
        <v>12</v>
      </c>
      <c r="Q10" s="113">
        <f>K10-P10</f>
        <v>8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R7" sqref="R7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62" bestFit="1" customWidth="1"/>
    <col min="8" max="8" width="7.6640625" style="162" bestFit="1" customWidth="1"/>
    <col min="9" max="9" width="9.88671875" style="163" customWidth="1"/>
    <col min="10" max="10" width="13.5546875" style="162" bestFit="1" customWidth="1"/>
    <col min="11" max="12" width="11.6640625" style="162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1400</v>
      </c>
      <c r="H3" s="135" t="s">
        <v>178</v>
      </c>
      <c r="I3" s="153">
        <f>SUM($P$7:$P$1048576)</f>
        <v>90</v>
      </c>
      <c r="J3" s="135" t="s">
        <v>179</v>
      </c>
      <c r="K3" s="154">
        <f>G3+I3</f>
        <v>1490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10">"000"&amp;_xlfn.SEQUENCE(COUNTA(C7:C1048576))</f>
        <v>0001</v>
      </c>
      <c r="B7" s="164">
        <v>5</v>
      </c>
      <c r="C7" s="47" t="s">
        <v>19</v>
      </c>
      <c r="D7" s="43">
        <v>44910</v>
      </c>
      <c r="E7" s="165">
        <v>200</v>
      </c>
      <c r="F7" s="47">
        <v>1</v>
      </c>
      <c r="G7" s="165">
        <v>200</v>
      </c>
      <c r="H7" s="165">
        <v>4</v>
      </c>
      <c r="I7" s="166">
        <v>204</v>
      </c>
      <c r="J7" s="165">
        <v>200</v>
      </c>
      <c r="K7" s="165">
        <v>4</v>
      </c>
      <c r="L7" s="165">
        <v>204</v>
      </c>
      <c r="N7" s="113">
        <f>SUMIFS(PAGOS!$E$3:$E$1048576,PAGOS!$A$3:$A$1048576,"&lt;&gt;INGRESO*",PAGOS!$A$3:$A$1048576,"&lt;&gt;EGRESO*",PAGOS!$D$3:$D$1048576,B7)</f>
        <v>200</v>
      </c>
      <c r="O7" s="113">
        <f>E7-N7</f>
        <v>0</v>
      </c>
      <c r="P7" s="113">
        <f>SUMIFS(PAGOS!$H$3:$H$1048576,PAGOS!$A$3:$A$1048576,"&lt;&gt;INGRESO*",PAGOS!$A$3:$A$1048576,"&lt;&gt;EGRESO*",PAGOS!$D$3:$D$1048576,B7)</f>
        <v>4</v>
      </c>
      <c r="Q7" s="113">
        <f>K7-P7</f>
        <v>0</v>
      </c>
    </row>
    <row r="8" spans="1:17" x14ac:dyDescent="0.3">
      <c r="A8" s="47" t="str">
        <v>0002</v>
      </c>
      <c r="B8" s="41" t="s">
        <v>237</v>
      </c>
      <c r="C8" s="47" t="s">
        <v>19</v>
      </c>
      <c r="D8" s="43">
        <v>45549</v>
      </c>
      <c r="E8" s="170">
        <v>400</v>
      </c>
      <c r="F8" s="47">
        <v>4</v>
      </c>
      <c r="G8" s="165">
        <v>100</v>
      </c>
      <c r="H8" s="165">
        <v>8</v>
      </c>
      <c r="I8" s="166">
        <v>108</v>
      </c>
      <c r="J8" s="165">
        <v>400</v>
      </c>
      <c r="K8" s="165">
        <v>32</v>
      </c>
      <c r="L8" s="170">
        <v>432</v>
      </c>
      <c r="N8" s="113">
        <f>SUMIFS(PAGOS!$E$3:$E$1048576,PAGOS!$A$3:$A$1048576,"&lt;&gt;INGRESO*",PAGOS!$A$3:$A$1048576,"&lt;&gt;EGRESO*",PAGOS!$D$3:$D$1048576,+MID('08'!B8,6,3)*1)</f>
        <v>300</v>
      </c>
      <c r="O8" s="113">
        <f>E8-N8</f>
        <v>100</v>
      </c>
      <c r="P8" s="113">
        <f>SUMIFS(PAGOS!$H$3:$H$1048576,PAGOS!$A$3:$A$1048576,"&lt;&gt;INGRESO*",PAGOS!$A$3:$A$1048576,"&lt;&gt;EGRESO*",PAGOS!$D$3:$D$1048576,+MID('08'!B8,6,3)*1)</f>
        <v>24</v>
      </c>
      <c r="Q8" s="113">
        <f>K8-P8</f>
        <v>8</v>
      </c>
    </row>
    <row r="9" spans="1:17" x14ac:dyDescent="0.3">
      <c r="A9" s="47" t="str">
        <v>0003</v>
      </c>
      <c r="B9" s="41" t="s">
        <v>296</v>
      </c>
      <c r="C9" s="47" t="s">
        <v>19</v>
      </c>
      <c r="D9" s="43">
        <v>45641</v>
      </c>
      <c r="E9" s="170">
        <v>500</v>
      </c>
      <c r="F9" s="47">
        <v>5</v>
      </c>
      <c r="G9" s="11">
        <v>100</v>
      </c>
      <c r="H9" s="11">
        <v>10</v>
      </c>
      <c r="I9" s="202">
        <v>110</v>
      </c>
      <c r="J9" s="11">
        <v>500</v>
      </c>
      <c r="K9" s="11">
        <v>50</v>
      </c>
      <c r="L9" s="11">
        <v>550</v>
      </c>
      <c r="N9" s="113">
        <f>SUMIFS(PAGOS!$E$3:$E$1048576,PAGOS!$A$3:$A$1048576,"&lt;&gt;INGRESO*",PAGOS!$A$3:$A$1048576,"&lt;&gt;EGRESO*",PAGOS!$D$3:$D$1048576,+MID('08'!B9,6,3)*1)</f>
        <v>500</v>
      </c>
      <c r="O9" s="113">
        <f>E9-N9</f>
        <v>0</v>
      </c>
      <c r="P9" s="113">
        <f>SUMIFS(PAGOS!$H$3:$H$1048576,PAGOS!$A$3:$A$1048576,"&lt;&gt;INGRESO*",PAGOS!$A$3:$A$1048576,"&lt;&gt;EGRESO*",PAGOS!$D$3:$D$1048576,+MID('08'!B9,6,3)*1)</f>
        <v>50</v>
      </c>
      <c r="Q9" s="113">
        <f>K9-P9</f>
        <v>0</v>
      </c>
    </row>
    <row r="10" spans="1:17" x14ac:dyDescent="0.3">
      <c r="A10" s="47" t="str">
        <v>0004</v>
      </c>
      <c r="B10" s="41" t="s">
        <v>385</v>
      </c>
      <c r="C10" s="47" t="s">
        <v>19</v>
      </c>
      <c r="D10" s="43">
        <v>45792</v>
      </c>
      <c r="E10" s="170">
        <v>300</v>
      </c>
      <c r="F10" s="47">
        <v>3</v>
      </c>
      <c r="G10" s="11">
        <v>100</v>
      </c>
      <c r="H10" s="11">
        <v>6</v>
      </c>
      <c r="I10" s="202">
        <v>106</v>
      </c>
      <c r="J10" s="11">
        <v>300</v>
      </c>
      <c r="K10" s="11">
        <v>18</v>
      </c>
      <c r="L10" s="11">
        <v>318</v>
      </c>
      <c r="N10" s="113">
        <f>SUMIFS(PAGOS!$E$3:$E$1048576,PAGOS!$A$3:$A$1048576,"&lt;&gt;INGRESO*",PAGOS!$A$3:$A$1048576,"&lt;&gt;EGRESO*",PAGOS!$D$3:$D$1048576,+MID('08'!B10,6,3)*1)</f>
        <v>200</v>
      </c>
      <c r="O10" s="113">
        <f>E10-N10</f>
        <v>100</v>
      </c>
      <c r="P10" s="113">
        <f>SUMIFS(PAGOS!$H$3:$H$1048576,PAGOS!$A$3:$A$1048576,"&lt;&gt;INGRESO*",PAGOS!$A$3:$A$1048576,"&lt;&gt;EGRESO*",PAGOS!$D$3:$D$1048576,+MID('08'!B10,6,3)*1)</f>
        <v>12</v>
      </c>
      <c r="Q10" s="113">
        <f>K10-P10</f>
        <v>6</v>
      </c>
    </row>
    <row r="14" spans="1:17" x14ac:dyDescent="0.3">
      <c r="I14" s="162"/>
    </row>
    <row r="15" spans="1:17" x14ac:dyDescent="0.3">
      <c r="I15" s="162"/>
    </row>
    <row r="16" spans="1:17" x14ac:dyDescent="0.3">
      <c r="I16" s="162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8"/>
  <sheetViews>
    <sheetView zoomScaleNormal="100" workbookViewId="0">
      <selection activeCell="R7" sqref="R7"/>
    </sheetView>
  </sheetViews>
  <sheetFormatPr baseColWidth="10" defaultColWidth="11.5546875" defaultRowHeight="14.4" x14ac:dyDescent="0.3"/>
  <cols>
    <col min="1" max="1" width="14.33203125" bestFit="1" customWidth="1"/>
    <col min="2" max="2" width="12" style="10" bestFit="1" customWidth="1"/>
    <col min="3" max="3" width="18.33203125" customWidth="1"/>
    <col min="4" max="4" width="10.5546875" bestFit="1" customWidth="1"/>
    <col min="5" max="5" width="11.33203125" customWidth="1"/>
    <col min="6" max="6" width="9.33203125" bestFit="1" customWidth="1"/>
    <col min="7" max="7" width="11.88671875" bestFit="1" customWidth="1"/>
    <col min="8" max="8" width="7.6640625" bestFit="1" customWidth="1"/>
    <col min="9" max="9" width="7.6640625" style="132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2300</v>
      </c>
      <c r="H3" s="135" t="s">
        <v>178</v>
      </c>
      <c r="I3" s="153">
        <f>SUM($P$7:$P$1048576)</f>
        <v>312</v>
      </c>
      <c r="J3" s="135" t="s">
        <v>179</v>
      </c>
      <c r="K3" s="154">
        <f>G3+I3</f>
        <v>2612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9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11">"000"&amp;_xlfn.SEQUENCE(COUNTA(C7:C1048576))</f>
        <v>0001</v>
      </c>
      <c r="B7" s="164">
        <v>7</v>
      </c>
      <c r="C7" s="47" t="s">
        <v>20</v>
      </c>
      <c r="D7" s="43">
        <v>44910</v>
      </c>
      <c r="E7" s="165">
        <v>100</v>
      </c>
      <c r="F7" s="47">
        <v>4</v>
      </c>
      <c r="G7" s="165">
        <v>25</v>
      </c>
      <c r="H7" s="165">
        <v>2</v>
      </c>
      <c r="I7" s="166">
        <v>27</v>
      </c>
      <c r="J7" s="165">
        <v>100</v>
      </c>
      <c r="K7" s="165">
        <v>8</v>
      </c>
      <c r="L7" s="165">
        <v>108</v>
      </c>
      <c r="N7" s="113">
        <f>SUMIFS(PAGOS!$E$3:$E$1048576,PAGOS!$A$3:$A$1048576,"&lt;&gt;INGRESO*",PAGOS!$A$3:$A$1048576,"&lt;&gt;EGRESO*",PAGOS!$D$3:$D$1048576,B7)</f>
        <v>100</v>
      </c>
      <c r="O7" s="113">
        <f>E7-N7</f>
        <v>0</v>
      </c>
      <c r="P7" s="113">
        <f>SUMIFS(PAGOS!$H$3:$H$1048576,PAGOS!$A$3:$A$1048576,"&lt;&gt;INGRESO*",PAGOS!$A$3:$A$1048576,"&lt;&gt;EGRESO*",PAGOS!$D$3:$D$1048576,B7)</f>
        <v>8</v>
      </c>
      <c r="Q7" s="113">
        <f>K7-P7</f>
        <v>0</v>
      </c>
    </row>
    <row r="8" spans="1:17" x14ac:dyDescent="0.3">
      <c r="A8" s="47" t="str">
        <v>0002</v>
      </c>
      <c r="B8" s="164">
        <v>15</v>
      </c>
      <c r="C8" s="47" t="s">
        <v>20</v>
      </c>
      <c r="D8" s="43">
        <v>45031</v>
      </c>
      <c r="E8" s="165">
        <v>200</v>
      </c>
      <c r="F8" s="47">
        <v>4</v>
      </c>
      <c r="G8" s="165">
        <v>50</v>
      </c>
      <c r="H8" s="165">
        <v>4</v>
      </c>
      <c r="I8" s="166">
        <v>54</v>
      </c>
      <c r="J8" s="165">
        <v>200</v>
      </c>
      <c r="K8" s="165">
        <v>16</v>
      </c>
      <c r="L8" s="165">
        <v>216</v>
      </c>
      <c r="N8" s="113">
        <f>SUMIFS(PAGOS!$E$3:$E$1048576,PAGOS!$A$3:$A$1048576,"&lt;&gt;INGRESO*",PAGOS!$A$3:$A$1048576,"&lt;&gt;EGRESO*",PAGOS!$D$3:$D$1048576,B8)</f>
        <v>200</v>
      </c>
      <c r="O8" s="113">
        <f>E8-N8</f>
        <v>0</v>
      </c>
      <c r="P8" s="113">
        <f>SUMIFS(PAGOS!$H$3:$H$1048576,PAGOS!$A$3:$A$1048576,"&lt;&gt;INGRESO*",PAGOS!$A$3:$A$1048576,"&lt;&gt;EGRESO*",PAGOS!$D$3:$D$1048576,B8)</f>
        <v>16</v>
      </c>
      <c r="Q8" s="113">
        <f>K8-P8</f>
        <v>0</v>
      </c>
    </row>
    <row r="9" spans="1:17" x14ac:dyDescent="0.3">
      <c r="A9" s="47" t="str">
        <v>0003</v>
      </c>
      <c r="B9" s="164">
        <v>30</v>
      </c>
      <c r="C9" s="47" t="s">
        <v>20</v>
      </c>
      <c r="D9" s="43">
        <v>45214</v>
      </c>
      <c r="E9" s="165">
        <v>400</v>
      </c>
      <c r="F9" s="47">
        <v>7</v>
      </c>
      <c r="G9" s="165">
        <v>57.142857142857146</v>
      </c>
      <c r="H9" s="165">
        <v>8</v>
      </c>
      <c r="I9" s="166">
        <v>65.142857142857139</v>
      </c>
      <c r="J9" s="165">
        <v>400</v>
      </c>
      <c r="K9" s="165">
        <v>56</v>
      </c>
      <c r="L9" s="165">
        <v>456</v>
      </c>
      <c r="N9" s="113">
        <f>SUMIFS(PAGOS!$E$3:$E$1048576,PAGOS!$A$3:$A$1048576,"&lt;&gt;INGRESO*",PAGOS!$A$3:$A$1048576,"&lt;&gt;EGRESO*",PAGOS!$D$3:$D$1048576,B9)</f>
        <v>399.99999999999994</v>
      </c>
      <c r="O9" s="113">
        <f>E9-N9</f>
        <v>0</v>
      </c>
      <c r="P9" s="113">
        <f>SUMIFS(PAGOS!$H$3:$H$1048576,PAGOS!$A$3:$A$1048576,"&lt;&gt;INGRESO*",PAGOS!$A$3:$A$1048576,"&lt;&gt;EGRESO*",PAGOS!$D$3:$D$1048576,B9)</f>
        <v>56</v>
      </c>
      <c r="Q9" s="113">
        <f>K9-P9</f>
        <v>0</v>
      </c>
    </row>
    <row r="10" spans="1:17" x14ac:dyDescent="0.3">
      <c r="A10" s="47" t="str">
        <v>0004</v>
      </c>
      <c r="B10" s="41" t="s">
        <v>207</v>
      </c>
      <c r="C10" s="47" t="s">
        <v>20</v>
      </c>
      <c r="D10" s="43">
        <v>45427</v>
      </c>
      <c r="E10" s="170">
        <v>600</v>
      </c>
      <c r="F10" s="47">
        <v>7</v>
      </c>
      <c r="G10" s="165">
        <v>85.714285714285708</v>
      </c>
      <c r="H10" s="165">
        <v>12</v>
      </c>
      <c r="I10" s="166">
        <v>97.714285714285708</v>
      </c>
      <c r="J10" s="165">
        <v>600</v>
      </c>
      <c r="K10" s="165">
        <v>84</v>
      </c>
      <c r="L10" s="170">
        <v>684</v>
      </c>
      <c r="N10" s="113">
        <f>SUMIFS(PAGOS!$E$3:$E$1048576,PAGOS!$A$3:$A$1048576,"&lt;&gt;INGRESO*",PAGOS!$A$3:$A$1048576,"&lt;&gt;EGRESO*",PAGOS!$D$3:$D$1048576,+MID('09'!B10,6,3)*1)</f>
        <v>514.29</v>
      </c>
      <c r="O10" s="113">
        <f>E10-N10</f>
        <v>85.710000000000036</v>
      </c>
      <c r="P10" s="113">
        <f>SUMIFS(PAGOS!$H$3:$H$1048576,PAGOS!$A$3:$A$1048576,"&lt;&gt;INGRESO*",PAGOS!$A$3:$A$1048576,"&lt;&gt;EGRESO*",PAGOS!$D$3:$D$1048576,+MID('09'!B10,6,3)*1)</f>
        <v>72</v>
      </c>
      <c r="Q10" s="113">
        <f>K10-P10</f>
        <v>12</v>
      </c>
    </row>
    <row r="11" spans="1:17" x14ac:dyDescent="0.3">
      <c r="A11" s="47" t="str">
        <v>0005</v>
      </c>
      <c r="B11" s="41" t="s">
        <v>272</v>
      </c>
      <c r="C11" s="47" t="s">
        <v>20</v>
      </c>
      <c r="D11" s="43">
        <v>45611</v>
      </c>
      <c r="E11" s="170">
        <v>1000</v>
      </c>
      <c r="F11" s="47">
        <v>10</v>
      </c>
      <c r="G11" s="165">
        <v>100</v>
      </c>
      <c r="H11" s="165">
        <v>20</v>
      </c>
      <c r="I11" s="166">
        <v>120</v>
      </c>
      <c r="J11" s="165">
        <v>1000</v>
      </c>
      <c r="K11" s="165">
        <v>200</v>
      </c>
      <c r="L11" s="165">
        <v>1200</v>
      </c>
      <c r="N11" s="113">
        <f>SUMIFS(PAGOS!$E$3:$E$1048576,PAGOS!$A$3:$A$1048576,"&lt;&gt;INGRESO*",PAGOS!$A$3:$A$1048576,"&lt;&gt;EGRESO*",PAGOS!$D$3:$D$1048576,+MID('09'!B11,6,3)*1)</f>
        <v>800</v>
      </c>
      <c r="O11" s="113">
        <f>E11-N11</f>
        <v>200</v>
      </c>
      <c r="P11" s="113">
        <f>SUMIFS(PAGOS!$H$3:$H$1048576,PAGOS!$A$3:$A$1048576,"&lt;&gt;INGRESO*",PAGOS!$A$3:$A$1048576,"&lt;&gt;EGRESO*",PAGOS!$D$3:$D$1048576,+MID('09'!B11,6,3)*1)</f>
        <v>160</v>
      </c>
      <c r="Q11" s="113">
        <f>K11-P11</f>
        <v>40</v>
      </c>
    </row>
    <row r="16" spans="1:17" x14ac:dyDescent="0.3">
      <c r="I16"/>
    </row>
    <row r="17" spans="9:9" x14ac:dyDescent="0.3">
      <c r="I17"/>
    </row>
    <row r="18" spans="9:9" x14ac:dyDescent="0.3">
      <c r="I18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1"/>
  <sheetViews>
    <sheetView zoomScaleNormal="100" workbookViewId="0">
      <selection activeCell="A7" sqref="A7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32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3620</v>
      </c>
      <c r="H3" s="135" t="s">
        <v>178</v>
      </c>
      <c r="I3" s="153">
        <f>SUM($P$7:$P$1048576)</f>
        <v>273</v>
      </c>
      <c r="J3" s="135" t="s">
        <v>179</v>
      </c>
      <c r="K3" s="154">
        <f>G3+I3</f>
        <v>3893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163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14">"000"&amp;_xlfn.SEQUENCE(COUNTA(C7:C1048576))</f>
        <v>0001</v>
      </c>
      <c r="B7" s="164">
        <v>8</v>
      </c>
      <c r="C7" s="47" t="s">
        <v>21</v>
      </c>
      <c r="D7" s="43">
        <v>44910</v>
      </c>
      <c r="E7" s="165">
        <v>170</v>
      </c>
      <c r="F7" s="47">
        <v>5</v>
      </c>
      <c r="G7" s="165">
        <v>34</v>
      </c>
      <c r="H7" s="165">
        <v>3.4</v>
      </c>
      <c r="I7" s="166">
        <v>37.4</v>
      </c>
      <c r="J7" s="165">
        <v>170</v>
      </c>
      <c r="K7" s="165">
        <v>17</v>
      </c>
      <c r="L7" s="165">
        <v>187</v>
      </c>
      <c r="N7" s="113">
        <f>SUMIFS(PAGOS!$E$3:$E$1048576,PAGOS!$A$3:$A$1048576,"&lt;&gt;INGRESO*",PAGOS!$A$3:$A$1048576,"&lt;&gt;EGRESO*",PAGOS!$D$3:$D$1048576,B7)</f>
        <v>170</v>
      </c>
      <c r="O7" s="113">
        <f t="shared" ref="O7:O13" si="0">E7-N7</f>
        <v>0</v>
      </c>
      <c r="P7" s="113">
        <f>SUMIFS(PAGOS!$H$3:$H$1048576,PAGOS!$A$3:$A$1048576,"&lt;&gt;INGRESO*",PAGOS!$A$3:$A$1048576,"&lt;&gt;EGRESO*",PAGOS!$D$3:$D$1048576,B7)</f>
        <v>17</v>
      </c>
      <c r="Q7" s="113">
        <f t="shared" ref="Q7:Q13" si="1">K7-P7</f>
        <v>0</v>
      </c>
    </row>
    <row r="8" spans="1:17" x14ac:dyDescent="0.3">
      <c r="A8" s="47" t="str">
        <v>0002</v>
      </c>
      <c r="B8" s="164">
        <v>19</v>
      </c>
      <c r="C8" s="47" t="s">
        <v>21</v>
      </c>
      <c r="D8" s="43">
        <v>45092</v>
      </c>
      <c r="E8" s="165">
        <v>400</v>
      </c>
      <c r="F8" s="47">
        <v>4</v>
      </c>
      <c r="G8" s="165">
        <v>100</v>
      </c>
      <c r="H8" s="165">
        <v>8</v>
      </c>
      <c r="I8" s="166">
        <v>108</v>
      </c>
      <c r="J8" s="165">
        <v>400</v>
      </c>
      <c r="K8" s="165">
        <v>32</v>
      </c>
      <c r="L8" s="165">
        <v>432</v>
      </c>
      <c r="N8" s="113">
        <f>SUMIFS(PAGOS!$E$3:$E$1048576,PAGOS!$A$3:$A$1048576,"&lt;&gt;INGRESO*",PAGOS!$A$3:$A$1048576,"&lt;&gt;EGRESO*",PAGOS!$D$3:$D$1048576,B8)</f>
        <v>400</v>
      </c>
      <c r="O8" s="113">
        <f t="shared" si="0"/>
        <v>0</v>
      </c>
      <c r="P8" s="113">
        <f>SUMIFS(PAGOS!$H$3:$H$1048576,PAGOS!$A$3:$A$1048576,"&lt;&gt;INGRESO*",PAGOS!$A$3:$A$1048576,"&lt;&gt;EGRESO*",PAGOS!$D$3:$D$1048576,B8)</f>
        <v>32</v>
      </c>
      <c r="Q8" s="113">
        <f t="shared" si="1"/>
        <v>0</v>
      </c>
    </row>
    <row r="9" spans="1:17" x14ac:dyDescent="0.3">
      <c r="A9" s="47" t="str">
        <v>0003</v>
      </c>
      <c r="B9" s="164">
        <v>32</v>
      </c>
      <c r="C9" s="47" t="s">
        <v>21</v>
      </c>
      <c r="D9" s="43">
        <v>45245</v>
      </c>
      <c r="E9" s="165">
        <v>250</v>
      </c>
      <c r="F9" s="47">
        <v>4</v>
      </c>
      <c r="G9" s="165">
        <v>62.5</v>
      </c>
      <c r="H9" s="165">
        <v>5</v>
      </c>
      <c r="I9" s="166">
        <v>67.5</v>
      </c>
      <c r="J9" s="165">
        <v>250</v>
      </c>
      <c r="K9" s="165">
        <v>20</v>
      </c>
      <c r="L9" s="165">
        <v>270</v>
      </c>
      <c r="N9" s="113">
        <f>SUMIFS(PAGOS!$E$3:$E$1048576,PAGOS!$A$3:$A$1048576,"&lt;&gt;INGRESO*",PAGOS!$A$3:$A$1048576,"&lt;&gt;EGRESO*",PAGOS!$D$3:$D$1048576,B9)</f>
        <v>0</v>
      </c>
      <c r="O9" s="113">
        <f t="shared" si="0"/>
        <v>250</v>
      </c>
      <c r="P9" s="113">
        <f>SUMIFS(PAGOS!$H$3:$H$1048576,PAGOS!$A$3:$A$1048576,"&lt;&gt;INGRESO*",PAGOS!$A$3:$A$1048576,"&lt;&gt;EGRESO*",PAGOS!$D$3:$D$1048576,B9)</f>
        <v>10</v>
      </c>
      <c r="Q9" s="113">
        <f t="shared" si="1"/>
        <v>10</v>
      </c>
    </row>
    <row r="10" spans="1:17" x14ac:dyDescent="0.3">
      <c r="A10" s="47" t="str">
        <v>0004</v>
      </c>
      <c r="B10" s="164">
        <v>33</v>
      </c>
      <c r="C10" s="47" t="s">
        <v>21</v>
      </c>
      <c r="D10" s="43">
        <v>45306</v>
      </c>
      <c r="E10" s="165">
        <v>500</v>
      </c>
      <c r="F10" s="47">
        <v>2</v>
      </c>
      <c r="G10" s="165">
        <v>250</v>
      </c>
      <c r="H10" s="165">
        <v>10</v>
      </c>
      <c r="I10" s="166">
        <v>260</v>
      </c>
      <c r="J10" s="165">
        <v>500</v>
      </c>
      <c r="K10" s="165">
        <v>20</v>
      </c>
      <c r="L10" s="165">
        <v>520</v>
      </c>
      <c r="N10" s="113">
        <f>SUMIFS(PAGOS!$E$3:$E$1048576,PAGOS!$A$3:$A$1048576,"&lt;&gt;INGRESO*",PAGOS!$A$3:$A$1048576,"&lt;&gt;EGRESO*",PAGOS!$D$3:$D$1048576,B10)</f>
        <v>0</v>
      </c>
      <c r="O10" s="113">
        <f t="shared" si="0"/>
        <v>500</v>
      </c>
      <c r="P10" s="113">
        <f>SUMIFS(PAGOS!$H$3:$H$1048576,PAGOS!$A$3:$A$1048576,"&lt;&gt;INGRESO*",PAGOS!$A$3:$A$1048576,"&lt;&gt;EGRESO*",PAGOS!$D$3:$D$1048576,B10)</f>
        <v>20</v>
      </c>
      <c r="Q10" s="113">
        <f t="shared" si="1"/>
        <v>0</v>
      </c>
    </row>
    <row r="11" spans="1:17" x14ac:dyDescent="0.3">
      <c r="A11" s="47" t="str">
        <v>0005</v>
      </c>
      <c r="B11" s="41" t="s">
        <v>201</v>
      </c>
      <c r="C11" s="47" t="s">
        <v>21</v>
      </c>
      <c r="D11" s="43">
        <v>45366</v>
      </c>
      <c r="E11" s="170">
        <v>400</v>
      </c>
      <c r="F11" s="47">
        <v>4</v>
      </c>
      <c r="G11" s="165">
        <v>100</v>
      </c>
      <c r="H11" s="165">
        <v>8</v>
      </c>
      <c r="I11" s="166">
        <v>108</v>
      </c>
      <c r="J11" s="165">
        <v>400</v>
      </c>
      <c r="K11" s="165">
        <v>32</v>
      </c>
      <c r="L11" s="170">
        <v>432</v>
      </c>
      <c r="N11" s="113">
        <f>SUMIFS(PAGOS!$E$3:$E$1048576,PAGOS!$A$3:$A$1048576,"&lt;&gt;INGRESO*",PAGOS!$A$3:$A$1048576,"&lt;&gt;EGRESO*",PAGOS!$D$3:$D$1048576,+MID('10'!B11,6,3)*1)</f>
        <v>200</v>
      </c>
      <c r="O11" s="113">
        <f t="shared" si="0"/>
        <v>200</v>
      </c>
      <c r="P11" s="113">
        <f>SUMIFS(PAGOS!$H$3:$H$1048576,PAGOS!$A$3:$A$1048576,"&lt;&gt;INGRESO*",PAGOS!$A$3:$A$1048576,"&lt;&gt;EGRESO*",PAGOS!$D$3:$D$1048576,+MID('10'!B11,6,3)*1)</f>
        <v>24</v>
      </c>
      <c r="Q11" s="113">
        <f t="shared" si="1"/>
        <v>8</v>
      </c>
    </row>
    <row r="12" spans="1:17" x14ac:dyDescent="0.3">
      <c r="A12" s="47" t="str">
        <v>0006</v>
      </c>
      <c r="B12" s="41" t="s">
        <v>213</v>
      </c>
      <c r="C12" s="47" t="s">
        <v>21</v>
      </c>
      <c r="D12" s="43">
        <v>45458</v>
      </c>
      <c r="E12" s="170">
        <v>700</v>
      </c>
      <c r="F12" s="47">
        <v>5</v>
      </c>
      <c r="G12" s="165">
        <v>140</v>
      </c>
      <c r="H12" s="165">
        <v>14</v>
      </c>
      <c r="I12" s="166">
        <v>154</v>
      </c>
      <c r="J12" s="165">
        <v>700</v>
      </c>
      <c r="K12" s="165">
        <v>70</v>
      </c>
      <c r="L12" s="170">
        <v>770</v>
      </c>
      <c r="N12" s="113">
        <f>SUMIFS(PAGOS!$E$3:$E$1048576,PAGOS!$A$3:$A$1048576,"&lt;&gt;INGRESO*",PAGOS!$A$3:$A$1048576,"&lt;&gt;EGRESO*",PAGOS!$D$3:$D$1048576,+MID('10'!B12,6,3)*1)</f>
        <v>700</v>
      </c>
      <c r="O12" s="113">
        <f t="shared" si="0"/>
        <v>0</v>
      </c>
      <c r="P12" s="113">
        <f>SUMIFS(PAGOS!$H$3:$H$1048576,PAGOS!$A$3:$A$1048576,"&lt;&gt;INGRESO*",PAGOS!$A$3:$A$1048576,"&lt;&gt;EGRESO*",PAGOS!$D$3:$D$1048576,+MID('10'!B12,6,3)*1)</f>
        <v>56</v>
      </c>
      <c r="Q12" s="113">
        <f t="shared" si="1"/>
        <v>14</v>
      </c>
    </row>
    <row r="13" spans="1:17" x14ac:dyDescent="0.3">
      <c r="A13" s="47" t="str">
        <v>0007</v>
      </c>
      <c r="B13" s="41" t="s">
        <v>245</v>
      </c>
      <c r="C13" s="47" t="s">
        <v>21</v>
      </c>
      <c r="D13" s="43">
        <v>45580</v>
      </c>
      <c r="E13" s="170">
        <v>500</v>
      </c>
      <c r="F13" s="47">
        <v>4</v>
      </c>
      <c r="G13" s="165">
        <v>125</v>
      </c>
      <c r="H13" s="165">
        <v>10</v>
      </c>
      <c r="I13" s="166">
        <v>135</v>
      </c>
      <c r="J13" s="165">
        <v>500</v>
      </c>
      <c r="K13" s="165">
        <v>40</v>
      </c>
      <c r="L13" s="170">
        <v>540</v>
      </c>
      <c r="N13" s="113">
        <f>SUMIFS(PAGOS!$E$3:$E$1048576,PAGOS!$A$3:$A$1048576,"&lt;&gt;INGRESO*",PAGOS!$A$3:$A$1048576,"&lt;&gt;EGRESO*",PAGOS!$D$3:$D$1048576,+MID('10'!B13,6,3)*1)</f>
        <v>375</v>
      </c>
      <c r="O13" s="113">
        <f t="shared" si="0"/>
        <v>125</v>
      </c>
      <c r="P13" s="113">
        <f>SUMIFS(PAGOS!$H$3:$H$1048576,PAGOS!$A$3:$A$1048576,"&lt;&gt;INGRESO*",PAGOS!$A$3:$A$1048576,"&lt;&gt;EGRESO*",PAGOS!$D$3:$D$1048576,+MID('10'!B13,6,3)*1)</f>
        <v>30</v>
      </c>
      <c r="Q13" s="113">
        <f t="shared" si="1"/>
        <v>10</v>
      </c>
    </row>
    <row r="14" spans="1:17" x14ac:dyDescent="0.3">
      <c r="A14" s="47" t="str">
        <v>0008</v>
      </c>
      <c r="B14" s="41" t="s">
        <v>316</v>
      </c>
      <c r="C14" s="47" t="s">
        <v>21</v>
      </c>
      <c r="D14" s="43">
        <v>45672</v>
      </c>
      <c r="E14" s="170">
        <v>700</v>
      </c>
      <c r="F14" s="47">
        <v>7</v>
      </c>
      <c r="G14" s="165">
        <v>100</v>
      </c>
      <c r="H14" s="165">
        <v>14</v>
      </c>
      <c r="I14" s="166">
        <v>114</v>
      </c>
      <c r="J14" s="165">
        <v>700</v>
      </c>
      <c r="K14" s="165">
        <v>98</v>
      </c>
      <c r="L14" s="165">
        <v>798</v>
      </c>
      <c r="N14" s="113">
        <f>SUMIFS(PAGOS!$E$3:$E$1048576,PAGOS!$A$3:$A$1048576,"&lt;&gt;INGRESO*",PAGOS!$A$3:$A$1048576,"&lt;&gt;EGRESO*",PAGOS!$D$3:$D$1048576,+MID('10'!B14,6,3)*1)</f>
        <v>600</v>
      </c>
      <c r="O14" s="113">
        <f>E14-N14</f>
        <v>100</v>
      </c>
      <c r="P14" s="113">
        <f>SUMIFS(PAGOS!$H$3:$H$1048576,PAGOS!$A$3:$A$1048576,"&lt;&gt;INGRESO*",PAGOS!$A$3:$A$1048576,"&lt;&gt;EGRESO*",PAGOS!$D$3:$D$1048576,+MID('10'!B14,6,3)*1)</f>
        <v>84</v>
      </c>
      <c r="Q14" s="113">
        <f>K14-P14</f>
        <v>14</v>
      </c>
    </row>
    <row r="16" spans="1:17" x14ac:dyDescent="0.3">
      <c r="I16"/>
    </row>
    <row r="17" spans="9:9" x14ac:dyDescent="0.3">
      <c r="I17"/>
    </row>
    <row r="19" spans="9:9" x14ac:dyDescent="0.3">
      <c r="I19"/>
    </row>
    <row r="20" spans="9:9" x14ac:dyDescent="0.3">
      <c r="I20"/>
    </row>
    <row r="21" spans="9:9" x14ac:dyDescent="0.3">
      <c r="I21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R7" sqref="R7"/>
    </sheetView>
  </sheetViews>
  <sheetFormatPr baseColWidth="10" defaultColWidth="11.5546875" defaultRowHeight="14.4" x14ac:dyDescent="0.3"/>
  <cols>
    <col min="1" max="1" width="14.33203125" bestFit="1" customWidth="1"/>
    <col min="2" max="2" width="12" style="10" bestFit="1" customWidth="1"/>
    <col min="3" max="3" width="22.5546875" customWidth="1"/>
    <col min="4" max="4" width="11.109375" bestFit="1" customWidth="1"/>
    <col min="5" max="5" width="11.33203125" customWidth="1"/>
    <col min="6" max="6" width="9.33203125" bestFit="1" customWidth="1"/>
    <col min="7" max="7" width="12" bestFit="1" customWidth="1"/>
    <col min="8" max="8" width="7.88671875" bestFit="1" customWidth="1"/>
    <col min="9" max="9" width="8.6640625" style="132" customWidth="1"/>
    <col min="10" max="10" width="13.6640625" bestFit="1" customWidth="1"/>
    <col min="11" max="12" width="11.109375" bestFit="1" customWidth="1"/>
    <col min="14" max="16" width="11.109375" bestFit="1" customWidth="1"/>
    <col min="17" max="17" width="11.664062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1100</v>
      </c>
      <c r="H3" s="135" t="s">
        <v>178</v>
      </c>
      <c r="I3" s="153">
        <f>SUM($P$7:$P$1048576)</f>
        <v>176</v>
      </c>
      <c r="J3" s="135" t="s">
        <v>179</v>
      </c>
      <c r="K3" s="154">
        <f>G3+I3</f>
        <v>1276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165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10">"000"&amp;_xlfn.SEQUENCE(COUNTA(C7:C1048576))</f>
        <v>0001</v>
      </c>
      <c r="B7" s="164">
        <v>9</v>
      </c>
      <c r="C7" s="47" t="s">
        <v>22</v>
      </c>
      <c r="D7" s="43">
        <v>44941</v>
      </c>
      <c r="E7" s="165">
        <v>200</v>
      </c>
      <c r="F7" s="47">
        <v>3</v>
      </c>
      <c r="G7" s="165">
        <v>66.666666666666671</v>
      </c>
      <c r="H7" s="165">
        <v>4</v>
      </c>
      <c r="I7" s="166">
        <v>70.666666666666671</v>
      </c>
      <c r="J7" s="165">
        <v>200</v>
      </c>
      <c r="K7" s="165">
        <v>12</v>
      </c>
      <c r="L7" s="165">
        <v>212</v>
      </c>
      <c r="N7" s="113">
        <f>SUMIFS(PAGOS!$E$3:$E$1048576,PAGOS!$A$3:$A$1048576,"&lt;&gt;INGRESO*",PAGOS!$A$3:$A$1048576,"&lt;&gt;EGRESO*",PAGOS!$D$3:$D$1048576,B7)</f>
        <v>200</v>
      </c>
      <c r="O7" s="113">
        <f>E7-N7</f>
        <v>0</v>
      </c>
      <c r="P7" s="113">
        <f>SUMIFS(PAGOS!$H$3:$H$1048576,PAGOS!$A$3:$A$1048576,"&lt;&gt;INGRESO*",PAGOS!$A$3:$A$1048576,"&lt;&gt;EGRESO*",PAGOS!$D$3:$D$1048576,B7)</f>
        <v>12</v>
      </c>
      <c r="Q7" s="113">
        <f>K7-P7</f>
        <v>0</v>
      </c>
    </row>
    <row r="8" spans="1:17" x14ac:dyDescent="0.3">
      <c r="A8" s="47" t="str">
        <v>0002</v>
      </c>
      <c r="B8" s="164">
        <v>20</v>
      </c>
      <c r="C8" s="47" t="s">
        <v>22</v>
      </c>
      <c r="D8" s="43">
        <v>45092</v>
      </c>
      <c r="E8" s="165">
        <v>200</v>
      </c>
      <c r="F8" s="47">
        <v>4</v>
      </c>
      <c r="G8" s="165">
        <v>50</v>
      </c>
      <c r="H8" s="165">
        <v>4</v>
      </c>
      <c r="I8" s="166">
        <v>54</v>
      </c>
      <c r="J8" s="165">
        <v>200</v>
      </c>
      <c r="K8" s="165">
        <v>16</v>
      </c>
      <c r="L8" s="165">
        <v>216</v>
      </c>
      <c r="N8" s="113">
        <f>SUMIFS(PAGOS!$E$3:$E$1048576,PAGOS!$A$3:$A$1048576,"&lt;&gt;INGRESO*",PAGOS!$A$3:$A$1048576,"&lt;&gt;EGRESO*",PAGOS!$D$3:$D$1048576,B8)</f>
        <v>200</v>
      </c>
      <c r="O8" s="113">
        <f>E8-N8</f>
        <v>0</v>
      </c>
      <c r="P8" s="113">
        <f>SUMIFS(PAGOS!$H$3:$H$1048576,PAGOS!$A$3:$A$1048576,"&lt;&gt;INGRESO*",PAGOS!$A$3:$A$1048576,"&lt;&gt;EGRESO*",PAGOS!$D$3:$D$1048576,B8)</f>
        <v>16</v>
      </c>
      <c r="Q8" s="113">
        <f>K8-P8</f>
        <v>0</v>
      </c>
    </row>
    <row r="9" spans="1:17" x14ac:dyDescent="0.3">
      <c r="A9" s="47" t="str">
        <v>0003</v>
      </c>
      <c r="B9" s="164">
        <v>34</v>
      </c>
      <c r="C9" s="47" t="s">
        <v>22</v>
      </c>
      <c r="D9" s="43">
        <v>45311</v>
      </c>
      <c r="E9" s="165">
        <v>100</v>
      </c>
      <c r="F9" s="47">
        <v>5</v>
      </c>
      <c r="G9" s="165">
        <v>20</v>
      </c>
      <c r="H9" s="165">
        <v>2</v>
      </c>
      <c r="I9" s="166">
        <v>22</v>
      </c>
      <c r="J9" s="165">
        <v>100</v>
      </c>
      <c r="K9" s="165">
        <v>10</v>
      </c>
      <c r="L9" s="165">
        <v>110</v>
      </c>
      <c r="N9" s="113">
        <f>SUMIFS(PAGOS!$E$3:$E$1048576,PAGOS!$A$3:$A$1048576,"&lt;&gt;INGRESO*",PAGOS!$A$3:$A$1048576,"&lt;&gt;EGRESO*",PAGOS!$D$3:$D$1048576,B9)</f>
        <v>0</v>
      </c>
      <c r="O9" s="113">
        <f>E9-N9</f>
        <v>100</v>
      </c>
      <c r="P9" s="113">
        <f>SUMIFS(PAGOS!$H$3:$H$1048576,PAGOS!$A$3:$A$1048576,"&lt;&gt;INGRESO*",PAGOS!$A$3:$A$1048576,"&lt;&gt;EGRESO*",PAGOS!$D$3:$D$1048576,B9)</f>
        <v>4</v>
      </c>
      <c r="Q9" s="113">
        <f>K9-P9</f>
        <v>6</v>
      </c>
    </row>
    <row r="10" spans="1:17" x14ac:dyDescent="0.3">
      <c r="A10" s="47" t="str">
        <v>0004</v>
      </c>
      <c r="B10" s="41" t="s">
        <v>199</v>
      </c>
      <c r="C10" s="47" t="s">
        <v>22</v>
      </c>
      <c r="D10" s="43">
        <v>45366</v>
      </c>
      <c r="E10" s="170">
        <v>600</v>
      </c>
      <c r="F10" s="47">
        <v>12</v>
      </c>
      <c r="G10" s="165">
        <v>50</v>
      </c>
      <c r="H10" s="165">
        <v>12</v>
      </c>
      <c r="I10" s="166">
        <v>62</v>
      </c>
      <c r="J10" s="165">
        <v>600</v>
      </c>
      <c r="K10" s="165">
        <v>144</v>
      </c>
      <c r="L10" s="165">
        <v>744</v>
      </c>
      <c r="N10" s="113">
        <f>SUMIFS(PAGOS!$E$3:$E$1048576,PAGOS!$A$3:$A$1048576,"&lt;&gt;INGRESO*",PAGOS!$A$3:$A$1048576,"&lt;&gt;EGRESO*",PAGOS!$D$3:$D$1048576,+MID('11'!B10,6,3)*1)</f>
        <v>600</v>
      </c>
      <c r="O10" s="113">
        <f>E10-N10</f>
        <v>0</v>
      </c>
      <c r="P10" s="113">
        <f>SUMIFS(PAGOS!$H$3:$H$1048576,PAGOS!$A$3:$A$1048576,"&lt;&gt;INGRESO*",PAGOS!$A$3:$A$1048576,"&lt;&gt;EGRESO*",PAGOS!$D$3:$D$1048576,+MID('11'!B10,6,3)*1)</f>
        <v>144</v>
      </c>
      <c r="Q10" s="113">
        <f>K10-P10</f>
        <v>0</v>
      </c>
    </row>
    <row r="16" spans="1:17" x14ac:dyDescent="0.3">
      <c r="I16"/>
    </row>
    <row r="17" spans="9:9" x14ac:dyDescent="0.3"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15"/>
  <sheetViews>
    <sheetView zoomScaleNormal="100" workbookViewId="0">
      <selection activeCell="G3" sqref="G3"/>
    </sheetView>
  </sheetViews>
  <sheetFormatPr baseColWidth="10" defaultColWidth="11.5546875" defaultRowHeight="14.4" x14ac:dyDescent="0.3"/>
  <cols>
    <col min="1" max="1" width="14.33203125" bestFit="1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62" bestFit="1" customWidth="1"/>
    <col min="8" max="8" width="7.6640625" style="162" bestFit="1" customWidth="1"/>
    <col min="9" max="9" width="8.33203125" style="163" bestFit="1" customWidth="1"/>
    <col min="10" max="10" width="8.44140625" style="162" bestFit="1" customWidth="1"/>
    <col min="11" max="12" width="11.6640625" style="162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  <c r="L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1820</v>
      </c>
      <c r="H3" s="135" t="s">
        <v>178</v>
      </c>
      <c r="I3" s="153">
        <f>SUM($P$7:$P$1048576)</f>
        <v>171.4</v>
      </c>
      <c r="J3" s="135" t="s">
        <v>179</v>
      </c>
      <c r="K3" s="154">
        <f>G3+I3</f>
        <v>1991.4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164</v>
      </c>
      <c r="I5"/>
      <c r="J5"/>
      <c r="K5"/>
      <c r="L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15">"000"&amp;_xlfn.SEQUENCE(COUNTA(C7:C1048576))</f>
        <v>0001</v>
      </c>
      <c r="B7" s="164">
        <v>4</v>
      </c>
      <c r="C7" s="47" t="s">
        <v>23</v>
      </c>
      <c r="D7" s="43">
        <v>44910</v>
      </c>
      <c r="E7" s="165">
        <v>200</v>
      </c>
      <c r="F7" s="47">
        <v>2</v>
      </c>
      <c r="G7" s="11">
        <v>100</v>
      </c>
      <c r="H7" s="11">
        <v>4</v>
      </c>
      <c r="I7" s="202">
        <v>104</v>
      </c>
      <c r="J7" s="11">
        <v>200</v>
      </c>
      <c r="K7" s="11">
        <v>8</v>
      </c>
      <c r="L7" s="11">
        <v>208</v>
      </c>
      <c r="N7" s="113">
        <f>SUMIFS(PAGOS!$E$3:$E$1048576,PAGOS!$A$3:$A$1048576,"&lt;&gt;INGRESO*",PAGOS!$A$3:$A$1048576,"&lt;&gt;EGRESO*",PAGOS!$D$3:$D$1048576,B7)</f>
        <v>200</v>
      </c>
      <c r="O7" s="113">
        <f t="shared" ref="O7:O15" si="0">E7-N7</f>
        <v>0</v>
      </c>
      <c r="P7" s="113">
        <f>SUMIFS(PAGOS!$H$3:$H$1048576,PAGOS!$A$3:$A$1048576,"&lt;&gt;INGRESO*",PAGOS!$A$3:$A$1048576,"&lt;&gt;EGRESO*",PAGOS!$D$3:$D$1048576,B7)</f>
        <v>8</v>
      </c>
      <c r="Q7" s="113">
        <f t="shared" ref="Q7:Q15" si="1">K7-P7</f>
        <v>0</v>
      </c>
    </row>
    <row r="8" spans="1:17" x14ac:dyDescent="0.3">
      <c r="A8" s="47" t="str">
        <v>0002</v>
      </c>
      <c r="B8" s="164">
        <v>29</v>
      </c>
      <c r="C8" s="47" t="s">
        <v>23</v>
      </c>
      <c r="D8" s="43">
        <v>45214</v>
      </c>
      <c r="E8" s="165">
        <v>200</v>
      </c>
      <c r="F8" s="47">
        <v>4</v>
      </c>
      <c r="G8" s="11">
        <v>50</v>
      </c>
      <c r="H8" s="11">
        <v>4</v>
      </c>
      <c r="I8" s="202">
        <v>54</v>
      </c>
      <c r="J8" s="11">
        <v>200</v>
      </c>
      <c r="K8" s="11">
        <v>16</v>
      </c>
      <c r="L8" s="11">
        <v>216</v>
      </c>
      <c r="N8" s="113">
        <f>SUMIFS(PAGOS!$E$3:$E$1048576,PAGOS!$A$3:$A$1048576,"&lt;&gt;INGRESO*",PAGOS!$A$3:$A$1048576,"&lt;&gt;EGRESO*",PAGOS!$D$3:$D$1048576,B8)</f>
        <v>200</v>
      </c>
      <c r="O8" s="113">
        <f t="shared" si="0"/>
        <v>0</v>
      </c>
      <c r="P8" s="113">
        <f>SUMIFS(PAGOS!$H$3:$H$1048576,PAGOS!$A$3:$A$1048576,"&lt;&gt;INGRESO*",PAGOS!$A$3:$A$1048576,"&lt;&gt;EGRESO*",PAGOS!$D$3:$D$1048576,B8)</f>
        <v>16</v>
      </c>
      <c r="Q8" s="113">
        <f t="shared" si="1"/>
        <v>0</v>
      </c>
    </row>
    <row r="9" spans="1:17" x14ac:dyDescent="0.3">
      <c r="A9" s="47" t="str">
        <v>0003</v>
      </c>
      <c r="B9" s="41" t="s">
        <v>204</v>
      </c>
      <c r="C9" s="47" t="s">
        <v>23</v>
      </c>
      <c r="D9" s="43">
        <v>45397</v>
      </c>
      <c r="E9" s="170">
        <v>150</v>
      </c>
      <c r="F9" s="47">
        <v>3</v>
      </c>
      <c r="G9" s="11">
        <v>50</v>
      </c>
      <c r="H9" s="11">
        <v>3</v>
      </c>
      <c r="I9" s="202">
        <v>53</v>
      </c>
      <c r="J9" s="11">
        <v>150</v>
      </c>
      <c r="K9" s="11">
        <v>9</v>
      </c>
      <c r="L9" s="11">
        <v>159</v>
      </c>
      <c r="N9" s="113">
        <f>SUMIFS(PAGOS!$E$3:$E$1048576,PAGOS!$A$3:$A$1048576,"&lt;&gt;INGRESO*",PAGOS!$A$3:$A$1048576,"&lt;&gt;EGRESO*",PAGOS!$D$3:$D$1048576,+MID('12'!B9,6,3)*1)</f>
        <v>150</v>
      </c>
      <c r="O9" s="113">
        <f t="shared" si="0"/>
        <v>0</v>
      </c>
      <c r="P9" s="113">
        <f>SUMIFS(PAGOS!$H$3:$H$1048576,PAGOS!$A$3:$A$1048576,"&lt;&gt;INGRESO*",PAGOS!$A$3:$A$1048576,"&lt;&gt;EGRESO*",PAGOS!$D$3:$D$1048576,+MID('12'!B9,6,3)*1)</f>
        <v>9</v>
      </c>
      <c r="Q9" s="113">
        <f t="shared" si="1"/>
        <v>0</v>
      </c>
    </row>
    <row r="10" spans="1:17" x14ac:dyDescent="0.3">
      <c r="A10" s="47" t="str">
        <v>0004</v>
      </c>
      <c r="B10" s="41" t="s">
        <v>222</v>
      </c>
      <c r="C10" s="47" t="s">
        <v>23</v>
      </c>
      <c r="D10" s="43">
        <v>45488</v>
      </c>
      <c r="E10" s="170">
        <v>500</v>
      </c>
      <c r="F10" s="47">
        <v>12</v>
      </c>
      <c r="G10" s="11">
        <v>41.666666666666664</v>
      </c>
      <c r="H10" s="11">
        <v>10</v>
      </c>
      <c r="I10" s="202">
        <v>51.666666666666664</v>
      </c>
      <c r="J10" s="11">
        <v>500</v>
      </c>
      <c r="K10" s="11">
        <v>120</v>
      </c>
      <c r="L10" s="11">
        <v>620</v>
      </c>
      <c r="N10" s="113">
        <f>SUMIFS(PAGOS!$E$3:$E$1048576,PAGOS!$A$3:$A$1048576,"&lt;&gt;INGRESO*",PAGOS!$A$3:$A$1048576,"&lt;&gt;EGRESO*",PAGOS!$D$3:$D$1048576,+MID('12'!B10,6,3)*1)</f>
        <v>500.04000000000013</v>
      </c>
      <c r="O10" s="113">
        <f t="shared" si="0"/>
        <v>-4.000000000013415E-2</v>
      </c>
      <c r="P10" s="113">
        <f>SUMIFS(PAGOS!$H$3:$H$1048576,PAGOS!$A$3:$A$1048576,"&lt;&gt;INGRESO*",PAGOS!$A$3:$A$1048576,"&lt;&gt;EGRESO*",PAGOS!$D$3:$D$1048576,+MID('12'!B10,6,3)*1)</f>
        <v>120</v>
      </c>
      <c r="Q10" s="113">
        <f t="shared" si="1"/>
        <v>0</v>
      </c>
    </row>
    <row r="11" spans="1:17" x14ac:dyDescent="0.3">
      <c r="A11" s="47" t="str">
        <v>0005</v>
      </c>
      <c r="B11" s="47" t="s">
        <v>300</v>
      </c>
      <c r="C11" s="47" t="s">
        <v>299</v>
      </c>
      <c r="D11" s="43">
        <v>45643</v>
      </c>
      <c r="E11" s="170">
        <v>80</v>
      </c>
      <c r="F11" s="47">
        <v>1</v>
      </c>
      <c r="G11" s="11">
        <v>80</v>
      </c>
      <c r="H11" s="11">
        <v>1.6</v>
      </c>
      <c r="I11" s="202">
        <v>81.599999999999994</v>
      </c>
      <c r="J11" s="11">
        <v>80</v>
      </c>
      <c r="K11" s="11">
        <v>1.6</v>
      </c>
      <c r="L11" s="11">
        <v>81.599999999999994</v>
      </c>
      <c r="N11" s="113">
        <f>SUMIFS(PAGOS!$E$3:$E$1048576,PAGOS!$A$3:$A$1048576,"&lt;&gt;INGRESO*",PAGOS!$A$3:$A$1048576,"&lt;&gt;EGRESO*",PAGOS!$D$3:$D$1048576,+MID('12'!B11,6,3)*1)</f>
        <v>80</v>
      </c>
      <c r="O11" s="113">
        <f t="shared" si="0"/>
        <v>0</v>
      </c>
      <c r="P11" s="113">
        <f>SUMIFS(PAGOS!$H$3:$H$1048576,PAGOS!$A$3:$A$1048576,"&lt;&gt;INGRESO*",PAGOS!$A$3:$A$1048576,"&lt;&gt;EGRESO*",PAGOS!$D$3:$D$1048576,+MID('12'!B11,6,3)*1)</f>
        <v>1.6</v>
      </c>
      <c r="Q11" s="113">
        <f t="shared" si="1"/>
        <v>0</v>
      </c>
    </row>
    <row r="12" spans="1:17" x14ac:dyDescent="0.3">
      <c r="A12" s="47" t="str">
        <v>0006</v>
      </c>
      <c r="B12" s="41" t="s">
        <v>319</v>
      </c>
      <c r="C12" s="47" t="s">
        <v>318</v>
      </c>
      <c r="D12" s="43">
        <v>45676</v>
      </c>
      <c r="E12" s="170">
        <v>150</v>
      </c>
      <c r="F12" s="47">
        <v>2</v>
      </c>
      <c r="G12" s="11">
        <v>75</v>
      </c>
      <c r="H12" s="11">
        <v>3</v>
      </c>
      <c r="I12" s="202">
        <v>78</v>
      </c>
      <c r="J12" s="11">
        <v>150</v>
      </c>
      <c r="K12" s="11">
        <v>6</v>
      </c>
      <c r="L12" s="11">
        <v>156</v>
      </c>
      <c r="N12" s="113">
        <f>SUMIFS(PAGOS!$E$3:$E$1048576,PAGOS!$A$3:$A$1048576,"&lt;&gt;INGRESO*",PAGOS!$A$3:$A$1048576,"&lt;&gt;EGRESO*",PAGOS!$D$3:$D$1048576,+MID('12'!B12,6,3)*1)</f>
        <v>150</v>
      </c>
      <c r="O12" s="113">
        <f t="shared" si="0"/>
        <v>0</v>
      </c>
      <c r="P12" s="113">
        <f>SUMIFS(PAGOS!$H$3:$H$1048576,PAGOS!$A$3:$A$1048576,"&lt;&gt;INGRESO*",PAGOS!$A$3:$A$1048576,"&lt;&gt;EGRESO*",PAGOS!$D$3:$D$1048576,+MID('12'!B12,6,3)*1)</f>
        <v>6</v>
      </c>
      <c r="Q12" s="113">
        <f t="shared" si="1"/>
        <v>0</v>
      </c>
    </row>
    <row r="13" spans="1:17" x14ac:dyDescent="0.3">
      <c r="A13" s="47" t="str">
        <v>0007</v>
      </c>
      <c r="B13" s="41" t="s">
        <v>334</v>
      </c>
      <c r="C13" s="47" t="s">
        <v>333</v>
      </c>
      <c r="D13" s="43">
        <v>45707</v>
      </c>
      <c r="E13" s="170">
        <v>400</v>
      </c>
      <c r="F13" s="47">
        <v>1</v>
      </c>
      <c r="G13" s="11">
        <v>400</v>
      </c>
      <c r="H13" s="11">
        <v>8</v>
      </c>
      <c r="I13" s="202">
        <v>408</v>
      </c>
      <c r="J13" s="11">
        <v>400</v>
      </c>
      <c r="K13" s="11">
        <v>8</v>
      </c>
      <c r="L13" s="11">
        <v>408</v>
      </c>
      <c r="N13" s="113">
        <f>SUMIFS(PAGOS!$E$3:$E$1048576,PAGOS!$A$3:$A$1048576,"&lt;&gt;INGRESO*",PAGOS!$A$3:$A$1048576,"&lt;&gt;EGRESO*",PAGOS!$D$3:$D$1048576,+MID('12'!B13,6,3)*1)</f>
        <v>400</v>
      </c>
      <c r="O13" s="113">
        <f t="shared" si="0"/>
        <v>0</v>
      </c>
      <c r="P13" s="113">
        <f>SUMIFS(PAGOS!$H$3:$H$1048576,PAGOS!$A$3:$A$1048576,"&lt;&gt;INGRESO*",PAGOS!$A$3:$A$1048576,"&lt;&gt;EGRESO*",PAGOS!$D$3:$D$1048576,+MID('12'!B13,6,3)*1)</f>
        <v>8</v>
      </c>
      <c r="Q13" s="113">
        <f t="shared" si="1"/>
        <v>0</v>
      </c>
    </row>
    <row r="14" spans="1:17" x14ac:dyDescent="0.3">
      <c r="A14" s="47" t="str">
        <v>0008</v>
      </c>
      <c r="B14" s="41" t="s">
        <v>386</v>
      </c>
      <c r="C14" s="47" t="s">
        <v>299</v>
      </c>
      <c r="D14" s="43">
        <v>45792</v>
      </c>
      <c r="E14" s="170">
        <v>40</v>
      </c>
      <c r="F14" s="47">
        <v>1</v>
      </c>
      <c r="G14" s="11">
        <v>40</v>
      </c>
      <c r="H14" s="11">
        <v>0.8</v>
      </c>
      <c r="I14" s="202">
        <v>40.799999999999997</v>
      </c>
      <c r="J14" s="11">
        <v>40</v>
      </c>
      <c r="K14" s="11">
        <v>0.8</v>
      </c>
      <c r="L14" s="11">
        <v>40.799999999999997</v>
      </c>
      <c r="N14" s="113">
        <f>SUMIFS(PAGOS!$E$3:$E$1048576,PAGOS!$A$3:$A$1048576,"&lt;&gt;INGRESO*",PAGOS!$A$3:$A$1048576,"&lt;&gt;EGRESO*",PAGOS!$D$3:$D$1048576,+MID('12'!B14,6,3)*1)</f>
        <v>40</v>
      </c>
      <c r="O14" s="113">
        <f t="shared" si="0"/>
        <v>0</v>
      </c>
      <c r="P14" s="113">
        <f>SUMIFS(PAGOS!$H$3:$H$1048576,PAGOS!$A$3:$A$1048576,"&lt;&gt;INGRESO*",PAGOS!$A$3:$A$1048576,"&lt;&gt;EGRESO*",PAGOS!$D$3:$D$1048576,+MID('12'!B14,6,3)*1)</f>
        <v>0.8</v>
      </c>
      <c r="Q14" s="113">
        <f t="shared" si="1"/>
        <v>0</v>
      </c>
    </row>
    <row r="15" spans="1:17" x14ac:dyDescent="0.3">
      <c r="A15" s="47" t="str">
        <v>0009</v>
      </c>
      <c r="B15" s="41" t="s">
        <v>391</v>
      </c>
      <c r="C15" s="47" t="s">
        <v>390</v>
      </c>
      <c r="D15" s="43">
        <v>45855</v>
      </c>
      <c r="E15" s="170">
        <v>100</v>
      </c>
      <c r="F15" s="47">
        <v>1</v>
      </c>
      <c r="G15" s="11">
        <v>100</v>
      </c>
      <c r="H15" s="11">
        <v>2</v>
      </c>
      <c r="I15" s="202">
        <v>102</v>
      </c>
      <c r="J15" s="11">
        <v>100</v>
      </c>
      <c r="K15" s="11">
        <v>2</v>
      </c>
      <c r="L15" s="11">
        <v>102</v>
      </c>
      <c r="N15" s="113">
        <f>SUMIFS(PAGOS!$E$3:$E$1048576,PAGOS!$A$3:$A$1048576,"&lt;&gt;INGRESO*",PAGOS!$A$3:$A$1048576,"&lt;&gt;EGRESO*",PAGOS!$D$3:$D$1048576,+MID('12'!B15,6,3)*1)</f>
        <v>100</v>
      </c>
      <c r="O15" s="113">
        <f t="shared" si="0"/>
        <v>0</v>
      </c>
      <c r="P15" s="113">
        <f>SUMIFS(PAGOS!$H$3:$H$1048576,PAGOS!$A$3:$A$1048576,"&lt;&gt;INGRESO*",PAGOS!$A$3:$A$1048576,"&lt;&gt;EGRESO*",PAGOS!$D$3:$D$1048576,+MID('12'!B15,6,3)*1)</f>
        <v>2</v>
      </c>
      <c r="Q15" s="113">
        <f t="shared" si="1"/>
        <v>0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8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I18" sqref="I18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customWidth="1"/>
    <col min="6" max="6" width="9.33203125" bestFit="1" customWidth="1"/>
    <col min="7" max="7" width="10.109375" bestFit="1" customWidth="1"/>
    <col min="8" max="8" width="7.88671875" bestFit="1" customWidth="1"/>
    <col min="9" max="9" width="8.33203125" style="132" customWidth="1"/>
    <col min="10" max="10" width="13.6640625" bestFit="1" customWidth="1"/>
    <col min="11" max="12" width="11.109375" bestFit="1" customWidth="1"/>
    <col min="14" max="17" width="11.109375" bestFit="1" customWidth="1"/>
  </cols>
  <sheetData>
    <row r="1" spans="1:17" x14ac:dyDescent="0.3">
      <c r="I1"/>
    </row>
    <row r="2" spans="1:17" x14ac:dyDescent="0.3">
      <c r="A2" t="s">
        <v>175</v>
      </c>
      <c r="D2" s="150" t="s">
        <v>181</v>
      </c>
      <c r="E2" s="151"/>
      <c r="F2" s="151"/>
      <c r="G2" s="151"/>
      <c r="H2" s="151"/>
      <c r="I2" s="151"/>
      <c r="J2" s="151"/>
      <c r="K2" s="152"/>
    </row>
    <row r="3" spans="1:17" x14ac:dyDescent="0.3">
      <c r="D3" s="135" t="s">
        <v>176</v>
      </c>
      <c r="E3" s="155"/>
      <c r="F3" s="135" t="s">
        <v>177</v>
      </c>
      <c r="G3" s="153">
        <f>SUM(E7:E1048576)</f>
        <v>2080</v>
      </c>
      <c r="H3" s="135" t="s">
        <v>178</v>
      </c>
      <c r="I3" s="153">
        <f>SUM($P$7:$P$1048576)</f>
        <v>241.6</v>
      </c>
      <c r="J3" s="135" t="s">
        <v>179</v>
      </c>
      <c r="K3" s="154">
        <f>G3+I3</f>
        <v>2321.6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3</v>
      </c>
      <c r="I5"/>
      <c r="N5" s="82" t="s">
        <v>260</v>
      </c>
      <c r="O5" s="83"/>
      <c r="P5" s="83"/>
      <c r="Q5" s="83"/>
    </row>
    <row r="6" spans="1:17" x14ac:dyDescent="0.3">
      <c r="A6" s="7" t="s">
        <v>46</v>
      </c>
      <c r="B6" s="156" t="s">
        <v>180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257</v>
      </c>
      <c r="O6" s="20" t="s">
        <v>258</v>
      </c>
      <c r="P6" s="20" t="s">
        <v>259</v>
      </c>
      <c r="Q6" s="20" t="s">
        <v>258</v>
      </c>
    </row>
    <row r="7" spans="1:17" x14ac:dyDescent="0.3">
      <c r="A7" s="47" t="str" cm="1">
        <f t="array" ref="A7:A10">"000"&amp;_xlfn.SEQUENCE(COUNTA(C7:C1048576))</f>
        <v>0001</v>
      </c>
      <c r="B7" s="164">
        <v>14</v>
      </c>
      <c r="C7" s="47" t="s">
        <v>24</v>
      </c>
      <c r="D7" s="43">
        <v>45000</v>
      </c>
      <c r="E7" s="165">
        <v>80</v>
      </c>
      <c r="F7" s="47">
        <v>1</v>
      </c>
      <c r="G7" s="165">
        <v>80</v>
      </c>
      <c r="H7" s="165">
        <v>1.6</v>
      </c>
      <c r="I7" s="166">
        <v>81.599999999999994</v>
      </c>
      <c r="J7" s="165">
        <v>80</v>
      </c>
      <c r="K7" s="165">
        <v>1.6</v>
      </c>
      <c r="L7" s="165">
        <v>81.599999999999994</v>
      </c>
      <c r="N7" s="113">
        <f>SUMIFS(PAGOS!$E$3:$E$1048576,PAGOS!$A$3:$A$1048576,"&lt;&gt;INGRESO*",PAGOS!$A$3:$A$1048576,"&lt;&gt;EGRESO*",PAGOS!$D$3:$D$1048576,B7)</f>
        <v>80</v>
      </c>
      <c r="O7" s="113">
        <f>E7-N7</f>
        <v>0</v>
      </c>
      <c r="P7" s="113">
        <f>SUMIFS(PAGOS!$H$3:$H$1048576,PAGOS!$A$3:$A$1048576,"&lt;&gt;INGRESO*",PAGOS!$A$3:$A$1048576,"&lt;&gt;EGRESO*",PAGOS!$D$3:$D$1048576,B7)</f>
        <v>1.6</v>
      </c>
      <c r="Q7" s="113">
        <f>K7-P7</f>
        <v>0</v>
      </c>
    </row>
    <row r="8" spans="1:17" x14ac:dyDescent="0.3">
      <c r="A8" s="47" t="str">
        <v>0002</v>
      </c>
      <c r="B8" s="164">
        <v>25</v>
      </c>
      <c r="C8" s="47" t="s">
        <v>24</v>
      </c>
      <c r="D8" s="43">
        <v>45184</v>
      </c>
      <c r="E8" s="165">
        <v>500</v>
      </c>
      <c r="F8" s="47">
        <v>6</v>
      </c>
      <c r="G8" s="165">
        <v>83.333333333333329</v>
      </c>
      <c r="H8" s="165">
        <v>10</v>
      </c>
      <c r="I8" s="166">
        <v>93.333333333333329</v>
      </c>
      <c r="J8" s="165">
        <v>500</v>
      </c>
      <c r="K8" s="165">
        <v>60</v>
      </c>
      <c r="L8" s="165">
        <v>560</v>
      </c>
      <c r="N8" s="113">
        <f>SUMIFS(PAGOS!$E$3:$E$1048576,PAGOS!$A$3:$A$1048576,"&lt;&gt;INGRESO*",PAGOS!$A$3:$A$1048576,"&lt;&gt;EGRESO*",PAGOS!$D$3:$D$1048576,B8)</f>
        <v>0</v>
      </c>
      <c r="O8" s="113">
        <f>E8-N8</f>
        <v>500</v>
      </c>
      <c r="P8" s="113">
        <f>SUMIFS(PAGOS!$H$3:$H$1048576,PAGOS!$A$3:$A$1048576,"&lt;&gt;INGRESO*",PAGOS!$A$3:$A$1048576,"&lt;&gt;EGRESO*",PAGOS!$D$3:$D$1048576,B8)</f>
        <v>60</v>
      </c>
      <c r="Q8" s="113">
        <f>K8-P8</f>
        <v>0</v>
      </c>
    </row>
    <row r="9" spans="1:17" x14ac:dyDescent="0.3">
      <c r="A9" s="47" t="str">
        <v>0003</v>
      </c>
      <c r="B9" s="41" t="s">
        <v>221</v>
      </c>
      <c r="C9" s="47" t="s">
        <v>24</v>
      </c>
      <c r="D9" s="43">
        <v>45488</v>
      </c>
      <c r="E9" s="170">
        <v>500</v>
      </c>
      <c r="F9" s="47">
        <v>5</v>
      </c>
      <c r="G9" s="165">
        <v>100</v>
      </c>
      <c r="H9" s="165">
        <v>10</v>
      </c>
      <c r="I9" s="166">
        <v>110</v>
      </c>
      <c r="J9" s="165">
        <v>500</v>
      </c>
      <c r="K9" s="165">
        <v>50</v>
      </c>
      <c r="L9" s="165">
        <v>550</v>
      </c>
      <c r="N9" s="113">
        <f>SUMIFS(PAGOS!$E$3:$E$1048576,PAGOS!$A$3:$A$1048576,"&lt;&gt;INGRESO*",PAGOS!$A$3:$A$1048576,"&lt;&gt;EGRESO*",PAGOS!$D$3:$D$1048576,+MID('13'!B9,6,3)*1)</f>
        <v>400</v>
      </c>
      <c r="O9" s="113">
        <f>E9-N9</f>
        <v>100</v>
      </c>
      <c r="P9" s="113">
        <f>SUMIFS(PAGOS!$H$3:$H$1048576,PAGOS!$A$3:$A$1048576,"&lt;&gt;INGRESO*",PAGOS!$A$3:$A$1048576,"&lt;&gt;EGRESO*",PAGOS!$D$3:$D$1048576,+MID('13'!B9,6,3)*1)</f>
        <v>40</v>
      </c>
      <c r="Q9" s="113">
        <f>K9-P9</f>
        <v>10</v>
      </c>
    </row>
    <row r="10" spans="1:17" x14ac:dyDescent="0.3">
      <c r="A10" s="47" t="str">
        <v>0004</v>
      </c>
      <c r="B10" s="41" t="s">
        <v>292</v>
      </c>
      <c r="C10" s="47" t="s">
        <v>24</v>
      </c>
      <c r="D10" s="43">
        <v>45641</v>
      </c>
      <c r="E10" s="170">
        <v>1000</v>
      </c>
      <c r="F10" s="47">
        <v>10</v>
      </c>
      <c r="G10" s="165">
        <v>100</v>
      </c>
      <c r="H10" s="165">
        <v>20</v>
      </c>
      <c r="I10" s="166">
        <v>120</v>
      </c>
      <c r="J10" s="165">
        <v>1000</v>
      </c>
      <c r="K10" s="165">
        <v>200</v>
      </c>
      <c r="L10" s="165">
        <v>1200</v>
      </c>
      <c r="N10" s="113">
        <f>SUMIFS(PAGOS!$E$3:$E$1048576,PAGOS!$A$3:$A$1048576,"&lt;&gt;INGRESO*",PAGOS!$A$3:$A$1048576,"&lt;&gt;EGRESO*",PAGOS!$D$3:$D$1048576,+MID('13'!B10,6,3)*1)</f>
        <v>700</v>
      </c>
      <c r="O10" s="113">
        <f>E10-N10</f>
        <v>300</v>
      </c>
      <c r="P10" s="113">
        <f>SUMIFS(PAGOS!$H$3:$H$1048576,PAGOS!$A$3:$A$1048576,"&lt;&gt;INGRESO*",PAGOS!$A$3:$A$1048576,"&lt;&gt;EGRESO*",PAGOS!$D$3:$D$1048576,+MID('13'!B10,6,3)*1)</f>
        <v>140</v>
      </c>
      <c r="Q10" s="113">
        <f>K10-P10</f>
        <v>60</v>
      </c>
    </row>
    <row r="12" spans="1:17" x14ac:dyDescent="0.3">
      <c r="I12"/>
    </row>
    <row r="13" spans="1:17" x14ac:dyDescent="0.3">
      <c r="I13"/>
    </row>
    <row r="14" spans="1:17" x14ac:dyDescent="0.3">
      <c r="I14"/>
    </row>
    <row r="16" spans="1:17" x14ac:dyDescent="0.3">
      <c r="I16"/>
    </row>
    <row r="17" spans="9:9" x14ac:dyDescent="0.3">
      <c r="I17"/>
    </row>
    <row r="27" spans="9:9" x14ac:dyDescent="0.3">
      <c r="I27"/>
    </row>
    <row r="28" spans="9:9" x14ac:dyDescent="0.3">
      <c r="I28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1D573793-9A2A-40BB-ACDF-EDBB95B096D0}">
  <ds:schemaRefs/>
</ds:datastoreItem>
</file>

<file path=customXml/itemProps2.xml><?xml version="1.0" encoding="utf-8"?>
<ds:datastoreItem xmlns:ds="http://schemas.openxmlformats.org/officeDocument/2006/customXml" ds:itemID="{EA8ECFC1-1041-46A5-AC72-47EFFDA40917}">
  <ds:schemaRefs/>
</ds:datastoreItem>
</file>

<file path=customXml/itemProps3.xml><?xml version="1.0" encoding="utf-8"?>
<ds:datastoreItem xmlns:ds="http://schemas.openxmlformats.org/officeDocument/2006/customXml" ds:itemID="{4794A331-D7C0-48C9-A64A-2F708E40918C}">
  <ds:schemaRefs/>
</ds:datastoreItem>
</file>

<file path=customXml/itemProps4.xml><?xml version="1.0" encoding="utf-8"?>
<ds:datastoreItem xmlns:ds="http://schemas.openxmlformats.org/officeDocument/2006/customXml" ds:itemID="{B41D8EFD-3A32-4151-9111-9D1B3D59D808}">
  <ds:schemaRefs/>
</ds:datastoreItem>
</file>

<file path=customXml/itemProps5.xml><?xml version="1.0" encoding="utf-8"?>
<ds:datastoreItem xmlns:ds="http://schemas.openxmlformats.org/officeDocument/2006/customXml" ds:itemID="{CCC2BFEA-1C63-45CB-998F-867C60539D8E}">
  <ds:schemaRefs/>
</ds:datastoreItem>
</file>

<file path=customXml/itemProps6.xml><?xml version="1.0" encoding="utf-8"?>
<ds:datastoreItem xmlns:ds="http://schemas.openxmlformats.org/officeDocument/2006/customXml" ds:itemID="{F4B64C65-FDE9-48C7-BFC1-1F5E0CA796BC}">
  <ds:schemaRefs/>
</ds:datastoreItem>
</file>

<file path=customXml/itemProps7.xml><?xml version="1.0" encoding="utf-8"?>
<ds:datastoreItem xmlns:ds="http://schemas.openxmlformats.org/officeDocument/2006/customXml" ds:itemID="{1EC8139C-0445-42B8-83DE-6C9E5DF257A4}">
  <ds:schemaRefs/>
</ds:datastoreItem>
</file>

<file path=customXml/itemProps8.xml><?xml version="1.0" encoding="utf-8"?>
<ds:datastoreItem xmlns:ds="http://schemas.openxmlformats.org/officeDocument/2006/customXml" ds:itemID="{56977713-5519-4DDE-A98E-ED694EEEE002}">
  <ds:schemaRefs/>
</ds:datastoreItem>
</file>

<file path=customXml/itemProps9.xml><?xml version="1.0" encoding="utf-8"?>
<ds:datastoreItem xmlns:ds="http://schemas.openxmlformats.org/officeDocument/2006/customXml" ds:itemID="{5E32B214-C004-4100-B819-CAD753BF0EAD}">
  <ds:schemaRefs/>
</ds:datastoreItem>
</file>

<file path=customXml/itemProps10.xml><?xml version="1.0" encoding="utf-8"?>
<ds:datastoreItem xmlns:ds="http://schemas.openxmlformats.org/officeDocument/2006/customXml" ds:itemID="{6FACA953-6097-4604-A6ED-E95603AC46F9}">
  <ds:schemaRefs/>
</ds:datastoreItem>
</file>

<file path=customXml/itemProps11.xml><?xml version="1.0" encoding="utf-8"?>
<ds:datastoreItem xmlns:ds="http://schemas.openxmlformats.org/officeDocument/2006/customXml" ds:itemID="{54414082-E515-4251-B822-C9A98D18339A}">
  <ds:schemaRefs/>
</ds:datastoreItem>
</file>

<file path=customXml/itemProps12.xml><?xml version="1.0" encoding="utf-8"?>
<ds:datastoreItem xmlns:ds="http://schemas.openxmlformats.org/officeDocument/2006/customXml" ds:itemID="{467B89DC-45DC-45DB-AE14-EBE12F6CF689}">
  <ds:schemaRefs/>
</ds:datastoreItem>
</file>

<file path=customXml/itemProps13.xml><?xml version="1.0" encoding="utf-8"?>
<ds:datastoreItem xmlns:ds="http://schemas.openxmlformats.org/officeDocument/2006/customXml" ds:itemID="{970D74BA-31C1-4589-8419-C43A52CE3BC7}">
  <ds:schemaRefs/>
</ds:datastoreItem>
</file>

<file path=customXml/itemProps14.xml><?xml version="1.0" encoding="utf-8"?>
<ds:datastoreItem xmlns:ds="http://schemas.openxmlformats.org/officeDocument/2006/customXml" ds:itemID="{12E6C9B4-C406-4DBA-BDA9-CB28F7BA0F27}">
  <ds:schemaRefs/>
</ds:datastoreItem>
</file>

<file path=customXml/itemProps15.xml><?xml version="1.0" encoding="utf-8"?>
<ds:datastoreItem xmlns:ds="http://schemas.openxmlformats.org/officeDocument/2006/customXml" ds:itemID="{5DE1189C-7EEA-4413-B6A9-21B5269B999E}">
  <ds:schemaRefs/>
</ds:datastoreItem>
</file>

<file path=customXml/itemProps16.xml><?xml version="1.0" encoding="utf-8"?>
<ds:datastoreItem xmlns:ds="http://schemas.openxmlformats.org/officeDocument/2006/customXml" ds:itemID="{7CBDD84F-1825-4B1B-88D4-457D3880B628}">
  <ds:schemaRefs/>
</ds:datastoreItem>
</file>

<file path=customXml/itemProps17.xml><?xml version="1.0" encoding="utf-8"?>
<ds:datastoreItem xmlns:ds="http://schemas.openxmlformats.org/officeDocument/2006/customXml" ds:itemID="{A9F909EB-F002-45AB-894E-17267888885D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340873D7-D046-4561-83BB-0AF814B7A895}">
  <ds:schemaRefs/>
</ds:datastoreItem>
</file>

<file path=customXml/itemProps20.xml><?xml version="1.0" encoding="utf-8"?>
<ds:datastoreItem xmlns:ds="http://schemas.openxmlformats.org/officeDocument/2006/customXml" ds:itemID="{0AF9AE0E-3BD4-4E99-AEF5-94B0341FFF37}">
  <ds:schemaRefs/>
</ds:datastoreItem>
</file>

<file path=customXml/itemProps21.xml><?xml version="1.0" encoding="utf-8"?>
<ds:datastoreItem xmlns:ds="http://schemas.openxmlformats.org/officeDocument/2006/customXml" ds:itemID="{A28830D5-EA88-4415-8641-5FA92227B1CF}">
  <ds:schemaRefs/>
</ds:datastoreItem>
</file>

<file path=customXml/itemProps22.xml><?xml version="1.0" encoding="utf-8"?>
<ds:datastoreItem xmlns:ds="http://schemas.openxmlformats.org/officeDocument/2006/customXml" ds:itemID="{504DB1F8-1600-4022-BDB4-8099180D3EF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30</vt:i4>
      </vt:variant>
      <vt:variant>
        <vt:lpstr>Rangos con nombre</vt:lpstr>
      </vt:variant>
      <vt:variant>
        <vt:i4>23</vt:i4>
      </vt:variant>
    </vt:vector>
  </HeadingPairs>
  <TitlesOfParts>
    <vt:vector size="53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14</vt:lpstr>
      <vt:lpstr>15</vt:lpstr>
      <vt:lpstr>16</vt:lpstr>
      <vt:lpstr>17</vt:lpstr>
      <vt:lpstr>Tabla Amortización</vt:lpstr>
      <vt:lpstr>Hoja2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'01'!Área_de_impresión</vt:lpstr>
      <vt:lpstr>'02'!Área_de_impresión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PRESTAMOS!Área_de_impresión</vt:lpstr>
      <vt:lpstr>'Tabla Amortización'!Área_de_impresión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2025-08-02T03:26:19Z</cp:lastPrinted>
  <dcterms:created xsi:type="dcterms:W3CDTF">2023-09-09T22:17:43Z</dcterms:created>
  <dcterms:modified xsi:type="dcterms:W3CDTF">2025-08-07T04:17:53Z</dcterms:modified>
</cp:coreProperties>
</file>