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OPERATIVA\"/>
    </mc:Choice>
  </mc:AlternateContent>
  <xr:revisionPtr revIDLastSave="0" documentId="13_ncr:1_{6C4D749D-5EB7-4ECB-8B1A-30946E743703}" xr6:coauthVersionLast="47" xr6:coauthVersionMax="47" xr10:uidLastSave="{00000000-0000-0000-0000-000000000000}"/>
  <bookViews>
    <workbookView xWindow="-108" yWindow="-108" windowWidth="23256" windowHeight="14616" firstSheet="7" activeTab="7" xr2:uid="{946D9A46-F2E2-42FC-94CF-C493C0BD5583}"/>
  </bookViews>
  <sheets>
    <sheet name="LINEAMIENTOS" sheetId="1" state="hidden" r:id="rId1"/>
    <sheet name="SOCIOS" sheetId="2" state="hidden" r:id="rId2"/>
    <sheet name="REGISTRO" sheetId="17" state="hidden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r:id="rId8"/>
    <sheet name="HISTORIAL E.R" sheetId="38" state="hidden" r:id="rId9"/>
    <sheet name="DASHBOARD" sheetId="66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Tabla Amortización (3)" sheetId="68" state="hidden" r:id="rId18"/>
    <sheet name="Hoja2" sheetId="21" state="hidden" r:id="rId19"/>
    <sheet name="04" sheetId="4" state="hidden" r:id="rId20"/>
    <sheet name="03" sheetId="5" state="hidden" r:id="rId21"/>
    <sheet name="05" sheetId="6" state="hidden" r:id="rId22"/>
    <sheet name="07" sheetId="7" state="hidden" r:id="rId23"/>
    <sheet name="08" sheetId="8" state="hidden" r:id="rId24"/>
    <sheet name="09" sheetId="9" state="hidden" r:id="rId25"/>
    <sheet name="10" sheetId="10" state="hidden" r:id="rId26"/>
    <sheet name="11" sheetId="11" state="hidden" r:id="rId27"/>
    <sheet name="12" sheetId="12" state="hidden" r:id="rId28"/>
    <sheet name="14" sheetId="13" state="hidden" r:id="rId29"/>
    <sheet name="15" sheetId="14" state="hidden" r:id="rId30"/>
    <sheet name="16" sheetId="15" state="hidden" r:id="rId31"/>
    <sheet name="06" sheetId="16" state="hidden" r:id="rId32"/>
  </sheets>
  <functionGroups builtInGroupCount="19"/>
  <definedNames>
    <definedName name="_xlnm._FilterDatabase" localSheetId="4" hidden="1">PAGOS!$A$2:$L$488</definedName>
    <definedName name="_xlnm._FilterDatabase" localSheetId="3" hidden="1">PRESTAMOS!$A$1:$K$1</definedName>
    <definedName name="_xlnm._FilterDatabase" localSheetId="6" hidden="1">REPORTE!$E$5:$Q$5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20">'03'!$A$1:$L$33</definedName>
    <definedName name="_xlnm.Print_Area" localSheetId="19">'04'!$A$1:$L$30</definedName>
    <definedName name="_xlnm.Print_Area" localSheetId="21">'05'!$A$1:$L$33</definedName>
    <definedName name="_xlnm.Print_Area" localSheetId="31">'06'!$A$1:$L$35</definedName>
    <definedName name="_xlnm.Print_Area" localSheetId="22">'07'!$A$1:$L$35</definedName>
    <definedName name="_xlnm.Print_Area" localSheetId="23">'08'!$A$1:$L$35</definedName>
    <definedName name="_xlnm.Print_Area" localSheetId="24">'09'!$A$1:$L$34</definedName>
    <definedName name="_xlnm.Print_Area" localSheetId="25">'10'!$A$1:$L$36</definedName>
    <definedName name="_xlnm.Print_Area" localSheetId="26">'11'!$A$1:$L$36</definedName>
    <definedName name="_xlnm.Print_Area" localSheetId="27">'12'!$A$1:$L$33</definedName>
    <definedName name="_xlnm.Print_Area" localSheetId="13">'13'!$A$1:$L$35</definedName>
    <definedName name="_xlnm.Print_Area" localSheetId="28">'14'!$A$1:$L$35</definedName>
    <definedName name="_xlnm.Print_Area" localSheetId="29">'15'!$A$1:$L$35</definedName>
    <definedName name="_xlnm.Print_Area" localSheetId="30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PRESTAMOS!$A$1:$M$83</definedName>
    <definedName name="_xlnm.Print_Area" localSheetId="15">'Tabla Amortización'!$A$1:$G$46</definedName>
    <definedName name="_xlnm.Print_Area" localSheetId="16">'Tabla Amortización (2)'!$A$1:$G$50</definedName>
    <definedName name="_xlnm.Print_Area" localSheetId="17">'Tabla Amortización (3)'!$A$1:$G$46</definedName>
    <definedName name="_xlnm.Criteria" localSheetId="3">PRESTAMOS!$O$3:$O$4</definedName>
    <definedName name="ListaFiltrada">PRESTAMOS!$O$4</definedName>
    <definedName name="_xlnm.Print_Titles" localSheetId="8">'HISTORIAL E.R'!$1:$3</definedName>
    <definedName name="_xlnm.Print_Titles" localSheetId="10">'HISTORIAL E.R (2)'!$1:$5</definedName>
  </definedNames>
  <calcPr calcId="191029"/>
  <pivotCaches>
    <pivotCache cacheId="0" r:id="rId3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7" i="22" l="1"/>
  <c r="Q21" i="22"/>
  <c r="I127" i="3"/>
  <c r="J127" i="3" s="1"/>
  <c r="L127" i="3"/>
  <c r="M127" i="3"/>
  <c r="M488" i="18"/>
  <c r="I126" i="3"/>
  <c r="J126" i="3" s="1"/>
  <c r="L126" i="3"/>
  <c r="M126" i="3"/>
  <c r="M487" i="18"/>
  <c r="M486" i="18"/>
  <c r="I125" i="3"/>
  <c r="J125" i="3" s="1"/>
  <c r="L125" i="3"/>
  <c r="M125" i="3"/>
  <c r="M485" i="18"/>
  <c r="M484" i="18"/>
  <c r="M483" i="18"/>
  <c r="I124" i="3"/>
  <c r="J124" i="3" s="1"/>
  <c r="L124" i="3"/>
  <c r="M124" i="3"/>
  <c r="M482" i="18"/>
  <c r="M481" i="18"/>
  <c r="M480" i="18"/>
  <c r="M479" i="18"/>
  <c r="M478" i="18"/>
  <c r="M477" i="18"/>
  <c r="M476" i="18"/>
  <c r="M475" i="18"/>
  <c r="M474" i="18"/>
  <c r="M473" i="18"/>
  <c r="M472" i="18"/>
  <c r="M471" i="18"/>
  <c r="I4" i="3"/>
  <c r="J4" i="3" s="1"/>
  <c r="I5" i="3"/>
  <c r="J5" i="3" s="1"/>
  <c r="I6" i="3"/>
  <c r="J6" i="3" s="1"/>
  <c r="I7" i="3"/>
  <c r="J7" i="3" s="1"/>
  <c r="I8" i="3"/>
  <c r="J8" i="3" s="1"/>
  <c r="I9" i="3"/>
  <c r="J9" i="3" s="1"/>
  <c r="I10" i="3"/>
  <c r="J10" i="3" s="1"/>
  <c r="I11" i="3"/>
  <c r="J11" i="3" s="1"/>
  <c r="I12" i="3"/>
  <c r="J12" i="3" s="1"/>
  <c r="I13" i="3"/>
  <c r="J13" i="3" s="1"/>
  <c r="I14" i="3"/>
  <c r="J14" i="3" s="1"/>
  <c r="I15" i="3"/>
  <c r="J15" i="3" s="1"/>
  <c r="I16" i="3"/>
  <c r="J16" i="3" s="1"/>
  <c r="I17" i="3"/>
  <c r="J17" i="3" s="1"/>
  <c r="I18" i="3"/>
  <c r="J18" i="3" s="1"/>
  <c r="I19" i="3"/>
  <c r="J19" i="3" s="1"/>
  <c r="I20" i="3"/>
  <c r="J20" i="3" s="1"/>
  <c r="I21" i="3"/>
  <c r="J21" i="3" s="1"/>
  <c r="I22" i="3"/>
  <c r="J22" i="3" s="1"/>
  <c r="I23" i="3"/>
  <c r="J23" i="3" s="1"/>
  <c r="I24" i="3"/>
  <c r="J24" i="3" s="1"/>
  <c r="I25" i="3"/>
  <c r="J25" i="3" s="1"/>
  <c r="I26" i="3"/>
  <c r="J26" i="3" s="1"/>
  <c r="I27" i="3"/>
  <c r="J27" i="3" s="1"/>
  <c r="I28" i="3"/>
  <c r="J28" i="3" s="1"/>
  <c r="I29" i="3"/>
  <c r="J29" i="3" s="1"/>
  <c r="I30" i="3"/>
  <c r="J30" i="3" s="1"/>
  <c r="I31" i="3"/>
  <c r="J31" i="3" s="1"/>
  <c r="I32" i="3"/>
  <c r="J32" i="3" s="1"/>
  <c r="I33" i="3"/>
  <c r="J33" i="3" s="1"/>
  <c r="I34" i="3"/>
  <c r="J34" i="3" s="1"/>
  <c r="I35" i="3"/>
  <c r="J35" i="3" s="1"/>
  <c r="I36" i="3"/>
  <c r="J36" i="3" s="1"/>
  <c r="I37" i="3"/>
  <c r="J37" i="3" s="1"/>
  <c r="I38" i="3"/>
  <c r="J38" i="3" s="1"/>
  <c r="I39" i="3"/>
  <c r="J39" i="3" s="1"/>
  <c r="I40" i="3"/>
  <c r="J40" i="3" s="1"/>
  <c r="I41" i="3"/>
  <c r="J41" i="3" s="1"/>
  <c r="I42" i="3"/>
  <c r="J42" i="3" s="1"/>
  <c r="I43" i="3"/>
  <c r="J43" i="3" s="1"/>
  <c r="I44" i="3"/>
  <c r="J44" i="3" s="1"/>
  <c r="I45" i="3"/>
  <c r="J45" i="3" s="1"/>
  <c r="I46" i="3"/>
  <c r="J46" i="3" s="1"/>
  <c r="I47" i="3"/>
  <c r="J47" i="3" s="1"/>
  <c r="I48" i="3"/>
  <c r="J48" i="3" s="1"/>
  <c r="I49" i="3"/>
  <c r="J49" i="3" s="1"/>
  <c r="I50" i="3"/>
  <c r="J50" i="3" s="1"/>
  <c r="I51" i="3"/>
  <c r="J51" i="3" s="1"/>
  <c r="I52" i="3"/>
  <c r="J52" i="3" s="1"/>
  <c r="I53" i="3"/>
  <c r="J53" i="3" s="1"/>
  <c r="I54" i="3"/>
  <c r="J54" i="3" s="1"/>
  <c r="I55" i="3"/>
  <c r="J55" i="3" s="1"/>
  <c r="I56" i="3"/>
  <c r="J56" i="3" s="1"/>
  <c r="I57" i="3"/>
  <c r="J57" i="3" s="1"/>
  <c r="I58" i="3"/>
  <c r="J58" i="3" s="1"/>
  <c r="I59" i="3"/>
  <c r="J59" i="3" s="1"/>
  <c r="I60" i="3"/>
  <c r="J60" i="3" s="1"/>
  <c r="I61" i="3"/>
  <c r="J61" i="3" s="1"/>
  <c r="I62" i="3"/>
  <c r="J62" i="3" s="1"/>
  <c r="I63" i="3"/>
  <c r="J63" i="3" s="1"/>
  <c r="I64" i="3"/>
  <c r="J64" i="3" s="1"/>
  <c r="I65" i="3"/>
  <c r="J65" i="3" s="1"/>
  <c r="I66" i="3"/>
  <c r="J66" i="3" s="1"/>
  <c r="I67" i="3"/>
  <c r="J67" i="3" s="1"/>
  <c r="I68" i="3"/>
  <c r="J68" i="3" s="1"/>
  <c r="I69" i="3"/>
  <c r="J69" i="3" s="1"/>
  <c r="I70" i="3"/>
  <c r="J70" i="3" s="1"/>
  <c r="I71" i="3"/>
  <c r="J71" i="3" s="1"/>
  <c r="I72" i="3"/>
  <c r="J72" i="3" s="1"/>
  <c r="I73" i="3"/>
  <c r="J73" i="3" s="1"/>
  <c r="I74" i="3"/>
  <c r="J74" i="3" s="1"/>
  <c r="I75" i="3"/>
  <c r="J75" i="3" s="1"/>
  <c r="I76" i="3"/>
  <c r="J76" i="3" s="1"/>
  <c r="I77" i="3"/>
  <c r="J77" i="3" s="1"/>
  <c r="I78" i="3"/>
  <c r="J78" i="3" s="1"/>
  <c r="I79" i="3"/>
  <c r="J79" i="3" s="1"/>
  <c r="I80" i="3"/>
  <c r="J80" i="3" s="1"/>
  <c r="I81" i="3"/>
  <c r="J81" i="3" s="1"/>
  <c r="I82" i="3"/>
  <c r="J82" i="3" s="1"/>
  <c r="I83" i="3"/>
  <c r="J83" i="3" s="1"/>
  <c r="I84" i="3"/>
  <c r="J84" i="3" s="1"/>
  <c r="I85" i="3"/>
  <c r="J85" i="3" s="1"/>
  <c r="I86" i="3"/>
  <c r="J86" i="3" s="1"/>
  <c r="I87" i="3"/>
  <c r="J87" i="3" s="1"/>
  <c r="I88" i="3"/>
  <c r="J88" i="3" s="1"/>
  <c r="I89" i="3"/>
  <c r="J89" i="3" s="1"/>
  <c r="I90" i="3"/>
  <c r="J90" i="3" s="1"/>
  <c r="I91" i="3"/>
  <c r="J91" i="3" s="1"/>
  <c r="I92" i="3"/>
  <c r="J92" i="3" s="1"/>
  <c r="I93" i="3"/>
  <c r="J93" i="3" s="1"/>
  <c r="I94" i="3"/>
  <c r="J94" i="3" s="1"/>
  <c r="I95" i="3"/>
  <c r="J95" i="3" s="1"/>
  <c r="I96" i="3"/>
  <c r="J96" i="3" s="1"/>
  <c r="I97" i="3"/>
  <c r="J97" i="3" s="1"/>
  <c r="I98" i="3"/>
  <c r="J98" i="3" s="1"/>
  <c r="I99" i="3"/>
  <c r="J99" i="3" s="1"/>
  <c r="I100" i="3"/>
  <c r="J100" i="3" s="1"/>
  <c r="I101" i="3"/>
  <c r="J101" i="3" s="1"/>
  <c r="I102" i="3"/>
  <c r="J102" i="3" s="1"/>
  <c r="I103" i="3"/>
  <c r="J103" i="3" s="1"/>
  <c r="I104" i="3"/>
  <c r="J104" i="3" s="1"/>
  <c r="I105" i="3"/>
  <c r="J105" i="3" s="1"/>
  <c r="I106" i="3"/>
  <c r="J106" i="3" s="1"/>
  <c r="I107" i="3"/>
  <c r="J107" i="3" s="1"/>
  <c r="I108" i="3"/>
  <c r="J108" i="3" s="1"/>
  <c r="I109" i="3"/>
  <c r="J109" i="3" s="1"/>
  <c r="I110" i="3"/>
  <c r="J110" i="3" s="1"/>
  <c r="I111" i="3"/>
  <c r="J111" i="3" s="1"/>
  <c r="I112" i="3"/>
  <c r="J112" i="3" s="1"/>
  <c r="I113" i="3"/>
  <c r="J113" i="3" s="1"/>
  <c r="I114" i="3"/>
  <c r="J114" i="3" s="1"/>
  <c r="I115" i="3"/>
  <c r="J115" i="3" s="1"/>
  <c r="I116" i="3"/>
  <c r="J116" i="3" s="1"/>
  <c r="I117" i="3"/>
  <c r="J117" i="3" s="1"/>
  <c r="I118" i="3"/>
  <c r="J118" i="3" s="1"/>
  <c r="I119" i="3"/>
  <c r="J119" i="3" s="1"/>
  <c r="I120" i="3"/>
  <c r="J120" i="3" s="1"/>
  <c r="I121" i="3"/>
  <c r="J121" i="3" s="1"/>
  <c r="I122" i="3"/>
  <c r="J122" i="3" s="1"/>
  <c r="I123" i="3"/>
  <c r="J123" i="3" s="1"/>
  <c r="I3" i="3"/>
  <c r="J3" i="3" s="1"/>
  <c r="M469" i="18"/>
  <c r="J7" i="22"/>
  <c r="M470" i="18"/>
  <c r="N7" i="39" l="1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H7" i="39"/>
  <c r="H6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6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E22" i="22"/>
  <c r="E20" i="22"/>
  <c r="E14" i="22"/>
  <c r="E17" i="22"/>
  <c r="J9" i="22" s="1"/>
  <c r="E16" i="22"/>
  <c r="E9" i="22"/>
  <c r="E8" i="22"/>
  <c r="E21" i="22" s="1"/>
  <c r="E7" i="22"/>
  <c r="L8" i="3"/>
  <c r="L44" i="3"/>
  <c r="L54" i="3"/>
  <c r="L73" i="3"/>
  <c r="L75" i="3"/>
  <c r="N27" i="15"/>
  <c r="O27" i="15" s="1"/>
  <c r="P27" i="15"/>
  <c r="Q27" i="15" s="1"/>
  <c r="N28" i="15"/>
  <c r="O28" i="15" s="1"/>
  <c r="P28" i="15"/>
  <c r="Q28" i="15" s="1"/>
  <c r="M468" i="18" l="1"/>
  <c r="M123" i="3"/>
  <c r="E11" i="22"/>
  <c r="M122" i="3"/>
  <c r="L122" i="3" l="1"/>
  <c r="L123" i="3"/>
  <c r="M467" i="18"/>
  <c r="M466" i="18"/>
  <c r="M465" i="18"/>
  <c r="M464" i="18"/>
  <c r="M463" i="18"/>
  <c r="M462" i="18"/>
  <c r="M461" i="18"/>
  <c r="M460" i="18"/>
  <c r="M459" i="18"/>
  <c r="M458" i="18"/>
  <c r="M457" i="18"/>
  <c r="M456" i="18"/>
  <c r="M455" i="18"/>
  <c r="M454" i="18"/>
  <c r="M453" i="18"/>
  <c r="M452" i="18"/>
  <c r="J6" i="22"/>
  <c r="J4" i="22"/>
  <c r="E26" i="22" s="1"/>
  <c r="J5" i="22"/>
  <c r="J12" i="22" s="1"/>
  <c r="E5" i="22"/>
  <c r="E23" i="22" s="1"/>
  <c r="N26" i="15"/>
  <c r="O26" i="15" s="1"/>
  <c r="P26" i="15"/>
  <c r="Q26" i="15" s="1"/>
  <c r="J11" i="22" l="1"/>
  <c r="J13" i="22" s="1"/>
  <c r="E24" i="22"/>
  <c r="H28" i="22"/>
  <c r="M451" i="18"/>
  <c r="M121" i="3"/>
  <c r="M450" i="18"/>
  <c r="N12" i="10"/>
  <c r="O12" i="10" s="1"/>
  <c r="P12" i="10"/>
  <c r="Q12" i="10" s="1"/>
  <c r="M120" i="3"/>
  <c r="M449" i="18"/>
  <c r="M448" i="18"/>
  <c r="N25" i="15"/>
  <c r="O25" i="15" s="1"/>
  <c r="P25" i="15"/>
  <c r="Q25" i="15" s="1"/>
  <c r="M119" i="3"/>
  <c r="P8" i="43"/>
  <c r="Q8" i="43" s="1"/>
  <c r="N8" i="43"/>
  <c r="O8" i="43" s="1"/>
  <c r="N23" i="15"/>
  <c r="O23" i="15" s="1"/>
  <c r="P23" i="15"/>
  <c r="Q23" i="15" s="1"/>
  <c r="N24" i="15"/>
  <c r="O24" i="15" s="1"/>
  <c r="P24" i="15"/>
  <c r="Q24" i="15" s="1"/>
  <c r="N18" i="7"/>
  <c r="O18" i="7" s="1"/>
  <c r="P18" i="7"/>
  <c r="Q18" i="7" s="1"/>
  <c r="N15" i="6"/>
  <c r="O15" i="6" s="1"/>
  <c r="P15" i="6"/>
  <c r="Q15" i="6" s="1"/>
  <c r="N13" i="16"/>
  <c r="O13" i="16" s="1"/>
  <c r="P13" i="16"/>
  <c r="Q13" i="16" s="1"/>
  <c r="N14" i="12"/>
  <c r="O14" i="12" s="1"/>
  <c r="P14" i="12"/>
  <c r="Q14" i="12" s="1"/>
  <c r="L120" i="3" l="1"/>
  <c r="L121" i="3"/>
  <c r="L119" i="3"/>
  <c r="L117" i="3"/>
  <c r="M117" i="3"/>
  <c r="L118" i="3"/>
  <c r="M118" i="3"/>
  <c r="M447" i="18"/>
  <c r="M446" i="18"/>
  <c r="M445" i="18"/>
  <c r="M444" i="18"/>
  <c r="M443" i="18"/>
  <c r="M442" i="18"/>
  <c r="M441" i="18"/>
  <c r="M440" i="18"/>
  <c r="M439" i="18"/>
  <c r="M438" i="18"/>
  <c r="M437" i="18"/>
  <c r="M436" i="18"/>
  <c r="M435" i="18"/>
  <c r="M434" i="18"/>
  <c r="M433" i="18"/>
  <c r="M432" i="18"/>
  <c r="M431" i="18"/>
  <c r="M116" i="3"/>
  <c r="M115" i="3"/>
  <c r="N22" i="15"/>
  <c r="O22" i="15" s="1"/>
  <c r="P22" i="15"/>
  <c r="Q22" i="15" s="1"/>
  <c r="M114" i="3"/>
  <c r="M430" i="18"/>
  <c r="M429" i="18"/>
  <c r="M113" i="3"/>
  <c r="M428" i="18"/>
  <c r="M112" i="3"/>
  <c r="M427" i="18"/>
  <c r="M426" i="18"/>
  <c r="M425" i="18"/>
  <c r="M424" i="18"/>
  <c r="M423" i="18"/>
  <c r="M422" i="18"/>
  <c r="M421" i="18"/>
  <c r="M420" i="18"/>
  <c r="M419" i="18"/>
  <c r="M418" i="18"/>
  <c r="M417" i="18"/>
  <c r="M416" i="18"/>
  <c r="M415" i="18"/>
  <c r="M414" i="18"/>
  <c r="N10" i="42"/>
  <c r="O10" i="42" s="1"/>
  <c r="P10" i="42"/>
  <c r="Q10" i="42" s="1"/>
  <c r="N21" i="15"/>
  <c r="O21" i="15" s="1"/>
  <c r="P21" i="15"/>
  <c r="Q21" i="15" s="1"/>
  <c r="N15" i="13"/>
  <c r="O15" i="13" s="1"/>
  <c r="P15" i="13"/>
  <c r="Q15" i="13" s="1"/>
  <c r="N15" i="9"/>
  <c r="O15" i="9" s="1"/>
  <c r="P15" i="9"/>
  <c r="Q15" i="9" s="1"/>
  <c r="N12" i="16"/>
  <c r="O12" i="16" s="1"/>
  <c r="P12" i="16"/>
  <c r="Q12" i="16" s="1"/>
  <c r="M111" i="3"/>
  <c r="E6" i="68"/>
  <c r="E6" i="67"/>
  <c r="L115" i="3" l="1"/>
  <c r="L116" i="3"/>
  <c r="L112" i="3"/>
  <c r="L111" i="3"/>
  <c r="L113" i="3"/>
  <c r="L114" i="3"/>
  <c r="J8" i="22"/>
  <c r="M107" i="3"/>
  <c r="M109" i="3"/>
  <c r="M413" i="18"/>
  <c r="M412" i="18"/>
  <c r="M110" i="3"/>
  <c r="M108" i="3"/>
  <c r="M411" i="18"/>
  <c r="M410" i="18"/>
  <c r="M409" i="18"/>
  <c r="M408" i="18"/>
  <c r="M407" i="18"/>
  <c r="M406" i="18"/>
  <c r="M405" i="18"/>
  <c r="M404" i="18"/>
  <c r="M403" i="18"/>
  <c r="M402" i="18"/>
  <c r="M401" i="18"/>
  <c r="P6" i="39"/>
  <c r="P7" i="39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6" i="39"/>
  <c r="N11" i="11"/>
  <c r="O11" i="11" s="1"/>
  <c r="P11" i="11"/>
  <c r="Q11" i="11" s="1"/>
  <c r="M400" i="18"/>
  <c r="M399" i="18"/>
  <c r="M398" i="18"/>
  <c r="M397" i="18"/>
  <c r="M396" i="18"/>
  <c r="M395" i="18"/>
  <c r="M105" i="3"/>
  <c r="H18" i="39"/>
  <c r="M106" i="3"/>
  <c r="M394" i="18"/>
  <c r="M393" i="18"/>
  <c r="M392" i="18"/>
  <c r="M391" i="18"/>
  <c r="M390" i="18"/>
  <c r="M389" i="18"/>
  <c r="M388" i="18"/>
  <c r="M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M386" i="18"/>
  <c r="M385" i="18"/>
  <c r="N20" i="15"/>
  <c r="O20" i="15" s="1"/>
  <c r="P20" i="15"/>
  <c r="Q20" i="15" s="1"/>
  <c r="M104" i="3"/>
  <c r="M384" i="18"/>
  <c r="M383" i="18"/>
  <c r="M382" i="18"/>
  <c r="M103" i="3"/>
  <c r="M381" i="18"/>
  <c r="M102" i="3"/>
  <c r="M380" i="18"/>
  <c r="M379" i="18"/>
  <c r="M378" i="18"/>
  <c r="M377" i="18"/>
  <c r="M376" i="18"/>
  <c r="M375" i="18"/>
  <c r="M374" i="18"/>
  <c r="M373" i="18"/>
  <c r="M372" i="18"/>
  <c r="M371" i="18"/>
  <c r="M370" i="18"/>
  <c r="M369" i="18"/>
  <c r="M368" i="18"/>
  <c r="M367" i="18"/>
  <c r="N19" i="15"/>
  <c r="O19" i="15" s="1"/>
  <c r="P19" i="15"/>
  <c r="Q19" i="15" s="1"/>
  <c r="M101" i="3"/>
  <c r="M366" i="18"/>
  <c r="N13" i="8"/>
  <c r="O13" i="8" s="1"/>
  <c r="P13" i="8"/>
  <c r="Q13" i="8" s="1"/>
  <c r="M365" i="18"/>
  <c r="M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M100" i="3"/>
  <c r="M363" i="18"/>
  <c r="M362" i="18"/>
  <c r="M361" i="18"/>
  <c r="M99" i="3"/>
  <c r="M360" i="18"/>
  <c r="M359" i="18"/>
  <c r="M358" i="18"/>
  <c r="M357" i="18"/>
  <c r="M356" i="18"/>
  <c r="M355" i="18"/>
  <c r="M354" i="18"/>
  <c r="M353" i="18"/>
  <c r="M352" i="18"/>
  <c r="M351" i="18"/>
  <c r="M350" i="18"/>
  <c r="M349" i="18"/>
  <c r="M98" i="3"/>
  <c r="M93" i="3"/>
  <c r="M97" i="3"/>
  <c r="M96" i="3"/>
  <c r="M95" i="3"/>
  <c r="M348" i="18"/>
  <c r="M347" i="18"/>
  <c r="M346" i="18"/>
  <c r="M92" i="3"/>
  <c r="M94" i="3"/>
  <c r="M91" i="3"/>
  <c r="M345" i="18"/>
  <c r="F53" i="2"/>
  <c r="L94" i="3" l="1"/>
  <c r="L103" i="3"/>
  <c r="L109" i="3"/>
  <c r="L92" i="3"/>
  <c r="L100" i="3"/>
  <c r="L107" i="3"/>
  <c r="L104" i="3"/>
  <c r="L95" i="3"/>
  <c r="L96" i="3"/>
  <c r="L106" i="3"/>
  <c r="L108" i="3"/>
  <c r="L97" i="3"/>
  <c r="L101" i="3"/>
  <c r="L105" i="3"/>
  <c r="L110" i="3"/>
  <c r="L93" i="3"/>
  <c r="L99" i="3"/>
  <c r="L102" i="3"/>
  <c r="L91" i="3"/>
  <c r="L98" i="3"/>
  <c r="Q7" i="39"/>
  <c r="Q6" i="39"/>
  <c r="E24" i="39"/>
  <c r="G24" i="39"/>
  <c r="F24" i="39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M90" i="3"/>
  <c r="N12" i="12"/>
  <c r="O12" i="12" s="1"/>
  <c r="P12" i="12"/>
  <c r="Q12" i="12" s="1"/>
  <c r="M228" i="18"/>
  <c r="M226" i="18"/>
  <c r="M136" i="18"/>
  <c r="M344" i="18"/>
  <c r="M341" i="18"/>
  <c r="M339" i="18"/>
  <c r="M88" i="3"/>
  <c r="M343" i="18"/>
  <c r="M86" i="3"/>
  <c r="H23" i="39"/>
  <c r="M85" i="3"/>
  <c r="M342" i="18"/>
  <c r="M87" i="3"/>
  <c r="M89" i="3"/>
  <c r="M340" i="18"/>
  <c r="M338" i="18"/>
  <c r="M337" i="18"/>
  <c r="M336" i="18"/>
  <c r="M335" i="18"/>
  <c r="M334" i="18"/>
  <c r="M333" i="18"/>
  <c r="M332" i="18"/>
  <c r="M331" i="18"/>
  <c r="M330" i="18"/>
  <c r="M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P8" i="41"/>
  <c r="Q8" i="41" s="1"/>
  <c r="Q7" i="41"/>
  <c r="C37" i="45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8" i="18"/>
  <c r="M59" i="18"/>
  <c r="M60" i="18"/>
  <c r="M61" i="18"/>
  <c r="M62" i="18"/>
  <c r="M63" i="18"/>
  <c r="M64" i="18"/>
  <c r="M57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3" i="18"/>
  <c r="M94" i="18"/>
  <c r="M95" i="18"/>
  <c r="M96" i="18"/>
  <c r="M97" i="18"/>
  <c r="M98" i="18"/>
  <c r="M99" i="18"/>
  <c r="M91" i="18"/>
  <c r="M92" i="18"/>
  <c r="M101" i="18"/>
  <c r="M102" i="18"/>
  <c r="M103" i="18"/>
  <c r="M104" i="18"/>
  <c r="M105" i="18"/>
  <c r="M100" i="18"/>
  <c r="M106" i="18"/>
  <c r="M107" i="18"/>
  <c r="M108" i="18"/>
  <c r="M113" i="18"/>
  <c r="M114" i="18"/>
  <c r="M115" i="18"/>
  <c r="M109" i="18"/>
  <c r="M116" i="18"/>
  <c r="M117" i="18"/>
  <c r="M118" i="18"/>
  <c r="M110" i="18"/>
  <c r="M119" i="18"/>
  <c r="M111" i="18"/>
  <c r="M112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7" i="18"/>
  <c r="M138" i="18"/>
  <c r="M139" i="18"/>
  <c r="M140" i="18"/>
  <c r="M141" i="18"/>
  <c r="M142" i="18"/>
  <c r="M143" i="18"/>
  <c r="M144" i="18"/>
  <c r="M135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5" i="18"/>
  <c r="M176" i="18"/>
  <c r="M177" i="18"/>
  <c r="M178" i="18"/>
  <c r="M179" i="18"/>
  <c r="M180" i="18"/>
  <c r="M181" i="18"/>
  <c r="M182" i="18"/>
  <c r="M183" i="18"/>
  <c r="M184" i="18"/>
  <c r="M185" i="18"/>
  <c r="M173" i="18"/>
  <c r="M174" i="18"/>
  <c r="M188" i="18"/>
  <c r="M189" i="18"/>
  <c r="M190" i="18"/>
  <c r="M191" i="18"/>
  <c r="M192" i="18"/>
  <c r="M193" i="18"/>
  <c r="M194" i="18"/>
  <c r="M195" i="18"/>
  <c r="M196" i="18"/>
  <c r="M197" i="18"/>
  <c r="M186" i="18"/>
  <c r="M187" i="18"/>
  <c r="M198" i="18"/>
  <c r="M199" i="18"/>
  <c r="M200" i="18"/>
  <c r="M201" i="18"/>
  <c r="M202" i="18"/>
  <c r="M203" i="18"/>
  <c r="M204" i="18"/>
  <c r="M205" i="18"/>
  <c r="M206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07" i="18"/>
  <c r="M208" i="18"/>
  <c r="M209" i="18"/>
  <c r="M210" i="18"/>
  <c r="M234" i="18"/>
  <c r="M235" i="18"/>
  <c r="M236" i="18"/>
  <c r="M237" i="18"/>
  <c r="M238" i="18"/>
  <c r="M239" i="18"/>
  <c r="M240" i="18"/>
  <c r="M241" i="18"/>
  <c r="M242" i="18"/>
  <c r="M243" i="18"/>
  <c r="M225" i="18"/>
  <c r="M227" i="18"/>
  <c r="M229" i="18"/>
  <c r="M230" i="18"/>
  <c r="M244" i="18"/>
  <c r="M231" i="18"/>
  <c r="M232" i="18"/>
  <c r="M233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4" i="18"/>
  <c r="M275" i="18"/>
  <c r="M276" i="18"/>
  <c r="M277" i="18"/>
  <c r="M278" i="18"/>
  <c r="M279" i="18"/>
  <c r="M272" i="18"/>
  <c r="M273" i="18"/>
  <c r="M280" i="18"/>
  <c r="M281" i="18"/>
  <c r="M282" i="18"/>
  <c r="M283" i="18"/>
  <c r="M284" i="18"/>
  <c r="M285" i="18"/>
  <c r="M286" i="18"/>
  <c r="M287" i="18"/>
  <c r="M292" i="18"/>
  <c r="M293" i="18"/>
  <c r="M294" i="18"/>
  <c r="M295" i="18"/>
  <c r="M296" i="18"/>
  <c r="M297" i="18"/>
  <c r="M298" i="18"/>
  <c r="M299" i="18"/>
  <c r="M300" i="18"/>
  <c r="M301" i="18"/>
  <c r="M302" i="18"/>
  <c r="M288" i="18"/>
  <c r="M289" i="18"/>
  <c r="M290" i="18"/>
  <c r="M291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N16" i="15"/>
  <c r="O16" i="15" s="1"/>
  <c r="P16" i="15"/>
  <c r="Q16" i="15" s="1"/>
  <c r="M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L88" i="3" l="1"/>
  <c r="L89" i="3"/>
  <c r="L87" i="3"/>
  <c r="L90" i="3"/>
  <c r="L85" i="3"/>
  <c r="L84" i="3"/>
  <c r="L86" i="3"/>
  <c r="E5" i="29"/>
  <c r="E4" i="29"/>
  <c r="E6" i="29" l="1"/>
  <c r="E7" i="29" s="1"/>
  <c r="N13" i="6" l="1"/>
  <c r="O13" i="6" s="1"/>
  <c r="P13" i="6"/>
  <c r="Q13" i="6" s="1"/>
  <c r="C8" i="17"/>
  <c r="K8" i="17"/>
  <c r="E12" i="17"/>
  <c r="XEZ3" i="17" s="1"/>
  <c r="M12" i="17"/>
  <c r="E19" i="17" l="1"/>
  <c r="E18" i="17"/>
  <c r="XEZ2" i="17"/>
  <c r="XEZ1" i="17"/>
  <c r="F6" i="2" l="1"/>
  <c r="F5" i="2"/>
  <c r="M6" i="39"/>
  <c r="L7" i="39"/>
  <c r="L6" i="39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4" i="15" l="1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L83" i="3"/>
  <c r="M83" i="3"/>
  <c r="M16" i="17"/>
  <c r="F325" i="18"/>
  <c r="F313" i="18"/>
  <c r="F42" i="2"/>
  <c r="F41" i="2"/>
  <c r="L79" i="3"/>
  <c r="M79" i="3"/>
  <c r="L80" i="3"/>
  <c r="M80" i="3"/>
  <c r="M82" i="3"/>
  <c r="L81" i="3"/>
  <c r="M81" i="3"/>
  <c r="F40" i="2"/>
  <c r="N10" i="10"/>
  <c r="O10" i="10" s="1"/>
  <c r="P10" i="10"/>
  <c r="Q10" i="10" s="1"/>
  <c r="L78" i="3"/>
  <c r="M78" i="3"/>
  <c r="M3" i="3"/>
  <c r="M4" i="3"/>
  <c r="M8" i="3"/>
  <c r="M5" i="3"/>
  <c r="M6" i="3"/>
  <c r="M7" i="3"/>
  <c r="M9" i="3"/>
  <c r="M10" i="3"/>
  <c r="M11" i="3"/>
  <c r="M13" i="3"/>
  <c r="M12" i="3"/>
  <c r="M15" i="3"/>
  <c r="M14" i="3"/>
  <c r="M17" i="3"/>
  <c r="M16" i="3"/>
  <c r="M19" i="3"/>
  <c r="M18" i="3"/>
  <c r="M21" i="3"/>
  <c r="M20" i="3"/>
  <c r="M23" i="3"/>
  <c r="M22" i="3"/>
  <c r="M24" i="3"/>
  <c r="M25" i="3"/>
  <c r="M26" i="3"/>
  <c r="M27" i="3"/>
  <c r="M30" i="3"/>
  <c r="M28" i="3"/>
  <c r="M29" i="3"/>
  <c r="M33" i="3"/>
  <c r="M31" i="3"/>
  <c r="M32" i="3"/>
  <c r="M34" i="3"/>
  <c r="M35" i="3"/>
  <c r="M36" i="3"/>
  <c r="M37" i="3"/>
  <c r="M38" i="3"/>
  <c r="M39" i="3"/>
  <c r="M43" i="3"/>
  <c r="M42" i="3"/>
  <c r="M41" i="3"/>
  <c r="M40" i="3"/>
  <c r="M45" i="3"/>
  <c r="M44" i="3"/>
  <c r="M47" i="3"/>
  <c r="M46" i="3"/>
  <c r="M49" i="3"/>
  <c r="M48" i="3"/>
  <c r="M50" i="3"/>
  <c r="M51" i="3"/>
  <c r="M53" i="3"/>
  <c r="M52" i="3"/>
  <c r="M55" i="3"/>
  <c r="M54" i="3"/>
  <c r="M56" i="3"/>
  <c r="M57" i="3"/>
  <c r="M58" i="3"/>
  <c r="M60" i="3"/>
  <c r="M61" i="3"/>
  <c r="M59" i="3"/>
  <c r="M63" i="3"/>
  <c r="M62" i="3"/>
  <c r="M64" i="3"/>
  <c r="M65" i="3"/>
  <c r="M66" i="3"/>
  <c r="M67" i="3"/>
  <c r="M69" i="3"/>
  <c r="M68" i="3"/>
  <c r="M70" i="3"/>
  <c r="M71" i="3"/>
  <c r="M72" i="3"/>
  <c r="M76" i="3"/>
  <c r="M77" i="3"/>
  <c r="M73" i="3"/>
  <c r="M74" i="3"/>
  <c r="M75" i="3"/>
  <c r="P7" i="44"/>
  <c r="I3" i="44" s="1"/>
  <c r="N7" i="44"/>
  <c r="O7" i="44" s="1"/>
  <c r="A7" i="44" a="1"/>
  <c r="A7" i="44" s="1"/>
  <c r="G3" i="44"/>
  <c r="I3" i="43"/>
  <c r="O7" i="43"/>
  <c r="G3" i="43"/>
  <c r="I3" i="42"/>
  <c r="G3" i="42"/>
  <c r="I3" i="41"/>
  <c r="G3" i="41"/>
  <c r="L76" i="3"/>
  <c r="F39" i="2"/>
  <c r="P12" i="4"/>
  <c r="Q12" i="4" s="1"/>
  <c r="N7" i="7"/>
  <c r="N13" i="7"/>
  <c r="O13" i="7" s="1"/>
  <c r="P13" i="7"/>
  <c r="Q13" i="7" s="1"/>
  <c r="L72" i="3"/>
  <c r="N13" i="15"/>
  <c r="O13" i="15" s="1"/>
  <c r="P13" i="15"/>
  <c r="Q13" i="15" s="1"/>
  <c r="F38" i="2"/>
  <c r="P11" i="8"/>
  <c r="Q11" i="8" s="1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I27" i="22" s="1"/>
  <c r="AH15" i="22"/>
  <c r="AH10" i="22"/>
  <c r="AG10" i="22"/>
  <c r="AF10" i="22"/>
  <c r="AE10" i="22"/>
  <c r="AD10" i="22"/>
  <c r="L70" i="3"/>
  <c r="F37" i="2"/>
  <c r="L68" i="3"/>
  <c r="L69" i="3"/>
  <c r="L67" i="3"/>
  <c r="L66" i="3"/>
  <c r="L65" i="3"/>
  <c r="L64" i="3"/>
  <c r="L62" i="3"/>
  <c r="L63" i="3"/>
  <c r="F34" i="2"/>
  <c r="L59" i="3"/>
  <c r="L61" i="3"/>
  <c r="L60" i="3"/>
  <c r="I8" i="39" l="1"/>
  <c r="L8" i="39" s="1"/>
  <c r="L74" i="3"/>
  <c r="L71" i="3"/>
  <c r="I9" i="39"/>
  <c r="E13" i="22"/>
  <c r="E15" i="22" s="1"/>
  <c r="L82" i="3"/>
  <c r="H22" i="39"/>
  <c r="M22" i="39" s="1"/>
  <c r="L77" i="3"/>
  <c r="N8" i="41"/>
  <c r="O8" i="41" s="1"/>
  <c r="N9" i="5"/>
  <c r="O9" i="5" s="1"/>
  <c r="M18" i="39"/>
  <c r="M23" i="39"/>
  <c r="N12" i="4"/>
  <c r="O12" i="4" s="1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L58" i="3"/>
  <c r="L57" i="3"/>
  <c r="L56" i="3"/>
  <c r="L55" i="3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L52" i="3"/>
  <c r="L53" i="3"/>
  <c r="L51" i="3"/>
  <c r="L50" i="3"/>
  <c r="L48" i="3"/>
  <c r="L49" i="3"/>
  <c r="L46" i="3"/>
  <c r="L47" i="3"/>
  <c r="L45" i="3"/>
  <c r="L40" i="3"/>
  <c r="L41" i="3"/>
  <c r="L42" i="3"/>
  <c r="L43" i="3"/>
  <c r="L39" i="3"/>
  <c r="I24" i="39" l="1"/>
  <c r="L9" i="39"/>
  <c r="L24" i="39" s="1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L38" i="3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K27" i="22" l="1"/>
  <c r="K26" i="22"/>
  <c r="K23" i="22"/>
  <c r="K24" i="22"/>
  <c r="K25" i="22"/>
  <c r="K19" i="22"/>
  <c r="K17" i="22"/>
  <c r="K22" i="22"/>
  <c r="K18" i="22"/>
  <c r="K20" i="22"/>
  <c r="K21" i="22" l="1"/>
  <c r="K16" i="22"/>
  <c r="L37" i="3"/>
  <c r="L36" i="3"/>
  <c r="L35" i="3"/>
  <c r="L34" i="3"/>
  <c r="L32" i="3"/>
  <c r="L31" i="3"/>
  <c r="L33" i="3"/>
  <c r="H15" i="22" l="1"/>
  <c r="P16" i="22" s="1"/>
  <c r="L28" i="3"/>
  <c r="L30" i="3"/>
  <c r="L27" i="3"/>
  <c r="L26" i="3"/>
  <c r="L25" i="3"/>
  <c r="L24" i="3"/>
  <c r="L22" i="3"/>
  <c r="L23" i="3"/>
  <c r="L20" i="3"/>
  <c r="L18" i="3"/>
  <c r="L19" i="3"/>
  <c r="L17" i="3"/>
  <c r="L15" i="3"/>
  <c r="L12" i="3"/>
  <c r="M7" i="39"/>
  <c r="L11" i="3" l="1"/>
  <c r="H19" i="39"/>
  <c r="M19" i="39" s="1"/>
  <c r="L29" i="3"/>
  <c r="H8" i="39"/>
  <c r="L14" i="3"/>
  <c r="H15" i="39"/>
  <c r="M15" i="39" s="1"/>
  <c r="L6" i="3"/>
  <c r="H21" i="39"/>
  <c r="M21" i="39" s="1"/>
  <c r="L10" i="3"/>
  <c r="H17" i="39"/>
  <c r="M17" i="39" s="1"/>
  <c r="L13" i="3"/>
  <c r="H20" i="39"/>
  <c r="M20" i="39" s="1"/>
  <c r="L7" i="3"/>
  <c r="H16" i="39"/>
  <c r="M16" i="39" s="1"/>
  <c r="L9" i="3"/>
  <c r="H9" i="39"/>
  <c r="M9" i="39" s="1"/>
  <c r="L16" i="3"/>
  <c r="H11" i="39"/>
  <c r="M11" i="39" s="1"/>
  <c r="L4" i="3"/>
  <c r="H10" i="39"/>
  <c r="M10" i="39" s="1"/>
  <c r="L21" i="3"/>
  <c r="H13" i="39"/>
  <c r="M13" i="39" s="1"/>
  <c r="L5" i="3"/>
  <c r="H12" i="39"/>
  <c r="M12" i="39" s="1"/>
  <c r="M8" i="39" l="1"/>
  <c r="H14" i="39" l="1"/>
  <c r="H24" i="39" s="1"/>
  <c r="E10" i="22"/>
  <c r="E18" i="22" s="1"/>
  <c r="E28" i="22" s="1"/>
  <c r="L3" i="3"/>
  <c r="O4" i="3" s="1" a="1"/>
  <c r="O4" i="3" s="1"/>
  <c r="E25" i="22" l="1"/>
  <c r="E27" i="22" s="1"/>
  <c r="I28" i="22" s="1"/>
  <c r="M14" i="39"/>
  <c r="M24" i="39" s="1"/>
  <c r="P11" i="39"/>
  <c r="Q11" i="39" s="1"/>
  <c r="P13" i="39"/>
  <c r="Q13" i="39" s="1"/>
  <c r="P15" i="39"/>
  <c r="Q15" i="39" s="1"/>
  <c r="P20" i="39"/>
  <c r="Q20" i="39" s="1"/>
  <c r="P8" i="39"/>
  <c r="Q8" i="39" s="1"/>
  <c r="P10" i="39"/>
  <c r="Q10" i="39" s="1"/>
  <c r="P12" i="39"/>
  <c r="Q12" i="39" s="1"/>
  <c r="P14" i="39"/>
  <c r="Q14" i="39" s="1"/>
  <c r="P16" i="39"/>
  <c r="Q16" i="39" s="1"/>
  <c r="P19" i="39"/>
  <c r="Q19" i="39" s="1"/>
  <c r="P21" i="39"/>
  <c r="Q21" i="39" s="1"/>
  <c r="P22" i="39"/>
  <c r="Q22" i="39" s="1"/>
  <c r="P9" i="39"/>
  <c r="Q9" i="39" s="1"/>
  <c r="P23" i="39"/>
  <c r="Q23" i="39" s="1"/>
  <c r="P17" i="39"/>
  <c r="Q17" i="39" s="1"/>
  <c r="P18" i="39"/>
  <c r="Q18" i="39" s="1"/>
  <c r="Q24" i="39" l="1"/>
  <c r="P24" i="39"/>
  <c r="E4" i="68" l="1"/>
  <c r="E7" i="68"/>
  <c r="E5" i="68"/>
  <c r="E7" i="67"/>
  <c r="E4" i="67"/>
  <c r="E5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13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F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F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  <author>tc={477C6BB1-D90F-43FA-8595-7E09F3942D28}</author>
  </authors>
  <commentList>
    <comment ref="D43" authorId="0" shapeId="0" xr:uid="{A3F49A52-6AF4-4732-A694-20AC38EC4CBF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Reponer
Diego: 160
Jefferson: 26
Rocio: 20</t>
        </r>
      </text>
    </comment>
    <comment ref="D44" authorId="1" shapeId="0" xr:uid="{477C6BB1-D90F-43FA-8595-7E09F3942D28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REPONER ROCIO 50$ DANNY 250 MAYRA 120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<sst xmlns="http://schemas.openxmlformats.org/spreadsheetml/2006/main" count="5850" uniqueCount="574">
  <si>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</si>
  <si>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</si>
  <si>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</si>
  <si>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</si>
  <si>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</si>
  <si>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</si>
  <si>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</si>
  <si>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</si>
  <si>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</si>
  <si>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</si>
  <si>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</si>
  <si>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</si>
  <si>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</si>
  <si>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</si>
  <si>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</si>
  <si>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</si>
  <si>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</si>
  <si>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</si>
  <si>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</si>
  <si>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</si>
  <si>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</si>
  <si>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</si>
  <si>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</si>
  <si>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</si>
  <si>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</si>
  <si>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</si>
  <si>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</si>
  <si>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</si>
  <si>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</si>
  <si>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</si>
  <si>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</si>
  <si>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</si>
  <si>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</si>
  <si>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</si>
  <si>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</si>
  <si>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</si>
  <si>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</si>
  <si>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</si>
  <si>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</si>
  <si>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</si>
  <si>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</si>
  <si>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</si>
  <si>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</si>
  <si>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</si>
  <si>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</si>
  <si>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</si>
  <si>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</si>
  <si>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</si>
  <si>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</si>
  <si>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</si>
  <si>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</si>
  <si>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</si>
  <si>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</si>
  <si>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</si>
  <si>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</si>
  <si>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</si>
  <si>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</si>
  <si>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</si>
  <si>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</si>
  <si>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</si>
  <si>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</si>
  <si>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</si>
  <si>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</si>
  <si>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</si>
  <si>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</si>
  <si>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</si>
  <si>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</si>
  <si>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</si>
  <si>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</si>
  <si>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</si>
  <si>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</si>
  <si>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</si>
  <si>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</si>
  <si>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</si>
  <si>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</si>
  <si>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</si>
  <si>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</si>
  <si>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</si>
  <si>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</si>
  <si>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</si>
  <si>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</si>
  <si>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</si>
  <si>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</si>
  <si>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</si>
  <si>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</si>
  <si>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</si>
  <si>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</si>
  <si>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</si>
  <si>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</si>
  <si>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</si>
  <si>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</si>
  <si>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</si>
  <si>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</si>
  <si>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</si>
  <si>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</si>
  <si>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</si>
  <si>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</si>
  <si>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</si>
  <si>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</si>
  <si>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</si>
  <si>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</si>
  <si>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</si>
  <si>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</si>
  <si>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</si>
  <si>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</si>
  <si>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</si>
  <si>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</si>
  <si>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</si>
  <si>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</si>
  <si>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</si>
  <si>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</si>
  <si>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</si>
  <si>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</si>
  <si>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</si>
  <si>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</si>
  <si>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</si>
  <si>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</si>
  <si>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</si>
  <si>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</si>
  <si>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</si>
  <si>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</si>
  <si>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PAGO DEL TERCER INTERES</t>
  </si>
  <si>
    <t>PAGO DE LA TERCERA Y CUARTA CUOTA</t>
  </si>
  <si>
    <t>REEPRESTAMO PAGO INTERESES MENSUALES Y EL MONTO AL FINAL</t>
  </si>
  <si>
    <t>DINERO EN CAJA ACTUAL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</si>
  <si>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</si>
  <si>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</si>
  <si>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</si>
  <si>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</si>
  <si>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</si>
  <si>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</si>
  <si>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</si>
  <si>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</si>
  <si>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</si>
  <si>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</si>
  <si>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</si>
  <si>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</si>
  <si>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</si>
  <si>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</si>
  <si>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</si>
  <si>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</si>
  <si>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</si>
  <si>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</si>
  <si>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</si>
  <si>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</si>
  <si>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</si>
  <si>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</si>
  <si>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</si>
  <si>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</si>
  <si>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</si>
  <si>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</si>
  <si>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</si>
  <si>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</si>
  <si>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</si>
  <si>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PAGO DE INTERES POR NOMINA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</si>
  <si>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</si>
  <si>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</si>
  <si>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</si>
  <si>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</si>
  <si>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</si>
  <si>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</si>
  <si>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</si>
  <si>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</si>
  <si>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</si>
  <si>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</si>
  <si>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</si>
  <si>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</si>
  <si>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</si>
  <si>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</si>
  <si>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</si>
  <si>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</si>
  <si>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</si>
  <si>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</si>
  <si>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</si>
  <si>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PREST022</t>
  </si>
  <si>
    <t>PREST002</t>
  </si>
  <si>
    <t>Forma de Pago:</t>
  </si>
  <si>
    <t>Numero de Mes</t>
  </si>
  <si>
    <t>PAGO DE AMORTIZACION E INTERES MENSUAL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</si>
  <si>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</si>
  <si>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</si>
  <si>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</si>
  <si>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</si>
  <si>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</si>
  <si>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</si>
  <si>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</si>
  <si>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</si>
  <si>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</si>
  <si>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</si>
  <si>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</si>
  <si>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</si>
  <si>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</si>
  <si>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</si>
  <si>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</si>
  <si>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</si>
  <si>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</si>
  <si>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</si>
  <si>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</si>
  <si>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</si>
  <si>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</si>
  <si>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</si>
  <si>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</si>
  <si>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</si>
  <si>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</si>
  <si>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</si>
  <si>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</si>
  <si>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</si>
  <si>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</si>
  <si>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</si>
  <si>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</si>
  <si>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</si>
  <si>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</si>
  <si>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</si>
  <si>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</si>
  <si>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</si>
  <si>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</si>
  <si>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</si>
  <si>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</si>
  <si>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</si>
  <si>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</si>
  <si>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</si>
  <si>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</si>
  <si>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</si>
  <si>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</si>
  <si>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AYUDA PARA EL SOCIO DIEGO TOAQUIZA POR ENFERMEDAD</t>
  </si>
  <si>
    <t>AYUDA PARA EL SOCIO CESAR TOAQUIZA POR ENFERMEDAD SE GASTO 260$ (160$ SE REPONE ENTRE LOS 12 SOCIOS A 13.35 C/U)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</si>
  <si>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</si>
  <si>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</si>
  <si>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</si>
  <si>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</si>
  <si>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</si>
  <si>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</si>
  <si>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</si>
  <si>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</si>
  <si>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</si>
  <si>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</si>
  <si>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</si>
  <si>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</si>
  <si>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</si>
  <si>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</si>
  <si>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</si>
  <si>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</si>
  <si>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</si>
  <si>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</si>
  <si>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</si>
  <si>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</si>
  <si>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</si>
  <si>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CANCELACION DEL PAGO DEL ULTIMO INTERES POR REEPRESTAMO</t>
  </si>
  <si>
    <t>PREST056</t>
  </si>
  <si>
    <t>REPOSICION DEL DINERO PRESTADO A SOCIO CESAR TOAQUIZA POR ENFERMEDAD</t>
  </si>
  <si>
    <t>PAGO DE LA NOVENA LETRA</t>
  </si>
  <si>
    <t>PAGO MENSUAL DE LA LETRA (REEPRESTAMO)</t>
  </si>
  <si>
    <t>PREST057</t>
  </si>
  <si>
    <t>PAGO DE LA QUINTA CUOTA (REEPRESTAMO)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</si>
  <si>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</si>
  <si>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</si>
  <si>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</si>
  <si>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</si>
  <si>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</si>
  <si>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</si>
  <si>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</si>
  <si>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</si>
  <si>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</si>
  <si>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</si>
  <si>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</si>
  <si>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</si>
  <si>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</si>
  <si>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</si>
  <si>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PREST060</t>
  </si>
  <si>
    <t>PAGO DE CUOTA E INTERES MENSUALES (REEPRESTAMO)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</si>
  <si>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</si>
  <si>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</si>
  <si>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</si>
  <si>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</si>
  <si>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</si>
  <si>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</si>
  <si>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</si>
  <si>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</si>
  <si>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</si>
  <si>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</si>
  <si>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</si>
  <si>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</si>
  <si>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</si>
  <si>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</si>
  <si>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</si>
  <si>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</si>
  <si>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</si>
  <si>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</si>
  <si>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</si>
  <si>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</si>
  <si>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</si>
  <si>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</si>
  <si>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</si>
  <si>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</si>
  <si>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</si>
  <si>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</si>
  <si>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</si>
  <si>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</si>
  <si>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</si>
  <si>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</si>
  <si>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</si>
  <si>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</si>
  <si>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</si>
  <si>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</si>
  <si>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</si>
  <si>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</si>
  <si>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</si>
  <si>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</si>
  <si>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</si>
  <si>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</si>
  <si>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</si>
  <si>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</si>
  <si>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</si>
  <si>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PAGO DE LA NOVENA CUOTA</t>
  </si>
  <si>
    <t>EGRES. VIAJES / REUNIONES-INTERES GASTADO</t>
  </si>
  <si>
    <t>TL. INTERESES GENERADOS REAL</t>
  </si>
  <si>
    <t>REGISTRO DEL SOCIO PARA PAGOS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</si>
  <si>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</si>
  <si>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</si>
  <si>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</si>
  <si>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</si>
  <si>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</si>
  <si>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</si>
  <si>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</si>
  <si>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</si>
  <si>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</si>
  <si>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</si>
  <si>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</si>
  <si>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</si>
  <si>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PAGO DE LA CUOTA DEL PRESTAMO</t>
  </si>
  <si>
    <t>PAGO DE LA ULTIMA CUOTA</t>
  </si>
  <si>
    <t>PAGO DE LA SEGUNDA LETARA</t>
  </si>
  <si>
    <t>SEVASTIAN VELEMA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</si>
  <si>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</si>
  <si>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</si>
  <si>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</si>
  <si>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</si>
  <si>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</si>
  <si>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</si>
  <si>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</si>
  <si>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</si>
  <si>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</si>
  <si>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</si>
  <si>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</si>
  <si>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FIN PERIODO</t>
  </si>
  <si>
    <t>INCO. PERIODO</t>
  </si>
  <si>
    <t>INCO. OPERACIÓN</t>
  </si>
  <si>
    <t>PREST076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</si>
  <si>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</si>
  <si>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</si>
  <si>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</si>
  <si>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</si>
  <si>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</si>
  <si>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</si>
  <si>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</si>
  <si>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</si>
  <si>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</si>
  <si>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</si>
  <si>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</si>
  <si>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</si>
  <si>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</si>
  <si>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</si>
  <si>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</si>
  <si>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</si>
  <si>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</si>
  <si>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</si>
  <si>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</si>
  <si>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</si>
  <si>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</si>
  <si>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</si>
  <si>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PAGO DE LA LETRA # 1 PRESTAMO A TERCEROS</t>
  </si>
  <si>
    <t>PAUL QUILLIGANA</t>
  </si>
  <si>
    <t>ES NUMERO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</si>
  <si>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</si>
  <si>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</si>
  <si>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</si>
  <si>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</si>
  <si>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</si>
  <si>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</si>
  <si>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</si>
  <si>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</si>
  <si>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</si>
  <si>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</si>
  <si>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</si>
  <si>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</si>
  <si>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</si>
  <si>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</si>
  <si>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</si>
  <si>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</si>
  <si>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</si>
  <si>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</si>
  <si>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</si>
  <si>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</si>
  <si>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</si>
  <si>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</si>
  <si>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</si>
  <si>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</si>
  <si>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</si>
  <si>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</si>
  <si>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</si>
  <si>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</si>
  <si>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</si>
  <si>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</si>
  <si>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</si>
  <si>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</si>
  <si>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</si>
  <si>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</si>
  <si>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</si>
  <si>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</si>
  <si>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</si>
  <si>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</si>
  <si>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</si>
  <si>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</si>
  <si>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</si>
  <si>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</si>
  <si>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</si>
  <si>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</si>
  <si>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 xml:space="preserve">ANULACION DEL INTERES #10 POR REEPRESTAMO </t>
  </si>
  <si>
    <t>PAGO DE LA CUOTA #10 CON REEPRESTAMO</t>
  </si>
  <si>
    <t>PAGO DE LA LETRA #1</t>
  </si>
  <si>
    <t>LETRA MENSUAL</t>
  </si>
  <si>
    <t>PAGO MENSUAL</t>
  </si>
  <si>
    <t>PAGO DE LA LETRA #1 PENDIENTE INTERES</t>
  </si>
  <si>
    <t>PREST88</t>
  </si>
  <si>
    <t>PREST89</t>
  </si>
  <si>
    <t>PAGO DE LETRAS MENSUALES PRESTAMO A TERCEROS (TANYA TIPAN)</t>
  </si>
  <si>
    <t>PREST90</t>
  </si>
  <si>
    <t xml:space="preserve">  </t>
  </si>
  <si>
    <t>PAGO DE MULTA POR FALTA</t>
  </si>
  <si>
    <t>PAGO DE LA LETRA #</t>
  </si>
  <si>
    <t>PAGO DEL INTERES #1</t>
  </si>
  <si>
    <t>PAGO DE LETRA O CUOTA MENSUAL (REEPRESTAM0)</t>
  </si>
  <si>
    <t>PREST91</t>
  </si>
  <si>
    <t>ANULACION DEL INTERES #5 POR REEPRESTAMO</t>
  </si>
  <si>
    <t>PAGO DE LA CUOTA #5 (REEPRESTAMO)</t>
  </si>
  <si>
    <t>PREST92</t>
  </si>
  <si>
    <t>PAGO DE LA LETRA #5</t>
  </si>
  <si>
    <t>PAGO DE LA LETRA #1 PENDIENTE DE PAGAR 6$</t>
  </si>
  <si>
    <t>SEBASTIAN VELEMA</t>
  </si>
  <si>
    <t>PREST93</t>
  </si>
  <si>
    <t>JEFFERSON TPAQUIZA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</si>
  <si>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</si>
  <si>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</si>
  <si>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</si>
  <si>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</si>
  <si>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</si>
  <si>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</si>
  <si>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</si>
  <si>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</si>
  <si>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ANULACION DEL INTERES #4 POR REEPRESTAMO</t>
  </si>
  <si>
    <t>MAYRA TIPAN</t>
  </si>
  <si>
    <t>PREST96</t>
  </si>
  <si>
    <t>PAGO DE LETRAS AL FINAL DEL PERIODO (PRESTAMO A TERCEROS MAYRA TIPAN)</t>
  </si>
  <si>
    <t>COMPRA DE CAJA DE SEGURIDAD PARA EL DINERO DE CAJA CHICA</t>
  </si>
  <si>
    <t>PAGO DE LETRAS AL FINAL DEL PERIODO (PRESTAMO A TERCEROS SEBASTIAN VELEMA)</t>
  </si>
  <si>
    <t>PAGO DE LA LETRA #6</t>
  </si>
  <si>
    <t>PAGO DE LA LETRA #2-3-4-5</t>
  </si>
  <si>
    <t>PAGO DE LA LETRA #3 CON REEPRESTAMO</t>
  </si>
  <si>
    <t>PREST97</t>
  </si>
  <si>
    <t>PREST98</t>
  </si>
  <si>
    <t>PAGO DE LA COLADA MORADA DE LOS SOCIOS</t>
  </si>
  <si>
    <t>PAGO DE LA LETRA #1 INTERES PENDIENTE</t>
  </si>
  <si>
    <t>PAGO DE LA LETRA #1-2-3</t>
  </si>
  <si>
    <t>AYDA FAMILIAR POR PARTE DE LOS SOCIOS</t>
  </si>
  <si>
    <t>COMPRA DE CANASTILLAS NAVIDEÑAS Y CENA PARA LOS SOCIOS</t>
  </si>
  <si>
    <t>Total</t>
  </si>
  <si>
    <t>INICIO DEL PERIODO</t>
  </si>
  <si>
    <t>FIN DEL PERIODO</t>
  </si>
  <si>
    <t>PNDT</t>
  </si>
  <si>
    <t>ANLD</t>
  </si>
  <si>
    <t>PAGO DE MULTA DE MARCIAL CHILIQUINGA Y MAYRA TOAQUIZA</t>
  </si>
  <si>
    <t>PREST99</t>
  </si>
  <si>
    <t>PREST100</t>
  </si>
  <si>
    <t>PAGO DE LA LETRA #3-4 REEPRESTAMO</t>
  </si>
  <si>
    <t>PREST101</t>
  </si>
  <si>
    <t>PREST102</t>
  </si>
  <si>
    <t>Amortizacion</t>
  </si>
  <si>
    <t>Letra Variable</t>
  </si>
  <si>
    <t>PREST103</t>
  </si>
  <si>
    <t>AMORTIZACION FAMILIAR - PAGO DE LETRAS MENSUALES PRESTAMO A TERCEROS MAYRA TIPAN</t>
  </si>
  <si>
    <t>DINERO EN CAJA AL FINAL</t>
  </si>
  <si>
    <t>PAGO DE LA LETRA #9-10-11-12  CANCELACION POR REEPRESTAMO</t>
  </si>
  <si>
    <t>PAGO DE LA LETRA #9-10-11-12 ANULACION POR REEPRESTAMO</t>
  </si>
  <si>
    <t>AMORTIZACION FAMILIAR - PAGO DE LETRAS MENSUALES (REEPRESTAMO)</t>
  </si>
  <si>
    <t>PREST104</t>
  </si>
  <si>
    <t>PREST105</t>
  </si>
  <si>
    <t>COMPRAS PARA LA VISITA DE LA DIRECTIVA DEL BARRIO</t>
  </si>
  <si>
    <t>AMORTIZACION FAMILIAR - PAGO DE LETRAS MENSUALES (MAYRA TIPAN)</t>
  </si>
  <si>
    <t>AMORTIZACION FAMILIAR - PAGO AL FINAL DEL PERIODO</t>
  </si>
  <si>
    <t>PREST106</t>
  </si>
  <si>
    <t>IGR</t>
  </si>
  <si>
    <t>GST</t>
  </si>
  <si>
    <t>APT</t>
  </si>
  <si>
    <t>PAGO DE LA SEGUNDA LETRA (PAGO DE UN SOCIO CON SU PRESTAMO)</t>
  </si>
  <si>
    <t>PAGO DE MULTA POR FALTA A LA REUNION DE SEGUNDO GUAYTA Y MARLENE TOAQUIZA</t>
  </si>
  <si>
    <t>PAGO DE LA LETRA #1 (CON REEPRESTAMO DE SEGUNDO GUAYTA)</t>
  </si>
  <si>
    <t xml:space="preserve">PAGO DE LA LETRA #1 </t>
  </si>
  <si>
    <r>
      <rPr>
        <b/>
        <sz val="11"/>
        <color theme="1"/>
        <rFont val="Calibri"/>
        <family val="2"/>
        <scheme val="minor"/>
      </rPr>
      <t>Nota._</t>
    </r>
    <r>
      <rPr>
        <sz val="11"/>
        <color theme="1"/>
        <rFont val="Calibri"/>
        <family val="2"/>
        <scheme val="minor"/>
      </rPr>
      <t xml:space="preserve"> Pagos con REEPRESTAMO monto e ingreso ingresan con su numero de cuota, anulaciones solo se pueden hacer de intereses anotar el prefijo GST dinero no recuperable para ese prestamo.</t>
    </r>
  </si>
  <si>
    <t>PREST107</t>
  </si>
  <si>
    <t>AMORTIZACION FAMILIAR - PAGO MENSUAL (PAUL QUILLIGANA)</t>
  </si>
  <si>
    <t>NANCY DAVILA</t>
  </si>
  <si>
    <t>PREST108</t>
  </si>
  <si>
    <t>JEFFESON TOAQUIZA</t>
  </si>
  <si>
    <t>AMORTIZACION FAMILIAR - PAGO DE LETRAS MENSUALES (NANCY DAVILA)</t>
  </si>
  <si>
    <t>PAGO DE LA LETRA #9-10-11-12 CON TRANSFERENCIA.</t>
  </si>
  <si>
    <t>PAGO DE LA LETRA #2-3-4-5-6-7 PAGO CON TRANSFERENCIA</t>
  </si>
  <si>
    <t>PAGO DE LA LETRA #1 PAGO CON TRANSFERENCIA</t>
  </si>
  <si>
    <t>PAGO DE LA LETRA #2 CON TRANSFERENCIA</t>
  </si>
  <si>
    <t>PREST109</t>
  </si>
  <si>
    <t>PAGO DE LA LETRA #7-8-9-10 CON REEPRESTAMO</t>
  </si>
  <si>
    <t>ANULACION INTERES #7-8-9-10</t>
  </si>
  <si>
    <t>AMORTIZACION FAMILIAR - PAGO DE LETRAS MESUALES (REEPRESTAMO)</t>
  </si>
  <si>
    <t>PREST110</t>
  </si>
  <si>
    <t>PAGO DE LA LETRA #3-4-5-6 REEPRESTAMO</t>
  </si>
  <si>
    <t>ANULACION INTERES # 3-4-5-6</t>
  </si>
  <si>
    <t>VICTOR CASTRO</t>
  </si>
  <si>
    <t>PREST111</t>
  </si>
  <si>
    <t>PAGO DE LA LETRA #1-2-3-4</t>
  </si>
  <si>
    <t>AMORTIZACION FAMILIAR - PAGOS MENSUALES (VICTOR CASTRO)</t>
  </si>
  <si>
    <t>AMORTIZACION FAMILIAR - PAGO DE LETRAS MENSUALES</t>
  </si>
  <si>
    <t>PREST112</t>
  </si>
  <si>
    <t>PREST113</t>
  </si>
  <si>
    <t>AMORTIZACION FAMILIAR - PAGO DE LETRAS MENSUALES PRESTAMO A MAYRA TIPAN</t>
  </si>
  <si>
    <t>INGRESO POR INTERES POR NOMINA</t>
  </si>
  <si>
    <t>EDITABLE MAYRA REPONER 140$</t>
  </si>
  <si>
    <t>PREST114</t>
  </si>
  <si>
    <t>PREST115</t>
  </si>
  <si>
    <t>AMORTIZACION FAMILIAR - PAGOS AL FINAL DEL PERIODO (MAYRA TIPAN)</t>
  </si>
  <si>
    <t>TIPO</t>
  </si>
  <si>
    <t>AYUDA</t>
  </si>
  <si>
    <t>INGRESO</t>
  </si>
  <si>
    <t>EGRESO</t>
  </si>
  <si>
    <t>PAGO</t>
  </si>
  <si>
    <t>CAJA DE AHORRO FAMILIA UNIDA</t>
  </si>
  <si>
    <t>PAGO DE LA LETRA #2-#3</t>
  </si>
  <si>
    <t>USO PARA LA FANESCA EDITADO</t>
  </si>
  <si>
    <t>AMORTIZACION FRANCESA - borrar 2</t>
  </si>
  <si>
    <t>AMORTIZACION ALEMANA - borrar 3</t>
  </si>
  <si>
    <t>PREST028</t>
  </si>
  <si>
    <t>PREST007</t>
  </si>
  <si>
    <t>PREST017</t>
  </si>
  <si>
    <t>PREST023</t>
  </si>
  <si>
    <t>PREST012</t>
  </si>
  <si>
    <t>PREST032</t>
  </si>
  <si>
    <t>PREST083</t>
  </si>
  <si>
    <t>PREST116</t>
  </si>
  <si>
    <t>PREST086</t>
  </si>
  <si>
    <t>PREST118</t>
  </si>
  <si>
    <t>PREST087</t>
  </si>
  <si>
    <t>PREST084</t>
  </si>
  <si>
    <t>PREST082</t>
  </si>
  <si>
    <t>PREST117</t>
  </si>
  <si>
    <t>PREST119</t>
  </si>
  <si>
    <t>PREST120</t>
  </si>
  <si>
    <t>PREST121</t>
  </si>
  <si>
    <t>PREST085</t>
  </si>
  <si>
    <t>PREST122</t>
  </si>
  <si>
    <t>PAGO CON TRANSFERENCIA</t>
  </si>
  <si>
    <t>PAGO DE LA LETRA #4 PAGO CON TRANSFERENCIA</t>
  </si>
  <si>
    <t>PAGO DE LA LETRA #2 50 EN TRANSFERENCIA</t>
  </si>
  <si>
    <t>INTERES POR NOMINA</t>
  </si>
  <si>
    <t>AMORTIZACION FAMILIAR - PRESTAMO PAGO DE LETRAS MENSUALES (REPRESTAMO)</t>
  </si>
  <si>
    <t>PAGO DE LA LETRA #1 CON REEPRESTAMO</t>
  </si>
  <si>
    <t>GASTO PARA LA FANESCA DE LOS SOCIOS</t>
  </si>
  <si>
    <t>AMORTIZACION FAMILIAR - PAGOS MENSUALES USO PARA FIESTAS DEL BARRIO</t>
  </si>
  <si>
    <t>PREST123</t>
  </si>
  <si>
    <t xml:space="preserve">MAYRA </t>
  </si>
  <si>
    <t>AMORTIZACION FAMILIAR - PAGOS MENSUALES</t>
  </si>
  <si>
    <t>PREST124</t>
  </si>
  <si>
    <t>CESAR</t>
  </si>
  <si>
    <t>REPONER 140 MAYRA, 100 CESAR</t>
  </si>
  <si>
    <t>AMORTIZACION FAMILIAR - PAGO DE LETRA MENSUAL</t>
  </si>
  <si>
    <t>PREST125</t>
  </si>
  <si>
    <t>JEFFERSON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</si>
</sst>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4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#,##0.00_ ;[Red]\-#,##0.00\ "/>
    <numFmt numFmtId="186" formatCode="_ [$$-300A]* #,##0.00_ ;_ [$$-300A]* \-#,##0.00_ ;_ [$$-300A]* &quot;-&quot;??_ ;_ @_ "/>
    <numFmt numFmtId="187" formatCode="_-[$$-540A]* #,##0.00_ ;_-[$$-540A]* \-#,##0.00\ ;_-[$$-540A]* &quot;-&quot;??_ ;_-@_ 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9FF81"/>
        <bgColor indexed="64"/>
      </patternFill>
    </fill>
    <fill>
      <patternFill patternType="solid">
        <fgColor theme="3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0" applyNumberFormat="0" applyAlignment="0" applyProtection="0"/>
    <xf numFmtId="0" fontId="15" fillId="16" borderId="40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400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171" fontId="0" fillId="0" borderId="1" xfId="0" applyNumberFormat="1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7" xfId="0" applyFill="1" applyBorder="1"/>
    <xf numFmtId="0" fontId="2" fillId="2" borderId="28" xfId="0" applyFont="1" applyFill="1" applyBorder="1" applyAlignment="1">
      <alignment horizontal="centerContinuous"/>
    </xf>
    <xf numFmtId="0" fontId="0" fillId="2" borderId="29" xfId="0" applyFill="1" applyBorder="1" applyAlignment="1">
      <alignment horizontal="centerContinuous"/>
    </xf>
    <xf numFmtId="0" fontId="0" fillId="2" borderId="26" xfId="0" applyFill="1" applyBorder="1" applyAlignment="1">
      <alignment horizontal="centerContinuous"/>
    </xf>
    <xf numFmtId="0" fontId="0" fillId="2" borderId="28" xfId="0" applyFill="1" applyBorder="1"/>
    <xf numFmtId="0" fontId="0" fillId="2" borderId="29" xfId="0" applyFill="1" applyBorder="1"/>
    <xf numFmtId="166" fontId="4" fillId="2" borderId="31" xfId="0" applyNumberFormat="1" applyFont="1" applyFill="1" applyBorder="1"/>
    <xf numFmtId="166" fontId="0" fillId="2" borderId="31" xfId="0" applyNumberFormat="1" applyFill="1" applyBorder="1"/>
    <xf numFmtId="166" fontId="0" fillId="0" borderId="31" xfId="0" applyNumberFormat="1" applyBorder="1"/>
    <xf numFmtId="166" fontId="0" fillId="4" borderId="31" xfId="0" applyNumberFormat="1" applyFill="1" applyBorder="1"/>
    <xf numFmtId="166" fontId="0" fillId="0" borderId="32" xfId="0" applyNumberFormat="1" applyBorder="1"/>
    <xf numFmtId="166" fontId="2" fillId="11" borderId="33" xfId="0" applyNumberFormat="1" applyFont="1" applyFill="1" applyBorder="1"/>
    <xf numFmtId="0" fontId="2" fillId="2" borderId="26" xfId="0" applyFont="1" applyFill="1" applyBorder="1" applyAlignment="1">
      <alignment horizontal="centerContinuous"/>
    </xf>
    <xf numFmtId="0" fontId="2" fillId="2" borderId="25" xfId="0" applyFont="1" applyFill="1" applyBorder="1" applyAlignment="1">
      <alignment horizontal="centerContinuous"/>
    </xf>
    <xf numFmtId="165" fontId="0" fillId="0" borderId="0" xfId="0" applyNumberFormat="1"/>
    <xf numFmtId="14" fontId="8" fillId="14" borderId="30" xfId="0" applyNumberFormat="1" applyFont="1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1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2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7" xfId="0" applyFont="1" applyFill="1" applyBorder="1" applyAlignment="1">
      <alignment horizontal="centerContinuous"/>
    </xf>
    <xf numFmtId="0" fontId="0" fillId="18" borderId="38" xfId="0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165" fontId="0" fillId="18" borderId="38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8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7" xfId="4" applyNumberFormat="1" applyFont="1" applyFill="1" applyBorder="1" applyAlignment="1"/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3" xfId="0" applyNumberFormat="1" applyBorder="1"/>
    <xf numFmtId="166" fontId="0" fillId="0" borderId="33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4" xfId="0" applyFill="1" applyBorder="1" applyAlignment="1">
      <alignment vertical="center"/>
    </xf>
    <xf numFmtId="0" fontId="0" fillId="2" borderId="27" xfId="0" applyFill="1" applyBorder="1" applyAlignment="1">
      <alignment vertical="center"/>
    </xf>
    <xf numFmtId="166" fontId="0" fillId="0" borderId="30" xfId="0" applyNumberFormat="1" applyBorder="1" applyAlignment="1">
      <alignment horizontal="centerContinuous"/>
    </xf>
    <xf numFmtId="166" fontId="0" fillId="0" borderId="44" xfId="0" applyNumberFormat="1" applyBorder="1"/>
    <xf numFmtId="0" fontId="2" fillId="2" borderId="28" xfId="0" applyFont="1" applyFill="1" applyBorder="1" applyAlignment="1">
      <alignment horizontal="centerContinuous" vertical="center"/>
    </xf>
    <xf numFmtId="0" fontId="11" fillId="2" borderId="29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5" xfId="0" applyFill="1" applyBorder="1"/>
    <xf numFmtId="0" fontId="11" fillId="2" borderId="34" xfId="0" applyFont="1" applyFill="1" applyBorder="1" applyAlignment="1">
      <alignment horizontal="centerContinuous"/>
    </xf>
    <xf numFmtId="0" fontId="0" fillId="2" borderId="30" xfId="0" applyFill="1" applyBorder="1"/>
    <xf numFmtId="166" fontId="2" fillId="7" borderId="23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4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7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3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7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7" xfId="0" applyNumberFormat="1" applyBorder="1"/>
    <xf numFmtId="14" fontId="0" fillId="0" borderId="37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2" fillId="0" borderId="46" xfId="0" applyFont="1" applyBorder="1"/>
    <xf numFmtId="0" fontId="2" fillId="0" borderId="21" xfId="0" applyFont="1" applyBorder="1"/>
    <xf numFmtId="0" fontId="2" fillId="0" borderId="41" xfId="0" applyFont="1" applyBorder="1"/>
    <xf numFmtId="166" fontId="10" fillId="12" borderId="44" xfId="0" applyNumberFormat="1" applyFont="1" applyFill="1" applyBorder="1"/>
    <xf numFmtId="0" fontId="2" fillId="2" borderId="23" xfId="0" applyFont="1" applyFill="1" applyBorder="1" applyAlignment="1">
      <alignment vertical="center"/>
    </xf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6" xfId="0" applyNumberFormat="1" applyFont="1" applyFill="1" applyBorder="1"/>
    <xf numFmtId="0" fontId="21" fillId="2" borderId="21" xfId="0" applyFont="1" applyFill="1" applyBorder="1"/>
    <xf numFmtId="0" fontId="21" fillId="2" borderId="41" xfId="0" applyFont="1" applyFill="1" applyBorder="1"/>
    <xf numFmtId="0" fontId="0" fillId="2" borderId="37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5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8" xfId="0" applyFont="1" applyFill="1" applyBorder="1" applyAlignment="1">
      <alignment horizontal="center" vertical="center"/>
    </xf>
    <xf numFmtId="168" fontId="26" fillId="2" borderId="48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169" fontId="0" fillId="0" borderId="1" xfId="0" applyNumberFormat="1" applyBorder="1" applyAlignment="1">
      <alignment horizontal="right"/>
    </xf>
    <xf numFmtId="0" fontId="10" fillId="8" borderId="0" xfId="3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4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1" xfId="0" applyNumberFormat="1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0" fontId="0" fillId="7" borderId="0" xfId="0" applyFill="1" applyAlignment="1">
      <alignment horizontal="right"/>
    </xf>
    <xf numFmtId="0" fontId="0" fillId="0" borderId="0" xfId="0" applyAlignment="1">
      <alignment horizontal="right"/>
    </xf>
    <xf numFmtId="184" fontId="0" fillId="0" borderId="1" xfId="0" applyNumberFormat="1" applyBorder="1"/>
    <xf numFmtId="184" fontId="0" fillId="0" borderId="2" xfId="0" applyNumberFormat="1" applyBorder="1" applyAlignment="1">
      <alignment horizontal="right"/>
    </xf>
    <xf numFmtId="184" fontId="0" fillId="0" borderId="0" xfId="0" applyNumberFormat="1"/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7" xfId="0" applyBorder="1"/>
    <xf numFmtId="0" fontId="0" fillId="0" borderId="39" xfId="0" applyBorder="1"/>
    <xf numFmtId="0" fontId="21" fillId="2" borderId="46" xfId="0" applyFont="1" applyFill="1" applyBorder="1"/>
    <xf numFmtId="0" fontId="0" fillId="2" borderId="39" xfId="0" applyFill="1" applyBorder="1"/>
    <xf numFmtId="0" fontId="0" fillId="2" borderId="47" xfId="0" applyFill="1" applyBorder="1"/>
    <xf numFmtId="179" fontId="0" fillId="2" borderId="39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168" fontId="6" fillId="2" borderId="1" xfId="0" applyNumberFormat="1" applyFont="1" applyFill="1" applyBorder="1"/>
    <xf numFmtId="14" fontId="0" fillId="0" borderId="23" xfId="0" applyNumberFormat="1" applyBorder="1" applyProtection="1">
      <protection locked="0"/>
    </xf>
    <xf numFmtId="0" fontId="2" fillId="20" borderId="0" xfId="0" applyFont="1" applyFill="1" applyAlignment="1">
      <alignment horizontal="center"/>
    </xf>
    <xf numFmtId="0" fontId="13" fillId="20" borderId="0" xfId="0" applyFont="1" applyFill="1" applyAlignment="1">
      <alignment horizontal="left" vertical="center"/>
    </xf>
    <xf numFmtId="0" fontId="2" fillId="20" borderId="0" xfId="0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27" fillId="20" borderId="0" xfId="0" applyFont="1" applyFill="1" applyAlignment="1">
      <alignment horizontal="left" vertical="center"/>
    </xf>
    <xf numFmtId="0" fontId="0" fillId="0" borderId="49" xfId="0" applyBorder="1"/>
    <xf numFmtId="165" fontId="0" fillId="0" borderId="49" xfId="0" applyNumberFormat="1" applyBorder="1"/>
    <xf numFmtId="165" fontId="28" fillId="0" borderId="49" xfId="0" applyNumberFormat="1" applyFont="1" applyBorder="1"/>
    <xf numFmtId="165" fontId="1" fillId="0" borderId="49" xfId="0" applyNumberFormat="1" applyFont="1" applyBorder="1"/>
    <xf numFmtId="165" fontId="25" fillId="0" borderId="49" xfId="2" applyNumberFormat="1" applyFont="1" applyFill="1" applyBorder="1" applyProtection="1"/>
    <xf numFmtId="168" fontId="0" fillId="0" borderId="49" xfId="0" applyNumberFormat="1" applyBorder="1"/>
    <xf numFmtId="165" fontId="13" fillId="0" borderId="49" xfId="0" applyNumberFormat="1" applyFont="1" applyBorder="1"/>
    <xf numFmtId="165" fontId="27" fillId="0" borderId="49" xfId="2" applyNumberFormat="1" applyFont="1" applyFill="1" applyBorder="1" applyProtection="1"/>
    <xf numFmtId="165" fontId="2" fillId="20" borderId="0" xfId="0" applyNumberFormat="1" applyFont="1" applyFill="1"/>
    <xf numFmtId="165" fontId="13" fillId="20" borderId="0" xfId="0" applyNumberFormat="1" applyFont="1" applyFill="1"/>
    <xf numFmtId="165" fontId="4" fillId="20" borderId="0" xfId="0" applyNumberFormat="1" applyFont="1" applyFill="1"/>
    <xf numFmtId="165" fontId="27" fillId="20" borderId="0" xfId="0" applyNumberFormat="1" applyFont="1" applyFill="1"/>
    <xf numFmtId="185" fontId="0" fillId="0" borderId="0" xfId="0" applyNumberFormat="1"/>
    <xf numFmtId="0" fontId="13" fillId="0" borderId="0" xfId="0" applyFont="1" applyAlignment="1">
      <alignment horizontal="centerContinuous"/>
    </xf>
    <xf numFmtId="14" fontId="0" fillId="0" borderId="0" xfId="0" applyNumberFormat="1" applyAlignment="1">
      <alignment horizontal="centerContinuous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0" borderId="20" xfId="0" applyFont="1" applyBorder="1" applyAlignment="1" applyProtection="1">
      <alignment horizontal="center" vertical="center" wrapText="1"/>
      <protection locked="0"/>
    </xf>
    <xf numFmtId="183" fontId="0" fillId="0" borderId="1" xfId="0" applyNumberFormat="1" applyBorder="1" applyAlignment="1">
      <alignment horizontal="right"/>
    </xf>
    <xf numFmtId="183" fontId="0" fillId="0" borderId="0" xfId="0" applyNumberFormat="1" applyProtection="1">
      <protection locked="0"/>
    </xf>
    <xf numFmtId="169" fontId="0" fillId="0" borderId="1" xfId="0" applyNumberFormat="1" applyBorder="1" applyAlignment="1" applyProtection="1">
      <alignment horizontal="right"/>
      <protection locked="0"/>
    </xf>
    <xf numFmtId="168" fontId="0" fillId="2" borderId="1" xfId="0" applyNumberFormat="1" applyFill="1" applyBorder="1" applyAlignment="1" applyProtection="1">
      <alignment horizontal="right"/>
      <protection locked="0"/>
    </xf>
    <xf numFmtId="14" fontId="0" fillId="2" borderId="1" xfId="0" applyNumberFormat="1" applyFill="1" applyBorder="1" applyAlignment="1" applyProtection="1">
      <alignment horizontal="righ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right"/>
      <protection locked="0"/>
    </xf>
    <xf numFmtId="14" fontId="0" fillId="0" borderId="1" xfId="0" applyNumberFormat="1" applyBorder="1" applyAlignment="1">
      <alignment horizontal="right"/>
    </xf>
    <xf numFmtId="2" fontId="1" fillId="0" borderId="1" xfId="0" applyNumberFormat="1" applyFont="1" applyBorder="1"/>
    <xf numFmtId="0" fontId="0" fillId="13" borderId="0" xfId="0" applyFill="1"/>
    <xf numFmtId="166" fontId="0" fillId="13" borderId="0" xfId="0" applyNumberFormat="1" applyFill="1"/>
    <xf numFmtId="165" fontId="0" fillId="13" borderId="0" xfId="0" applyNumberFormat="1" applyFill="1"/>
    <xf numFmtId="165" fontId="0" fillId="13" borderId="0" xfId="0" applyNumberFormat="1" applyFill="1" applyProtection="1">
      <protection locked="0"/>
    </xf>
    <xf numFmtId="0" fontId="24" fillId="13" borderId="0" xfId="0" applyFont="1" applyFill="1"/>
    <xf numFmtId="0" fontId="0" fillId="13" borderId="58" xfId="0" applyFill="1" applyBorder="1"/>
    <xf numFmtId="0" fontId="0" fillId="13" borderId="59" xfId="0" applyFill="1" applyBorder="1"/>
    <xf numFmtId="180" fontId="0" fillId="13" borderId="59" xfId="0" applyNumberFormat="1" applyFill="1" applyBorder="1"/>
    <xf numFmtId="166" fontId="0" fillId="13" borderId="59" xfId="0" applyNumberFormat="1" applyFill="1" applyBorder="1"/>
    <xf numFmtId="165" fontId="0" fillId="13" borderId="59" xfId="0" applyNumberFormat="1" applyFill="1" applyBorder="1"/>
    <xf numFmtId="0" fontId="0" fillId="13" borderId="60" xfId="0" applyFill="1" applyBorder="1"/>
    <xf numFmtId="0" fontId="0" fillId="22" borderId="0" xfId="0" applyFill="1"/>
    <xf numFmtId="0" fontId="24" fillId="22" borderId="0" xfId="0" applyFont="1" applyFill="1"/>
    <xf numFmtId="180" fontId="0" fillId="22" borderId="0" xfId="0" applyNumberFormat="1" applyFill="1"/>
    <xf numFmtId="166" fontId="0" fillId="22" borderId="0" xfId="0" applyNumberFormat="1" applyFill="1"/>
    <xf numFmtId="165" fontId="0" fillId="22" borderId="0" xfId="0" applyNumberFormat="1" applyFill="1"/>
    <xf numFmtId="0" fontId="0" fillId="11" borderId="51" xfId="0" applyFill="1" applyBorder="1"/>
    <xf numFmtId="0" fontId="0" fillId="13" borderId="57" xfId="0" applyFill="1" applyBorder="1"/>
    <xf numFmtId="165" fontId="2" fillId="22" borderId="1" xfId="0" applyNumberFormat="1" applyFont="1" applyFill="1" applyBorder="1"/>
    <xf numFmtId="165" fontId="12" fillId="22" borderId="21" xfId="0" applyNumberFormat="1" applyFont="1" applyFill="1" applyBorder="1"/>
    <xf numFmtId="0" fontId="0" fillId="11" borderId="52" xfId="0" applyFill="1" applyBorder="1"/>
    <xf numFmtId="0" fontId="0" fillId="13" borderId="56" xfId="0" applyFill="1" applyBorder="1"/>
    <xf numFmtId="0" fontId="2" fillId="2" borderId="1" xfId="0" applyFont="1" applyFill="1" applyBorder="1" applyAlignment="1">
      <alignment horizontal="center"/>
    </xf>
    <xf numFmtId="165" fontId="13" fillId="2" borderId="37" xfId="0" applyNumberFormat="1" applyFont="1" applyFill="1" applyBorder="1" applyAlignment="1">
      <alignment horizontal="centerContinuous"/>
    </xf>
    <xf numFmtId="0" fontId="0" fillId="2" borderId="38" xfId="0" applyFill="1" applyBorder="1" applyAlignment="1">
      <alignment horizontal="centerContinuous"/>
    </xf>
    <xf numFmtId="165" fontId="4" fillId="2" borderId="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0" fontId="0" fillId="0" borderId="1" xfId="0" applyBorder="1" applyAlignment="1">
      <alignment horizontal="centerContinuous"/>
    </xf>
    <xf numFmtId="165" fontId="2" fillId="0" borderId="1" xfId="0" applyNumberFormat="1" applyFont="1" applyBorder="1"/>
    <xf numFmtId="165" fontId="12" fillId="0" borderId="1" xfId="0" applyNumberFormat="1" applyFont="1" applyBorder="1"/>
    <xf numFmtId="165" fontId="4" fillId="0" borderId="1" xfId="0" applyNumberFormat="1" applyFont="1" applyBorder="1"/>
    <xf numFmtId="0" fontId="2" fillId="0" borderId="37" xfId="0" applyFont="1" applyBorder="1" applyAlignment="1">
      <alignment horizontal="centerContinuous"/>
    </xf>
    <xf numFmtId="0" fontId="2" fillId="0" borderId="38" xfId="0" applyFont="1" applyBorder="1" applyAlignment="1">
      <alignment horizontal="centerContinuous"/>
    </xf>
    <xf numFmtId="0" fontId="2" fillId="0" borderId="39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2" borderId="24" xfId="0" applyFill="1" applyBorder="1" applyAlignment="1">
      <alignment horizontal="left"/>
    </xf>
    <xf numFmtId="0" fontId="0" fillId="2" borderId="22" xfId="0" applyFill="1" applyBorder="1"/>
    <xf numFmtId="166" fontId="1" fillId="2" borderId="34" xfId="0" applyNumberFormat="1" applyFont="1" applyFill="1" applyBorder="1"/>
    <xf numFmtId="0" fontId="0" fillId="2" borderId="27" xfId="0" applyFill="1" applyBorder="1" applyAlignment="1">
      <alignment horizontal="left"/>
    </xf>
    <xf numFmtId="166" fontId="1" fillId="2" borderId="35" xfId="0" applyNumberFormat="1" applyFont="1" applyFill="1" applyBorder="1"/>
    <xf numFmtId="0" fontId="0" fillId="2" borderId="25" xfId="0" applyFill="1" applyBorder="1"/>
    <xf numFmtId="0" fontId="0" fillId="2" borderId="26" xfId="0" applyFill="1" applyBorder="1"/>
    <xf numFmtId="166" fontId="1" fillId="2" borderId="36" xfId="0" applyNumberFormat="1" applyFont="1" applyFill="1" applyBorder="1"/>
    <xf numFmtId="0" fontId="2" fillId="22" borderId="37" xfId="0" applyFont="1" applyFill="1" applyBorder="1" applyAlignment="1">
      <alignment horizontal="centerContinuous"/>
    </xf>
    <xf numFmtId="0" fontId="2" fillId="22" borderId="38" xfId="0" applyFont="1" applyFill="1" applyBorder="1" applyAlignment="1">
      <alignment horizontal="centerContinuous"/>
    </xf>
    <xf numFmtId="0" fontId="2" fillId="22" borderId="39" xfId="0" applyFont="1" applyFill="1" applyBorder="1" applyAlignment="1">
      <alignment horizontal="centerContinuous"/>
    </xf>
    <xf numFmtId="166" fontId="0" fillId="4" borderId="33" xfId="0" applyNumberFormat="1" applyFill="1" applyBorder="1"/>
    <xf numFmtId="166" fontId="0" fillId="21" borderId="31" xfId="0" applyNumberFormat="1" applyFill="1" applyBorder="1"/>
    <xf numFmtId="165" fontId="12" fillId="22" borderId="1" xfId="0" applyNumberFormat="1" applyFont="1" applyFill="1" applyBorder="1"/>
    <xf numFmtId="166" fontId="0" fillId="4" borderId="31" xfId="2" applyFont="1" applyFill="1" applyBorder="1" applyProtection="1"/>
    <xf numFmtId="0" fontId="0" fillId="11" borderId="50" xfId="0" applyFill="1" applyBorder="1"/>
    <xf numFmtId="0" fontId="2" fillId="22" borderId="1" xfId="0" applyFont="1" applyFill="1" applyBorder="1" applyAlignment="1">
      <alignment horizontal="centerContinuous"/>
    </xf>
    <xf numFmtId="0" fontId="0" fillId="22" borderId="1" xfId="0" applyFill="1" applyBorder="1" applyAlignment="1">
      <alignment horizontal="centerContinuous"/>
    </xf>
    <xf numFmtId="14" fontId="0" fillId="2" borderId="30" xfId="0" applyNumberFormat="1" applyFill="1" applyBorder="1" applyAlignment="1">
      <alignment horizontal="centerContinuous"/>
    </xf>
    <xf numFmtId="0" fontId="0" fillId="13" borderId="53" xfId="0" applyFill="1" applyBorder="1"/>
    <xf numFmtId="0" fontId="0" fillId="13" borderId="54" xfId="0" applyFill="1" applyBorder="1"/>
    <xf numFmtId="0" fontId="0" fillId="13" borderId="55" xfId="0" applyFill="1" applyBorder="1"/>
    <xf numFmtId="1" fontId="1" fillId="0" borderId="1" xfId="0" applyNumberFormat="1" applyFont="1" applyBorder="1" applyAlignment="1">
      <alignment horizontal="center"/>
    </xf>
    <xf numFmtId="1" fontId="12" fillId="0" borderId="1" xfId="0" applyNumberFormat="1" applyFont="1" applyBorder="1" applyProtection="1">
      <protection locked="0"/>
    </xf>
    <xf numFmtId="14" fontId="8" fillId="14" borderId="30" xfId="0" applyNumberFormat="1" applyFont="1" applyFill="1" applyBorder="1" applyAlignment="1" applyProtection="1">
      <alignment horizontal="centerContinuous"/>
      <protection locked="0"/>
    </xf>
    <xf numFmtId="186" fontId="8" fillId="12" borderId="20" xfId="0" applyNumberFormat="1" applyFont="1" applyFill="1" applyBorder="1" applyProtection="1">
      <protection locked="0"/>
    </xf>
    <xf numFmtId="1" fontId="12" fillId="0" borderId="21" xfId="0" applyNumberFormat="1" applyFont="1" applyBorder="1" applyProtection="1">
      <protection locked="0"/>
    </xf>
    <xf numFmtId="0" fontId="0" fillId="13" borderId="0" xfId="0" applyFill="1" applyProtection="1">
      <protection locked="0"/>
    </xf>
    <xf numFmtId="166" fontId="0" fillId="13" borderId="0" xfId="0" applyNumberFormat="1" applyFill="1" applyProtection="1">
      <protection locked="0"/>
    </xf>
    <xf numFmtId="186" fontId="0" fillId="13" borderId="0" xfId="0" applyNumberFormat="1" applyFill="1" applyProtection="1">
      <protection locked="0"/>
    </xf>
    <xf numFmtId="166" fontId="4" fillId="13" borderId="0" xfId="0" applyNumberFormat="1" applyFont="1" applyFill="1" applyProtection="1">
      <protection locked="0"/>
    </xf>
    <xf numFmtId="0" fontId="4" fillId="13" borderId="0" xfId="0" applyFont="1" applyFill="1" applyProtection="1">
      <protection locked="0"/>
    </xf>
    <xf numFmtId="180" fontId="0" fillId="13" borderId="0" xfId="0" applyNumberFormat="1" applyFill="1" applyProtection="1">
      <protection locked="0"/>
    </xf>
    <xf numFmtId="165" fontId="1" fillId="13" borderId="0" xfId="0" applyNumberFormat="1" applyFont="1" applyFill="1" applyProtection="1">
      <protection locked="0"/>
    </xf>
    <xf numFmtId="168" fontId="0" fillId="13" borderId="0" xfId="0" applyNumberFormat="1" applyFill="1" applyProtection="1">
      <protection locked="0"/>
    </xf>
    <xf numFmtId="166" fontId="2" fillId="13" borderId="0" xfId="0" applyNumberFormat="1" applyFont="1" applyFill="1" applyProtection="1">
      <protection locked="0"/>
    </xf>
    <xf numFmtId="0" fontId="0" fillId="0" borderId="37" xfId="0" applyBorder="1"/>
    <xf numFmtId="187" fontId="0" fillId="0" borderId="0" xfId="0" applyNumberFormat="1" applyProtection="1">
      <protection locked="0"/>
    </xf>
    <xf numFmtId="175" fontId="0" fillId="0" borderId="1" xfId="0" applyNumberFormat="1" applyBorder="1" applyAlignment="1">
      <alignment horizontal="right"/>
    </xf>
    <xf numFmtId="175" fontId="0" fillId="0" borderId="1" xfId="0" applyNumberFormat="1" applyBorder="1" applyAlignment="1" applyProtection="1">
      <alignment horizontal="right"/>
      <protection locked="0"/>
    </xf>
    <xf numFmtId="168" fontId="0" fillId="0" borderId="1" xfId="0" applyNumberFormat="1" applyBorder="1" applyAlignment="1" applyProtection="1">
      <alignment horizontal="right"/>
      <protection locked="0"/>
    </xf>
    <xf numFmtId="168" fontId="18" fillId="0" borderId="1" xfId="0" applyNumberFormat="1" applyFont="1" applyBorder="1" applyAlignment="1">
      <alignment horizontal="right"/>
    </xf>
    <xf numFmtId="176" fontId="0" fillId="0" borderId="1" xfId="0" applyNumberFormat="1" applyBorder="1" applyAlignment="1">
      <alignment horizontal="right"/>
    </xf>
    <xf numFmtId="176" fontId="0" fillId="0" borderId="1" xfId="0" applyNumberFormat="1" applyBorder="1" applyAlignment="1" applyProtection="1">
      <alignment horizontal="right"/>
      <protection locked="0"/>
    </xf>
    <xf numFmtId="184" fontId="0" fillId="0" borderId="1" xfId="0" applyNumberFormat="1" applyBorder="1" applyAlignment="1">
      <alignment horizontal="right"/>
    </xf>
    <xf numFmtId="0" fontId="0" fillId="0" borderId="0" xfId="0" pivotButton="1"/>
    <xf numFmtId="0" fontId="2" fillId="2" borderId="24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2" fillId="0" borderId="0" xfId="0" applyFont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99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8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8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8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183" formatCode="&quot;PAGOS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8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8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84" formatCode="&quot;PREST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8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colors>
    <mruColors>
      <color rgb="FF19FF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microsoft.com/office/2017/10/relationships/person" Target="persons/person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8.svg"/><Relationship Id="rId1" Type="http://schemas.openxmlformats.org/officeDocument/2006/relationships/image" Target="../media/image7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sv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12.svg"/><Relationship Id="rId5" Type="http://schemas.openxmlformats.org/officeDocument/2006/relationships/image" Target="../media/image11.png"/><Relationship Id="rId4" Type="http://schemas.openxmlformats.org/officeDocument/2006/relationships/image" Target="../media/image10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 editAs="oneCell">
    <xdr:from>
      <xdr:col>15</xdr:col>
      <xdr:colOff>666750</xdr:colOff>
      <xdr:row>2</xdr:row>
      <xdr:rowOff>57150</xdr:rowOff>
    </xdr:from>
    <xdr:to>
      <xdr:col>16</xdr:col>
      <xdr:colOff>28575</xdr:colOff>
      <xdr:row>4</xdr:row>
      <xdr:rowOff>161925</xdr:rowOff>
    </xdr:to>
    <xdr:pic macro="[0]!REGRESOaporte">
      <xdr:nvPicPr>
        <xdr:cNvPr id="6" name="Gráfico 5" descr="Bar graph with upward trend con relleno sólido">
          <a:extLst>
            <a:ext uri="{FF2B5EF4-FFF2-40B4-BE49-F238E27FC236}">
              <a16:creationId xmlns:a16="http://schemas.microsoft.com/office/drawing/2014/main" id="{EA47D88A-C0D0-447E-91BF-30D51C6A7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458450" y="457200"/>
          <a:ext cx="504825" cy="5048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182218</xdr:colOff>
      <xdr:row>0</xdr:row>
      <xdr:rowOff>0</xdr:rowOff>
    </xdr:from>
    <xdr:to>
      <xdr:col>2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303007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43300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80067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140155</xdr:colOff>
      <xdr:row>24</xdr:row>
      <xdr:rowOff>128587</xdr:rowOff>
    </xdr:from>
    <xdr:to>
      <xdr:col>20</xdr:col>
      <xdr:colOff>666751</xdr:colOff>
      <xdr:row>27</xdr:row>
      <xdr:rowOff>171449</xdr:rowOff>
    </xdr:to>
    <xdr:pic macro="[0]!MOSTRARREGISTRO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646480" y="4976812"/>
          <a:ext cx="526596" cy="642937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1</xdr:row>
      <xdr:rowOff>57150</xdr:rowOff>
    </xdr:from>
    <xdr:to>
      <xdr:col>20</xdr:col>
      <xdr:colOff>676275</xdr:colOff>
      <xdr:row>3</xdr:row>
      <xdr:rowOff>19050</xdr:rowOff>
    </xdr:to>
    <xdr:sp macro="[0]!MOSTRARLINEAMIENT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1DCC66C-4C52-46F1-801F-0E77942FD0DE}"/>
            </a:ext>
          </a:extLst>
        </xdr:cNvPr>
        <xdr:cNvSpPr/>
      </xdr:nvSpPr>
      <xdr:spPr>
        <a:xfrm>
          <a:off x="12544425" y="257175"/>
          <a:ext cx="638175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LINEAMIENTOS</a:t>
          </a:r>
          <a:endParaRPr lang="es-EC" sz="1600" b="0"/>
        </a:p>
      </xdr:txBody>
    </xdr:sp>
    <xdr:clientData/>
  </xdr:twoCellAnchor>
  <xdr:twoCellAnchor>
    <xdr:from>
      <xdr:col>20</xdr:col>
      <xdr:colOff>38100</xdr:colOff>
      <xdr:row>3</xdr:row>
      <xdr:rowOff>76200</xdr:rowOff>
    </xdr:from>
    <xdr:to>
      <xdr:col>20</xdr:col>
      <xdr:colOff>676275</xdr:colOff>
      <xdr:row>5</xdr:row>
      <xdr:rowOff>38100</xdr:rowOff>
    </xdr:to>
    <xdr:sp macro="[0]!MOSTRARaporte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D85EF08-59C3-4AAB-8D47-7C8D41444545}"/>
            </a:ext>
          </a:extLst>
        </xdr:cNvPr>
        <xdr:cNvSpPr/>
      </xdr:nvSpPr>
      <xdr:spPr>
        <a:xfrm>
          <a:off x="12544425" y="695325"/>
          <a:ext cx="638175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APORTES</a:t>
          </a:r>
          <a:endParaRPr lang="es-EC" sz="500" b="0"/>
        </a:p>
      </xdr:txBody>
    </xdr:sp>
    <xdr:clientData/>
  </xdr:twoCellAnchor>
  <xdr:twoCellAnchor>
    <xdr:from>
      <xdr:col>20</xdr:col>
      <xdr:colOff>38100</xdr:colOff>
      <xdr:row>5</xdr:row>
      <xdr:rowOff>85725</xdr:rowOff>
    </xdr:from>
    <xdr:to>
      <xdr:col>20</xdr:col>
      <xdr:colOff>676275</xdr:colOff>
      <xdr:row>7</xdr:row>
      <xdr:rowOff>57150</xdr:rowOff>
    </xdr:to>
    <xdr:sp macro="[0]!MOSTRARPRESTAMO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CEDEAB33-2FB2-47C7-92C3-EF420D71C617}"/>
            </a:ext>
          </a:extLst>
        </xdr:cNvPr>
        <xdr:cNvSpPr/>
      </xdr:nvSpPr>
      <xdr:spPr>
        <a:xfrm>
          <a:off x="12544425" y="1123950"/>
          <a:ext cx="638175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PRESTAMOS</a:t>
          </a:r>
          <a:endParaRPr lang="es-EC" sz="600" b="0"/>
        </a:p>
      </xdr:txBody>
    </xdr:sp>
    <xdr:clientData/>
  </xdr:twoCellAnchor>
  <xdr:twoCellAnchor>
    <xdr:from>
      <xdr:col>20</xdr:col>
      <xdr:colOff>28575</xdr:colOff>
      <xdr:row>7</xdr:row>
      <xdr:rowOff>123825</xdr:rowOff>
    </xdr:from>
    <xdr:to>
      <xdr:col>20</xdr:col>
      <xdr:colOff>676275</xdr:colOff>
      <xdr:row>9</xdr:row>
      <xdr:rowOff>114300</xdr:rowOff>
    </xdr:to>
    <xdr:sp macro="[0]!MOSTRARPAGO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AC4D8ACB-6808-463E-90C3-B0FE27D56176}"/>
            </a:ext>
          </a:extLst>
        </xdr:cNvPr>
        <xdr:cNvSpPr/>
      </xdr:nvSpPr>
      <xdr:spPr>
        <a:xfrm>
          <a:off x="12534900" y="1571625"/>
          <a:ext cx="6477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PAGOS</a:t>
          </a:r>
          <a:endParaRPr lang="es-EC" sz="600" b="0"/>
        </a:p>
      </xdr:txBody>
    </xdr:sp>
    <xdr:clientData/>
  </xdr:twoCellAnchor>
  <xdr:twoCellAnchor>
    <xdr:from>
      <xdr:col>20</xdr:col>
      <xdr:colOff>38100</xdr:colOff>
      <xdr:row>9</xdr:row>
      <xdr:rowOff>180975</xdr:rowOff>
    </xdr:from>
    <xdr:to>
      <xdr:col>20</xdr:col>
      <xdr:colOff>685800</xdr:colOff>
      <xdr:row>11</xdr:row>
      <xdr:rowOff>142875</xdr:rowOff>
    </xdr:to>
    <xdr:sp macro="[0]!MOSTRARREPORT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7987790B-F18A-4A58-8970-8F1A72775B4B}"/>
            </a:ext>
          </a:extLst>
        </xdr:cNvPr>
        <xdr:cNvSpPr/>
      </xdr:nvSpPr>
      <xdr:spPr>
        <a:xfrm>
          <a:off x="12544425" y="2019300"/>
          <a:ext cx="6477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800" b="0"/>
            <a:t>REPORTE</a:t>
          </a:r>
          <a:endParaRPr lang="es-EC" sz="600" b="0"/>
        </a:p>
      </xdr:txBody>
    </xdr:sp>
    <xdr:clientData/>
  </xdr:twoCellAnchor>
  <xdr:twoCellAnchor>
    <xdr:from>
      <xdr:col>20</xdr:col>
      <xdr:colOff>38101</xdr:colOff>
      <xdr:row>11</xdr:row>
      <xdr:rowOff>200025</xdr:rowOff>
    </xdr:from>
    <xdr:to>
      <xdr:col>20</xdr:col>
      <xdr:colOff>685801</xdr:colOff>
      <xdr:row>13</xdr:row>
      <xdr:rowOff>161925</xdr:rowOff>
    </xdr:to>
    <xdr:sp macro="[0]!MOSTRARhistorial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DD544AA1-1A40-42A9-A5A8-E6DB3BBDA2D5}"/>
            </a:ext>
          </a:extLst>
        </xdr:cNvPr>
        <xdr:cNvSpPr/>
      </xdr:nvSpPr>
      <xdr:spPr>
        <a:xfrm>
          <a:off x="12544426" y="2457450"/>
          <a:ext cx="647700" cy="381000"/>
        </a:xfrm>
        <a:prstGeom prst="roundRect">
          <a:avLst>
            <a:gd name="adj" fmla="val 12500"/>
          </a:avLst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HISTORIAL</a:t>
          </a:r>
          <a:r>
            <a:rPr lang="es-EC" sz="800" b="0" baseline="0"/>
            <a:t> EE.RR</a:t>
          </a:r>
          <a:endParaRPr lang="es-EC" sz="600" b="0"/>
        </a:p>
      </xdr:txBody>
    </xdr:sp>
    <xdr:clientData/>
  </xdr:twoCellAnchor>
  <xdr:twoCellAnchor editAs="oneCell">
    <xdr:from>
      <xdr:col>20</xdr:col>
      <xdr:colOff>59551</xdr:colOff>
      <xdr:row>20</xdr:row>
      <xdr:rowOff>104775</xdr:rowOff>
    </xdr:from>
    <xdr:to>
      <xdr:col>20</xdr:col>
      <xdr:colOff>695035</xdr:colOff>
      <xdr:row>24</xdr:row>
      <xdr:rowOff>66675</xdr:rowOff>
    </xdr:to>
    <xdr:pic macro="[0]!MostrarFormulario">
      <xdr:nvPicPr>
        <xdr:cNvPr id="10" name="Gráfico 9" descr="Clipboard con relleno sólido">
          <a:extLst>
            <a:ext uri="{FF2B5EF4-FFF2-40B4-BE49-F238E27FC236}">
              <a16:creationId xmlns:a16="http://schemas.microsoft.com/office/drawing/2014/main" id="{145C1BEC-88BA-427A-9AE6-E249F95BE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565876" y="4086225"/>
          <a:ext cx="635484" cy="723900"/>
        </a:xfrm>
        <a:prstGeom prst="rect">
          <a:avLst/>
        </a:prstGeom>
      </xdr:spPr>
    </xdr:pic>
    <xdr:clientData/>
  </xdr:twoCellAnchor>
  <xdr:twoCellAnchor editAs="oneCell">
    <xdr:from>
      <xdr:col>20</xdr:col>
      <xdr:colOff>50026</xdr:colOff>
      <xdr:row>17</xdr:row>
      <xdr:rowOff>0</xdr:rowOff>
    </xdr:from>
    <xdr:to>
      <xdr:col>20</xdr:col>
      <xdr:colOff>661867</xdr:colOff>
      <xdr:row>20</xdr:row>
      <xdr:rowOff>85725</xdr:rowOff>
    </xdr:to>
    <xdr:pic macro="[0]!MOSTRARcaja">
      <xdr:nvPicPr>
        <xdr:cNvPr id="12" name="Gráfico 11" descr="Clipboard Checked contorno">
          <a:extLst>
            <a:ext uri="{FF2B5EF4-FFF2-40B4-BE49-F238E27FC236}">
              <a16:creationId xmlns:a16="http://schemas.microsoft.com/office/drawing/2014/main" id="{B891A3CA-A6EA-4AAB-B0A1-2D9ED2605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556351" y="3371850"/>
          <a:ext cx="611841" cy="695325"/>
        </a:xfrm>
        <a:prstGeom prst="rect">
          <a:avLst/>
        </a:prstGeom>
      </xdr:spPr>
    </xdr:pic>
    <xdr:clientData/>
  </xdr:twoCellAnchor>
  <xdr:twoCellAnchor editAs="oneCell">
    <xdr:from>
      <xdr:col>20</xdr:col>
      <xdr:colOff>19050</xdr:colOff>
      <xdr:row>13</xdr:row>
      <xdr:rowOff>150000</xdr:rowOff>
    </xdr:from>
    <xdr:to>
      <xdr:col>20</xdr:col>
      <xdr:colOff>707250</xdr:colOff>
      <xdr:row>17</xdr:row>
      <xdr:rowOff>47625</xdr:rowOff>
    </xdr:to>
    <xdr:pic macro="[0]!MOSTRARaporte">
      <xdr:nvPicPr>
        <xdr:cNvPr id="13" name="Gráfico 12" descr="Meeting con relleno sólido">
          <a:extLst>
            <a:ext uri="{FF2B5EF4-FFF2-40B4-BE49-F238E27FC236}">
              <a16:creationId xmlns:a16="http://schemas.microsoft.com/office/drawing/2014/main" id="{3938916F-A09B-471E-8A2D-01F7D1A86C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2525375" y="2826525"/>
          <a:ext cx="688200" cy="6882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erson Toaquiza" id="{3D8CE891-65E3-481C-9D4E-1DF6AE2A77C4}" userId="5dd8b5a431b2c752" providerId="Windows Live"/>
</personList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fferson Toaquiza" refreshedDate="46127.950997453707" backgroundQuery="1" createdVersion="8" refreshedVersion="8" minRefreshableVersion="3" recordCount="0" supportSubquery="1" supportAdvancedDrill="1" xr:uid="{8F1C9D54-B103-417A-BC18-C8597A61373D}">
  <cacheSource type="external" connectionId="1"/>
  <cacheFields count="3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Recuento de CODIGO CLIENTE]" caption="Recuento de CODIGO CLIENTE" numFmtId="0" hierarchy="47" level="32767"/>
  </cacheFields>
  <cacheHierarchies count="50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20" unbalanced="0"/>
    <cacheHierarchy uniqueName="[PAGOS].[TIPO]" caption="TIPO" attribute="1" defaultMemberUniqueName="[PAGOS].[TIPO].[All]" allUniqueName="[PAGOS].[TIPO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2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20" unbalanced="0"/>
    <cacheHierarchy uniqueName="[PRESTAMOS].[TIPO]" caption="TIPO" attribute="1" defaultMemberUniqueName="[PRESTAMOS].[TIPO].[All]" allUniqueName="[PRESTAMOS].[TIPO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D24" firstHeaderRow="2" firstDataRow="2" firstDataCol="2"/>
  <pivotFields count="3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Items count="1">
    <i/>
  </colItems>
  <dataFields count="1">
    <dataField name="# APORT" fld="2" subtotal="count" baseField="1" baseItem="8"/>
  </dataFields>
  <formats count="46">
    <format dxfId="45">
      <pivotArea outline="0" fieldPosition="0">
        <references count="2">
          <reference field="0" count="0" selected="0"/>
          <reference field="1" count="0" selected="0"/>
        </references>
      </pivotArea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0">
      <pivotArea type="topRight" dataOnly="0" labelOnly="1" outline="0" fieldPosition="0"/>
    </format>
  </formats>
  <pivotHierarchies count="5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630" totalsRowShown="0" headerRowDxfId="98" headerRowBorderDxfId="97" tableBorderDxfId="96" totalsRowBorderDxfId="95">
  <autoFilter ref="F4:K630" xr:uid="{F53503DF-644E-4A9A-8D0D-080AEC43F898}"/>
  <tableColumns count="6">
    <tableColumn id="1" xr3:uid="{6ED0DD16-597F-4657-B60B-E17AA9DAB89E}" name="SECUENCIA" dataDxfId="94">
      <calculatedColumnFormula>ROW()-ROW(APORTACIONESOCIOS[[#Headers],[SECUENCIA]])</calculatedColumnFormula>
    </tableColumn>
    <tableColumn id="2" xr3:uid="{47EBCF96-4711-43CB-9BE6-93ED477BB0A0}" name="FECHA" dataDxfId="93"/>
    <tableColumn id="3" xr3:uid="{16E6B2EE-7076-4DFF-A63F-B04A095B46B7}" name="APORTE" dataDxfId="92">
      <calculatedColumnFormula>#REF!</calculatedColumnFormula>
    </tableColumn>
    <tableColumn id="4" xr3:uid="{66708F39-5779-4AD8-BCCC-6C523358E0D4}" name="CODIGO CLIENTE" dataDxfId="91"/>
    <tableColumn id="5" xr3:uid="{6957FAA1-68C1-4BFD-92E8-A5A6769A497E}" name="SOCIO" dataDxfId="90"/>
    <tableColumn id="6" xr3:uid="{FC26D5C3-2C4B-49B7-9204-EF7C92747C36}" name="COMENTARIO" dataDxfId="8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88">
  <autoFilter ref="B4:D22" xr:uid="{DD579213-6F14-4AB3-B889-091BC90F886F}"/>
  <tableColumns count="3">
    <tableColumn id="1" xr3:uid="{8F2A069B-46A7-4EE9-9779-1D92529BBBA6}" name="CODIGO CLIENTE" dataDxfId="87"/>
    <tableColumn id="2" xr3:uid="{A73C0ADE-0C9C-46DA-9A46-AC967EA142A4}" name="NOMBRE"/>
    <tableColumn id="3" xr3:uid="{47029E3F-DC83-4BC4-93ED-3D3FE79ACF30}" name="APORTADO" dataDxfId="86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M127" totalsRowShown="0" headerRowDxfId="85" dataDxfId="84" tableBorderDxfId="83">
  <autoFilter ref="A2:M127" xr:uid="{1EF07585-15E8-4C19-B5D8-0E7A84F4DBB0}"/>
  <tableColumns count="13">
    <tableColumn id="1" xr3:uid="{DF608173-1C1E-45BF-BDA6-4770479695D0}" name="REG" dataDxfId="82"/>
    <tableColumn id="13" xr3:uid="{8B350067-5DB3-46A1-B452-EF2A896A6016}" name="TIPO" dataDxfId="81"/>
    <tableColumn id="10" xr3:uid="{A1710718-E81C-4FCA-8318-2D0241A13750}" name="CODIGO CLIENTE" dataDxfId="80"/>
    <tableColumn id="2" xr3:uid="{BF4B879C-1336-4BFF-A448-902F2E842778}" name="NOMBRE CLIENTE" dataDxfId="79"/>
    <tableColumn id="3" xr3:uid="{A4557FB7-A69D-41EA-ADDC-4CD851160E6F}" name="MONTO AMORTIZACION" dataDxfId="78"/>
    <tableColumn id="4" xr3:uid="{1059D7C6-771B-45CF-95FF-DE6753600468}" name="FECHA DEL PRESTAMO" dataDxfId="77"/>
    <tableColumn id="5" xr3:uid="{EC0679A2-BDC3-47B2-82B2-67CD1FDCEED2}" name="CUOTAS" dataDxfId="76"/>
    <tableColumn id="6" xr3:uid="{2AB3969A-7B77-4109-A6D4-36598A4DCC7B}" name="INTERES" dataDxfId="75"/>
    <tableColumn id="7" xr3:uid="{178CA326-5156-46D8-B147-36B8DAE7B0FB}" name="T. INT" dataDxfId="74">
      <calculatedColumnFormula>+PRESTAMOS[[#This Row],[MONTO AMORTIZACION]]*PRESTAMOS[[#This Row],[INTERES]]*PRESTAMOS[[#This Row],[CUOTAS]]</calculatedColumnFormula>
    </tableColumn>
    <tableColumn id="8" xr3:uid="{17CD5BD3-A607-4484-90AC-0B5D98341407}" name="CUOTA" dataDxfId="73">
      <calculatedColumnFormula>+PRESTAMOS[[#This Row],[MONTO AMORTIZACION]]+PRESTAMOS[[#This Row],[T. INT]]</calculatedColumnFormula>
    </tableColumn>
    <tableColumn id="9" xr3:uid="{DAB7303D-AF54-4300-85B2-5A04DC344B2D}" name="OBSERVACION" dataDxfId="72"/>
    <tableColumn id="11" xr3:uid="{A7AC972D-5336-419F-9024-628A881B913D}" name="ESTATUS" dataDxfId="71">
      <calculatedColumnFormula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70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M488" totalsRowShown="0" headerRowDxfId="69" dataDxfId="68" tableBorderDxfId="67">
  <autoFilter ref="A2:M488" xr:uid="{0B276B08-FDED-4D4B-9E03-4C4141C75BCE}"/>
  <tableColumns count="13">
    <tableColumn id="1" xr3:uid="{291C7FF1-10B1-4601-BE6F-18338656E5ED}" name="REG" dataDxfId="66"/>
    <tableColumn id="13" xr3:uid="{510C0134-1245-4294-9C26-7BCF205B878E}" name="TIPO" dataDxfId="65"/>
    <tableColumn id="10" xr3:uid="{7022746F-053D-483A-BA2A-73B3994A543A}" name="CODIGO CLIENTE" dataDxfId="64"/>
    <tableColumn id="2" xr3:uid="{FC13E43B-9874-4D30-9445-A72F47508A7C}" name="NOMBRE CLIENTE" dataDxfId="63"/>
    <tableColumn id="11" xr3:uid="{E88FA523-F814-4522-A262-68C8722599CB}" name="# PESTAMO" dataDxfId="62"/>
    <tableColumn id="3" xr3:uid="{002B3DB3-17B9-428D-A25A-72684C77E38B}" name="PAGO DEL MONTO" dataDxfId="61"/>
    <tableColumn id="4" xr3:uid="{1F8AE8A0-54D4-4B93-9CE3-86BC07F70024}" name="FECHA PAGO DEL MONTO" dataDxfId="60"/>
    <tableColumn id="5" xr3:uid="{F83E30F0-E156-48F7-9345-CAA3F5461D36}" name="# DE CUOTA DEL MONTO" dataDxfId="59"/>
    <tableColumn id="6" xr3:uid="{9DD87D8D-B930-4E29-9891-39897F2AED3F}" name="PAGO DEL INTERES" dataDxfId="58"/>
    <tableColumn id="7" xr3:uid="{D2503747-26C8-4B63-AB7A-B44C998F3273}" name="FECHA PAGO INTERES" dataDxfId="57"/>
    <tableColumn id="8" xr3:uid="{ACB52336-5F64-495D-A7C5-4F974CF9E959}" name="# DE CUOTA DE INTERES" dataDxfId="56"/>
    <tableColumn id="9" xr3:uid="{29B90C80-8506-4A3F-8557-A9FDCA0D07DB}" name="COMENTARIO" dataDxfId="55"/>
    <tableColumn id="12" xr3:uid="{AD0D0573-DCAF-445E-8A20-BEADB80BC7AE}" name="ES NUMERO" dataDxfId="54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6" totalsRowShown="0" headerRowDxfId="53" headerRowBorderDxfId="52" tableBorderDxfId="51" totalsRowBorderDxfId="50">
  <autoFilter ref="A1:D46" xr:uid="{04B7BB1B-ECEB-41CC-8D03-4A59D0FF3CBE}"/>
  <tableColumns count="4">
    <tableColumn id="1" xr3:uid="{C9871744-ADFB-4E6E-8064-EB19DBD32DD9}" name="#REGISTRO" dataDxfId="49">
      <calculatedColumnFormula array="1">IF(DENERO_CAJA[[#This Row],[MONTO]]&lt;&gt;"",ROW()-ROW(DENERO_CAJA[#Headers]),"")</calculatedColumnFormula>
    </tableColumn>
    <tableColumn id="2" xr3:uid="{8D9D85F4-7C58-411D-9F50-5DDD4F3C24B5}" name="FECHA" dataDxfId="48"/>
    <tableColumn id="3" xr3:uid="{F57D2212-4DEE-425B-919D-FA4FFA0A57FC}" name="MONTO" dataDxfId="47"/>
    <tableColumn id="4" xr3:uid="{2D0EDDF4-6390-4E2C-98CD-CE5E5523338F}" name="COMENTARIO" dataDxfId="4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44" dT="2026-03-15T23:48:32.40" personId="{3D8CE891-65E3-481C-9D4E-1DF6AE2A77C4}" id="{477C6BB1-D90F-43FA-8595-7E09F3942D28}">
    <text>REPONER ROCIO 50$ DANNY 250 MAYRA 120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B19" sqref="B19"/>
    </sheetView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145">
        <v>1</v>
      </c>
      <c r="B3" s="42" t="s">
        <v>70</v>
      </c>
    </row>
    <row r="4" spans="1:2" x14ac:dyDescent="0.3">
      <c r="A4" s="145">
        <v>2</v>
      </c>
      <c r="B4" s="42" t="s">
        <v>71</v>
      </c>
    </row>
    <row r="5" spans="1:2" x14ac:dyDescent="0.3">
      <c r="A5" s="145">
        <v>3</v>
      </c>
      <c r="B5" s="42" t="s">
        <v>13</v>
      </c>
    </row>
    <row r="6" spans="1:2" x14ac:dyDescent="0.3">
      <c r="A6" s="145">
        <v>4</v>
      </c>
      <c r="B6" s="42" t="s">
        <v>12</v>
      </c>
    </row>
    <row r="7" spans="1:2" x14ac:dyDescent="0.3">
      <c r="A7" s="145">
        <v>5</v>
      </c>
      <c r="B7" s="42" t="s">
        <v>14</v>
      </c>
    </row>
    <row r="8" spans="1:2" x14ac:dyDescent="0.3">
      <c r="A8" s="145">
        <v>6</v>
      </c>
      <c r="B8" s="42" t="s">
        <v>24</v>
      </c>
    </row>
    <row r="9" spans="1:2" x14ac:dyDescent="0.3">
      <c r="A9" s="145">
        <v>7</v>
      </c>
      <c r="B9" s="42" t="s">
        <v>355</v>
      </c>
    </row>
    <row r="10" spans="1:2" x14ac:dyDescent="0.3">
      <c r="A10" s="145">
        <v>8</v>
      </c>
      <c r="B10" s="42" t="s">
        <v>356</v>
      </c>
    </row>
    <row r="11" spans="1:2" x14ac:dyDescent="0.3">
      <c r="A11" s="145">
        <v>9</v>
      </c>
      <c r="B11" s="42" t="s">
        <v>17</v>
      </c>
    </row>
    <row r="12" spans="1:2" x14ac:dyDescent="0.3">
      <c r="A12" s="145">
        <v>10</v>
      </c>
      <c r="B12" s="42" t="s">
        <v>18</v>
      </c>
    </row>
    <row r="13" spans="1:2" x14ac:dyDescent="0.3">
      <c r="A13" s="145">
        <v>11</v>
      </c>
      <c r="B13" s="42" t="s">
        <v>19</v>
      </c>
    </row>
    <row r="14" spans="1:2" x14ac:dyDescent="0.3">
      <c r="A14" s="145">
        <v>12</v>
      </c>
      <c r="B14" s="42" t="s">
        <v>20</v>
      </c>
    </row>
    <row r="15" spans="1:2" x14ac:dyDescent="0.3">
      <c r="A15" s="145">
        <v>13</v>
      </c>
      <c r="B15" s="42" t="s">
        <v>301</v>
      </c>
    </row>
    <row r="16" spans="1:2" x14ac:dyDescent="0.3">
      <c r="A16" s="145">
        <v>14</v>
      </c>
      <c r="B16" s="42" t="s">
        <v>21</v>
      </c>
    </row>
    <row r="17" spans="1:2" x14ac:dyDescent="0.3">
      <c r="A17" s="145">
        <v>15</v>
      </c>
      <c r="B17" s="42" t="s">
        <v>22</v>
      </c>
    </row>
    <row r="18" spans="1:2" x14ac:dyDescent="0.3">
      <c r="A18" s="145">
        <v>16</v>
      </c>
      <c r="B18" s="42" t="s">
        <v>515</v>
      </c>
    </row>
    <row r="19" spans="1:2" x14ac:dyDescent="0.3">
      <c r="A19" s="145">
        <v>17</v>
      </c>
      <c r="B19" s="42" t="s">
        <v>299</v>
      </c>
    </row>
    <row r="20" spans="1:2" x14ac:dyDescent="0.3">
      <c r="A20" s="145">
        <v>18</v>
      </c>
      <c r="B20" s="42" t="s">
        <v>300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630"/>
  <sheetViews>
    <sheetView workbookViewId="0">
      <pane xSplit="5" ySplit="4" topLeftCell="F602" activePane="bottomRight" state="frozen"/>
      <selection pane="topRight" activeCell="F1" sqref="F1"/>
      <selection pane="bottomLeft" activeCell="A5" sqref="A5"/>
      <selection pane="bottomRight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16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1.441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189"/>
    </row>
    <row r="4" spans="2:11" x14ac:dyDescent="0.3">
      <c r="B4" s="191" t="s">
        <v>33</v>
      </c>
      <c r="C4" s="192" t="s">
        <v>11</v>
      </c>
      <c r="D4" s="193" t="s">
        <v>26</v>
      </c>
      <c r="F4" s="182" t="s">
        <v>352</v>
      </c>
      <c r="G4" s="183" t="s">
        <v>48</v>
      </c>
      <c r="H4" s="183" t="s">
        <v>351</v>
      </c>
      <c r="I4" s="183" t="s">
        <v>33</v>
      </c>
      <c r="J4" s="183" t="s">
        <v>53</v>
      </c>
      <c r="K4" s="184" t="s">
        <v>262</v>
      </c>
    </row>
    <row r="5" spans="2:11" ht="20.100000000000001" customHeight="1" x14ac:dyDescent="0.3">
      <c r="B5" s="224">
        <v>1</v>
      </c>
      <c r="C5" s="201" t="s">
        <v>70</v>
      </c>
      <c r="D5" s="256">
        <f>+SUMIF(APORTACIONESOCIOS[CODIGO CLIENTE],SOCIOS!$B5,APORTACIONESOCIOS[APORTE])</f>
        <v>0</v>
      </c>
      <c r="F5" s="243">
        <f>ROW()-ROW(APORTACIONESOCIOS[[#Headers],[SECUENCIA]])</f>
        <v>1</v>
      </c>
      <c r="G5" s="117">
        <v>44788</v>
      </c>
      <c r="H5" s="3">
        <v>0</v>
      </c>
      <c r="I5" s="195">
        <v>1</v>
      </c>
      <c r="J5" s="181" t="s">
        <v>70</v>
      </c>
      <c r="K5" s="184"/>
    </row>
    <row r="6" spans="2:11" ht="20.100000000000001" customHeight="1" x14ac:dyDescent="0.3">
      <c r="B6" s="52">
        <v>2</v>
      </c>
      <c r="C6" s="202" t="s">
        <v>71</v>
      </c>
      <c r="D6" s="256">
        <f>+SUMIF(APORTACIONESOCIOS[CODIGO CLIENTE],SOCIOS!$B6,APORTACIONESOCIOS[APORTE])</f>
        <v>0</v>
      </c>
      <c r="F6" s="243">
        <f>ROW()-ROW(APORTACIONESOCIOS[[#Headers],[SECUENCIA]])</f>
        <v>2</v>
      </c>
      <c r="G6" s="117">
        <v>44788</v>
      </c>
      <c r="H6" s="3">
        <v>0</v>
      </c>
      <c r="I6" s="195">
        <v>2</v>
      </c>
      <c r="J6" s="181" t="s">
        <v>71</v>
      </c>
      <c r="K6" s="184"/>
    </row>
    <row r="7" spans="2:11" ht="20.100000000000001" customHeight="1" x14ac:dyDescent="0.3">
      <c r="B7" s="224">
        <v>3</v>
      </c>
      <c r="C7" s="200" t="s">
        <v>13</v>
      </c>
      <c r="D7" s="256">
        <f>+SUMIF(APORTACIONESOCIOS[CODIGO CLIENTE],SOCIOS!$B7,APORTACIONESOCIOS[APORTE])</f>
        <v>490</v>
      </c>
      <c r="F7" s="244">
        <f>ROW()-ROW(APORTACIONESOCIOS[[#Headers],[SECUENCIA]])</f>
        <v>3</v>
      </c>
      <c r="G7" s="117">
        <v>44788</v>
      </c>
      <c r="H7" s="3">
        <v>10</v>
      </c>
      <c r="I7" s="195">
        <v>3</v>
      </c>
      <c r="J7" s="181" t="s">
        <v>13</v>
      </c>
      <c r="K7" s="185"/>
    </row>
    <row r="8" spans="2:11" ht="20.100000000000001" customHeight="1" x14ac:dyDescent="0.3">
      <c r="B8" s="52">
        <v>4</v>
      </c>
      <c r="C8" s="42" t="s">
        <v>12</v>
      </c>
      <c r="D8" s="256">
        <f>+SUMIF(APORTACIONESOCIOS[CODIGO CLIENTE],SOCIOS!$B8,APORTACIONESOCIOS[APORTE])</f>
        <v>490</v>
      </c>
      <c r="F8" s="244">
        <f>ROW()-ROW(APORTACIONESOCIOS[[#Headers],[SECUENCIA]])</f>
        <v>4</v>
      </c>
      <c r="G8" s="117">
        <v>44788</v>
      </c>
      <c r="H8" s="3">
        <v>10</v>
      </c>
      <c r="I8" s="195">
        <v>4</v>
      </c>
      <c r="J8" s="181" t="s">
        <v>12</v>
      </c>
      <c r="K8" s="185"/>
    </row>
    <row r="9" spans="2:11" ht="20.100000000000001" customHeight="1" x14ac:dyDescent="0.3">
      <c r="B9" s="224">
        <v>5</v>
      </c>
      <c r="C9" s="200" t="s">
        <v>14</v>
      </c>
      <c r="D9" s="256">
        <f>+SUMIF(APORTACIONESOCIOS[CODIGO CLIENTE],SOCIOS!$B9,APORTACIONESOCIOS[APORTE])</f>
        <v>490</v>
      </c>
      <c r="F9" s="244">
        <f>ROW()-ROW(APORTACIONESOCIOS[[#Headers],[SECUENCIA]])</f>
        <v>5</v>
      </c>
      <c r="G9" s="117">
        <v>44788</v>
      </c>
      <c r="H9" s="3">
        <v>10</v>
      </c>
      <c r="I9" s="195">
        <v>5</v>
      </c>
      <c r="J9" s="181" t="s">
        <v>14</v>
      </c>
      <c r="K9" s="185"/>
    </row>
    <row r="10" spans="2:11" ht="20.100000000000001" customHeight="1" x14ac:dyDescent="0.3">
      <c r="B10" s="52">
        <v>6</v>
      </c>
      <c r="C10" s="42" t="s">
        <v>24</v>
      </c>
      <c r="D10" s="256">
        <f>+SUMIF(APORTACIONESOCIOS[CODIGO CLIENTE],SOCIOS!$B10,APORTACIONESOCIOS[APORTE])</f>
        <v>490</v>
      </c>
      <c r="F10" s="244">
        <f>ROW()-ROW(APORTACIONESOCIOS[[#Headers],[SECUENCIA]])</f>
        <v>6</v>
      </c>
      <c r="G10" s="117">
        <v>44788</v>
      </c>
      <c r="H10" s="3">
        <v>10</v>
      </c>
      <c r="I10" s="195">
        <v>6</v>
      </c>
      <c r="J10" s="181" t="s">
        <v>24</v>
      </c>
      <c r="K10" s="185"/>
    </row>
    <row r="11" spans="2:11" ht="20.100000000000001" customHeight="1" x14ac:dyDescent="0.3">
      <c r="B11" s="225">
        <v>7</v>
      </c>
      <c r="C11" s="188" t="s">
        <v>15</v>
      </c>
      <c r="D11" s="256">
        <f>+SUMIF(APORTACIONESOCIOS[CODIGO CLIENTE],SOCIOS!$B11,APORTACIONESOCIOS[APORTE])</f>
        <v>490</v>
      </c>
      <c r="F11" s="244">
        <f>ROW()-ROW(APORTACIONESOCIOS[[#Headers],[SECUENCIA]])</f>
        <v>7</v>
      </c>
      <c r="G11" s="117">
        <v>44788</v>
      </c>
      <c r="H11" s="3">
        <v>10</v>
      </c>
      <c r="I11" s="195">
        <v>7</v>
      </c>
      <c r="J11" s="181" t="s">
        <v>355</v>
      </c>
      <c r="K11" s="185"/>
    </row>
    <row r="12" spans="2:11" ht="20.100000000000001" customHeight="1" x14ac:dyDescent="0.3">
      <c r="B12" s="226">
        <v>8</v>
      </c>
      <c r="C12" s="172" t="s">
        <v>16</v>
      </c>
      <c r="D12" s="256">
        <f>+SUMIF(APORTACIONESOCIOS[CODIGO CLIENTE],SOCIOS!$B12,APORTACIONESOCIOS[APORTE])</f>
        <v>490</v>
      </c>
      <c r="F12" s="244">
        <f>ROW()-ROW(APORTACIONESOCIOS[[#Headers],[SECUENCIA]])</f>
        <v>8</v>
      </c>
      <c r="G12" s="117">
        <v>44788</v>
      </c>
      <c r="H12" s="3">
        <v>10</v>
      </c>
      <c r="I12" s="195">
        <v>8</v>
      </c>
      <c r="J12" s="181" t="s">
        <v>16</v>
      </c>
      <c r="K12" s="185"/>
    </row>
    <row r="13" spans="2:11" ht="20.100000000000001" customHeight="1" x14ac:dyDescent="0.3">
      <c r="B13" s="225">
        <v>9</v>
      </c>
      <c r="C13" s="188" t="s">
        <v>17</v>
      </c>
      <c r="D13" s="256">
        <f>+SUMIF(APORTACIONESOCIOS[CODIGO CLIENTE],SOCIOS!$B13,APORTACIONESOCIOS[APORTE])</f>
        <v>470</v>
      </c>
      <c r="F13" s="244">
        <f>ROW()-ROW(APORTACIONESOCIOS[[#Headers],[SECUENCIA]])</f>
        <v>9</v>
      </c>
      <c r="G13" s="117">
        <v>44788</v>
      </c>
      <c r="H13" s="3">
        <v>10</v>
      </c>
      <c r="I13" s="195">
        <v>9</v>
      </c>
      <c r="J13" s="181" t="s">
        <v>17</v>
      </c>
      <c r="K13" s="185"/>
    </row>
    <row r="14" spans="2:11" ht="20.100000000000001" customHeight="1" x14ac:dyDescent="0.3">
      <c r="B14" s="226">
        <v>10</v>
      </c>
      <c r="C14" s="172" t="s">
        <v>18</v>
      </c>
      <c r="D14" s="256">
        <f>+SUMIF(APORTACIONESOCIOS[CODIGO CLIENTE],SOCIOS!$B14,APORTACIONESOCIOS[APORTE])</f>
        <v>470</v>
      </c>
      <c r="F14" s="244">
        <f>ROW()-ROW(APORTACIONESOCIOS[[#Headers],[SECUENCIA]])</f>
        <v>10</v>
      </c>
      <c r="G14" s="117">
        <v>44788</v>
      </c>
      <c r="H14" s="3">
        <v>10</v>
      </c>
      <c r="I14" s="195">
        <v>10</v>
      </c>
      <c r="J14" s="181" t="s">
        <v>18</v>
      </c>
      <c r="K14" s="185"/>
    </row>
    <row r="15" spans="2:11" ht="20.100000000000001" customHeight="1" x14ac:dyDescent="0.3">
      <c r="B15" s="225">
        <v>11</v>
      </c>
      <c r="C15" s="188" t="s">
        <v>19</v>
      </c>
      <c r="D15" s="256">
        <f>+SUMIF(APORTACIONESOCIOS[CODIGO CLIENTE],SOCIOS!$B15,APORTACIONESOCIOS[APORTE])</f>
        <v>490</v>
      </c>
      <c r="F15" s="244">
        <f>ROW()-ROW(APORTACIONESOCIOS[[#Headers],[SECUENCIA]])</f>
        <v>11</v>
      </c>
      <c r="G15" s="117">
        <v>44788</v>
      </c>
      <c r="H15" s="3">
        <v>10</v>
      </c>
      <c r="I15" s="195">
        <v>11</v>
      </c>
      <c r="J15" s="181" t="s">
        <v>19</v>
      </c>
      <c r="K15" s="185"/>
    </row>
    <row r="16" spans="2:11" ht="20.100000000000001" customHeight="1" x14ac:dyDescent="0.3">
      <c r="B16" s="226">
        <v>12</v>
      </c>
      <c r="C16" s="172" t="s">
        <v>20</v>
      </c>
      <c r="D16" s="256">
        <f>+SUMIF(APORTACIONESOCIOS[CODIGO CLIENTE],SOCIOS!$B16,APORTACIONESOCIOS[APORTE])</f>
        <v>490</v>
      </c>
      <c r="F16" s="244">
        <f>ROW()-ROW(APORTACIONESOCIOS[[#Headers],[SECUENCIA]])</f>
        <v>12</v>
      </c>
      <c r="G16" s="117">
        <v>44788</v>
      </c>
      <c r="H16" s="3">
        <v>10</v>
      </c>
      <c r="I16" s="195">
        <v>12</v>
      </c>
      <c r="J16" s="181" t="s">
        <v>20</v>
      </c>
      <c r="K16" s="185"/>
    </row>
    <row r="17" spans="1:11" ht="20.100000000000001" customHeight="1" x14ac:dyDescent="0.3">
      <c r="B17" s="225">
        <v>13</v>
      </c>
      <c r="C17" s="188" t="s">
        <v>301</v>
      </c>
      <c r="D17" s="256">
        <f>+SUMIF(APORTACIONESOCIOS[CODIGO CLIENTE],SOCIOS!$B17,APORTACIONESOCIOS[APORTE])</f>
        <v>490</v>
      </c>
      <c r="F17" s="244">
        <f>ROW()-ROW(APORTACIONESOCIOS[[#Headers],[SECUENCIA]])</f>
        <v>13</v>
      </c>
      <c r="G17" s="117">
        <v>44788</v>
      </c>
      <c r="H17" s="3">
        <v>10</v>
      </c>
      <c r="I17" s="195">
        <v>14</v>
      </c>
      <c r="J17" s="181" t="s">
        <v>21</v>
      </c>
      <c r="K17" s="185"/>
    </row>
    <row r="18" spans="1:11" ht="20.100000000000001" customHeight="1" x14ac:dyDescent="0.3">
      <c r="B18" s="226">
        <v>14</v>
      </c>
      <c r="C18" s="172" t="s">
        <v>21</v>
      </c>
      <c r="D18" s="256">
        <f>+SUMIF(APORTACIONESOCIOS[CODIGO CLIENTE],SOCIOS!$B18,APORTACIONESOCIOS[APORTE])</f>
        <v>490</v>
      </c>
      <c r="F18" s="244">
        <f>ROW()-ROW(APORTACIONESOCIOS[[#Headers],[SECUENCIA]])</f>
        <v>14</v>
      </c>
      <c r="G18" s="117">
        <v>44788</v>
      </c>
      <c r="H18" s="3">
        <v>10</v>
      </c>
      <c r="I18" s="195">
        <v>15</v>
      </c>
      <c r="J18" s="181" t="s">
        <v>22</v>
      </c>
      <c r="K18" s="185"/>
    </row>
    <row r="19" spans="1:11" ht="20.100000000000001" customHeight="1" x14ac:dyDescent="0.3">
      <c r="B19" s="225">
        <v>15</v>
      </c>
      <c r="C19" s="188" t="s">
        <v>22</v>
      </c>
      <c r="D19" s="256">
        <f>+SUMIF(APORTACIONESOCIOS[CODIGO CLIENTE],SOCIOS!$B19,APORTACIONESOCIOS[APORTE])</f>
        <v>490</v>
      </c>
      <c r="F19" s="244">
        <f>ROW()-ROW(APORTACIONESOCIOS[[#Headers],[SECUENCIA]])</f>
        <v>15</v>
      </c>
      <c r="G19" s="117">
        <v>44788</v>
      </c>
      <c r="H19" s="3">
        <v>10</v>
      </c>
      <c r="I19" s="195">
        <v>16</v>
      </c>
      <c r="J19" s="181" t="s">
        <v>23</v>
      </c>
      <c r="K19" s="185"/>
    </row>
    <row r="20" spans="1:11" ht="20.100000000000001" customHeight="1" x14ac:dyDescent="0.3">
      <c r="B20" s="226">
        <v>16</v>
      </c>
      <c r="C20" s="172" t="s">
        <v>23</v>
      </c>
      <c r="D20" s="256">
        <f>+SUMIF(APORTACIONESOCIOS[CODIGO CLIENTE],SOCIOS!$B20,APORTACIONESOCIOS[APORTE])</f>
        <v>490</v>
      </c>
      <c r="F20" s="244">
        <f>ROW()-ROW(APORTACIONESOCIOS[[#Headers],[SECUENCIA]])</f>
        <v>16</v>
      </c>
      <c r="G20" s="117">
        <v>44819</v>
      </c>
      <c r="H20" s="3">
        <v>10</v>
      </c>
      <c r="I20" s="195">
        <v>3</v>
      </c>
      <c r="J20" s="181" t="s">
        <v>13</v>
      </c>
      <c r="K20" s="185"/>
    </row>
    <row r="21" spans="1:11" ht="20.100000000000001" customHeight="1" x14ac:dyDescent="0.3">
      <c r="B21" s="225">
        <v>17</v>
      </c>
      <c r="C21" s="188" t="s">
        <v>299</v>
      </c>
      <c r="D21" s="256">
        <f>+SUMIF(APORTACIONESOCIOS[CODIGO CLIENTE],SOCIOS!$B21,APORTACIONESOCIOS[APORTE])</f>
        <v>490</v>
      </c>
      <c r="F21" s="244">
        <f>ROW()-ROW(APORTACIONESOCIOS[[#Headers],[SECUENCIA]])</f>
        <v>17</v>
      </c>
      <c r="G21" s="117">
        <v>44819</v>
      </c>
      <c r="H21" s="3">
        <v>10</v>
      </c>
      <c r="I21" s="195">
        <v>4</v>
      </c>
      <c r="J21" s="181" t="s">
        <v>12</v>
      </c>
      <c r="K21" s="185"/>
    </row>
    <row r="22" spans="1:11" ht="19.95" customHeight="1" x14ac:dyDescent="0.3">
      <c r="B22" s="226">
        <v>18</v>
      </c>
      <c r="C22" s="172" t="s">
        <v>300</v>
      </c>
      <c r="D22" s="256">
        <f>+SUMIF(APORTACIONESOCIOS[CODIGO CLIENTE],SOCIOS!$B22,APORTACIONESOCIOS[APORTE])</f>
        <v>490</v>
      </c>
      <c r="F22" s="244">
        <f>ROW()-ROW(APORTACIONESOCIOS[[#Headers],[SECUENCIA]])</f>
        <v>18</v>
      </c>
      <c r="G22" s="117">
        <v>44819</v>
      </c>
      <c r="H22" s="3">
        <v>10</v>
      </c>
      <c r="I22" s="195">
        <v>5</v>
      </c>
      <c r="J22" s="181" t="s">
        <v>14</v>
      </c>
      <c r="K22" s="185"/>
    </row>
    <row r="23" spans="1:11" x14ac:dyDescent="0.3">
      <c r="B23" s="1"/>
      <c r="C23" s="4" t="s">
        <v>25</v>
      </c>
      <c r="D23" s="3">
        <f>SUM(D5:D22)</f>
        <v>7800</v>
      </c>
      <c r="F23" s="244">
        <f>ROW()-ROW(APORTACIONESOCIOS[[#Headers],[SECUENCIA]])</f>
        <v>19</v>
      </c>
      <c r="G23" s="117">
        <v>44819</v>
      </c>
      <c r="H23" s="3">
        <v>10</v>
      </c>
      <c r="I23" s="195">
        <v>6</v>
      </c>
      <c r="J23" s="181" t="s">
        <v>24</v>
      </c>
      <c r="K23" s="185"/>
    </row>
    <row r="24" spans="1:11" x14ac:dyDescent="0.3">
      <c r="A24" s="115"/>
      <c r="B24" s="1"/>
      <c r="D24" s="13"/>
      <c r="F24" s="244">
        <f>ROW()-ROW(APORTACIONESOCIOS[[#Headers],[SECUENCIA]])</f>
        <v>20</v>
      </c>
      <c r="G24" s="117">
        <v>44819</v>
      </c>
      <c r="H24" s="3">
        <v>10</v>
      </c>
      <c r="I24" s="195">
        <v>7</v>
      </c>
      <c r="J24" s="181" t="s">
        <v>15</v>
      </c>
      <c r="K24" s="185"/>
    </row>
    <row r="25" spans="1:11" x14ac:dyDescent="0.3">
      <c r="F25" s="244">
        <f>ROW()-ROW(APORTACIONESOCIOS[[#Headers],[SECUENCIA]])</f>
        <v>21</v>
      </c>
      <c r="G25" s="117">
        <v>44819</v>
      </c>
      <c r="H25" s="3">
        <v>10</v>
      </c>
      <c r="I25" s="195">
        <v>8</v>
      </c>
      <c r="J25" s="181" t="s">
        <v>16</v>
      </c>
      <c r="K25" s="185"/>
    </row>
    <row r="26" spans="1:11" x14ac:dyDescent="0.3">
      <c r="F26" s="244">
        <f>ROW()-ROW(APORTACIONESOCIOS[[#Headers],[SECUENCIA]])</f>
        <v>22</v>
      </c>
      <c r="G26" s="117">
        <v>44819</v>
      </c>
      <c r="H26" s="3">
        <v>10</v>
      </c>
      <c r="I26" s="195">
        <v>9</v>
      </c>
      <c r="J26" s="181" t="s">
        <v>17</v>
      </c>
      <c r="K26" s="185"/>
    </row>
    <row r="27" spans="1:11" x14ac:dyDescent="0.3">
      <c r="F27" s="244">
        <f>ROW()-ROW(APORTACIONESOCIOS[[#Headers],[SECUENCIA]])</f>
        <v>23</v>
      </c>
      <c r="G27" s="117">
        <v>44819</v>
      </c>
      <c r="H27" s="3">
        <v>10</v>
      </c>
      <c r="I27" s="195">
        <v>10</v>
      </c>
      <c r="J27" s="181" t="s">
        <v>18</v>
      </c>
      <c r="K27" s="185"/>
    </row>
    <row r="28" spans="1:11" x14ac:dyDescent="0.3">
      <c r="F28" s="244">
        <f>ROW()-ROW(APORTACIONESOCIOS[[#Headers],[SECUENCIA]])</f>
        <v>24</v>
      </c>
      <c r="G28" s="117">
        <v>44819</v>
      </c>
      <c r="H28" s="3">
        <v>10</v>
      </c>
      <c r="I28" s="195">
        <v>11</v>
      </c>
      <c r="J28" s="181" t="s">
        <v>19</v>
      </c>
      <c r="K28" s="185"/>
    </row>
    <row r="29" spans="1:11" x14ac:dyDescent="0.3">
      <c r="F29" s="244">
        <f>ROW()-ROW(APORTACIONESOCIOS[[#Headers],[SECUENCIA]])</f>
        <v>25</v>
      </c>
      <c r="G29" s="117">
        <v>44819</v>
      </c>
      <c r="H29" s="3">
        <v>10</v>
      </c>
      <c r="I29" s="195">
        <v>12</v>
      </c>
      <c r="J29" s="181" t="s">
        <v>20</v>
      </c>
      <c r="K29" s="185"/>
    </row>
    <row r="30" spans="1:11" x14ac:dyDescent="0.3">
      <c r="F30" s="244">
        <f>ROW()-ROW(APORTACIONESOCIOS[[#Headers],[SECUENCIA]])</f>
        <v>26</v>
      </c>
      <c r="G30" s="117">
        <v>44819</v>
      </c>
      <c r="H30" s="3">
        <v>10</v>
      </c>
      <c r="I30" s="195">
        <v>14</v>
      </c>
      <c r="J30" s="181" t="s">
        <v>21</v>
      </c>
      <c r="K30" s="185"/>
    </row>
    <row r="31" spans="1:11" x14ac:dyDescent="0.3">
      <c r="F31" s="244">
        <f>ROW()-ROW(APORTACIONESOCIOS[[#Headers],[SECUENCIA]])</f>
        <v>27</v>
      </c>
      <c r="G31" s="117">
        <v>44819</v>
      </c>
      <c r="H31" s="3">
        <v>10</v>
      </c>
      <c r="I31" s="195">
        <v>15</v>
      </c>
      <c r="J31" s="181" t="s">
        <v>22</v>
      </c>
      <c r="K31" s="185"/>
    </row>
    <row r="32" spans="1:11" x14ac:dyDescent="0.3">
      <c r="F32" s="244">
        <f>ROW()-ROW(APORTACIONESOCIOS[[#Headers],[SECUENCIA]])</f>
        <v>28</v>
      </c>
      <c r="G32" s="117">
        <v>44819</v>
      </c>
      <c r="H32" s="3">
        <v>10</v>
      </c>
      <c r="I32" s="195">
        <v>16</v>
      </c>
      <c r="J32" s="181" t="s">
        <v>23</v>
      </c>
      <c r="K32" s="185"/>
    </row>
    <row r="33" spans="6:11" x14ac:dyDescent="0.3">
      <c r="F33" s="244">
        <f>ROW()-ROW(APORTACIONESOCIOS[[#Headers],[SECUENCIA]])</f>
        <v>29</v>
      </c>
      <c r="G33" s="117">
        <v>44849</v>
      </c>
      <c r="H33" s="3">
        <v>10</v>
      </c>
      <c r="I33" s="195">
        <v>3</v>
      </c>
      <c r="J33" s="181" t="s">
        <v>13</v>
      </c>
      <c r="K33" s="185"/>
    </row>
    <row r="34" spans="6:11" x14ac:dyDescent="0.3">
      <c r="F34" s="244">
        <f>ROW()-ROW(APORTACIONESOCIOS[[#Headers],[SECUENCIA]])</f>
        <v>30</v>
      </c>
      <c r="G34" s="117">
        <v>44849</v>
      </c>
      <c r="H34" s="3">
        <v>10</v>
      </c>
      <c r="I34" s="195">
        <v>4</v>
      </c>
      <c r="J34" s="181" t="s">
        <v>12</v>
      </c>
      <c r="K34" s="185"/>
    </row>
    <row r="35" spans="6:11" x14ac:dyDescent="0.3">
      <c r="F35" s="244">
        <v>29</v>
      </c>
      <c r="G35" s="117">
        <v>44849</v>
      </c>
      <c r="H35" s="3">
        <v>10</v>
      </c>
      <c r="I35" s="195">
        <v>5</v>
      </c>
      <c r="J35" s="181" t="s">
        <v>14</v>
      </c>
      <c r="K35" s="185"/>
    </row>
    <row r="36" spans="6:11" x14ac:dyDescent="0.3">
      <c r="F36" s="244">
        <v>30</v>
      </c>
      <c r="G36" s="117">
        <v>44849</v>
      </c>
      <c r="H36" s="3">
        <v>10</v>
      </c>
      <c r="I36" s="195">
        <v>6</v>
      </c>
      <c r="J36" s="181" t="s">
        <v>24</v>
      </c>
      <c r="K36" s="185"/>
    </row>
    <row r="37" spans="6:11" x14ac:dyDescent="0.3">
      <c r="F37" s="244">
        <f>ROW()-ROW(APORTACIONESOCIOS[[#Headers],[SECUENCIA]])</f>
        <v>33</v>
      </c>
      <c r="G37" s="117">
        <v>44849</v>
      </c>
      <c r="H37" s="3">
        <v>10</v>
      </c>
      <c r="I37" s="195">
        <v>7</v>
      </c>
      <c r="J37" s="181" t="s">
        <v>15</v>
      </c>
      <c r="K37" s="185"/>
    </row>
    <row r="38" spans="6:11" x14ac:dyDescent="0.3">
      <c r="F38" s="244">
        <f>ROW()-ROW(APORTACIONESOCIOS[[#Headers],[SECUENCIA]])</f>
        <v>34</v>
      </c>
      <c r="G38" s="117">
        <v>44849</v>
      </c>
      <c r="H38" s="3">
        <v>10</v>
      </c>
      <c r="I38" s="195">
        <v>8</v>
      </c>
      <c r="J38" s="181" t="s">
        <v>16</v>
      </c>
      <c r="K38" s="185"/>
    </row>
    <row r="39" spans="6:11" x14ac:dyDescent="0.3">
      <c r="F39" s="244">
        <f>ROW()-ROW(APORTACIONESOCIOS[[#Headers],[SECUENCIA]])</f>
        <v>35</v>
      </c>
      <c r="G39" s="117">
        <v>44849</v>
      </c>
      <c r="H39" s="3">
        <v>10</v>
      </c>
      <c r="I39" s="195">
        <v>9</v>
      </c>
      <c r="J39" s="181" t="s">
        <v>17</v>
      </c>
      <c r="K39" s="185"/>
    </row>
    <row r="40" spans="6:11" x14ac:dyDescent="0.3">
      <c r="F40" s="244">
        <f>ROW()-ROW(APORTACIONESOCIOS[[#Headers],[SECUENCIA]])</f>
        <v>36</v>
      </c>
      <c r="G40" s="117">
        <v>44849</v>
      </c>
      <c r="H40" s="3">
        <v>10</v>
      </c>
      <c r="I40" s="195">
        <v>10</v>
      </c>
      <c r="J40" s="181" t="s">
        <v>18</v>
      </c>
      <c r="K40" s="185"/>
    </row>
    <row r="41" spans="6:11" x14ac:dyDescent="0.3">
      <c r="F41" s="244">
        <f>ROW()-ROW(APORTACIONESOCIOS[[#Headers],[SECUENCIA]])</f>
        <v>37</v>
      </c>
      <c r="G41" s="117">
        <v>44849</v>
      </c>
      <c r="H41" s="3">
        <v>10</v>
      </c>
      <c r="I41" s="195">
        <v>11</v>
      </c>
      <c r="J41" s="181" t="s">
        <v>19</v>
      </c>
      <c r="K41" s="185"/>
    </row>
    <row r="42" spans="6:11" x14ac:dyDescent="0.3">
      <c r="F42" s="245">
        <f>ROW()-ROW(APORTACIONESOCIOS[[#Headers],[SECUENCIA]])</f>
        <v>38</v>
      </c>
      <c r="G42" s="117">
        <v>44849</v>
      </c>
      <c r="H42" s="3">
        <v>10</v>
      </c>
      <c r="I42" s="195">
        <v>12</v>
      </c>
      <c r="J42" s="181" t="s">
        <v>20</v>
      </c>
      <c r="K42" s="187"/>
    </row>
    <row r="43" spans="6:11" x14ac:dyDescent="0.3">
      <c r="F43" s="244">
        <f>ROW()-ROW(APORTACIONESOCIOS[[#Headers],[SECUENCIA]])</f>
        <v>39</v>
      </c>
      <c r="G43" s="117">
        <v>44849</v>
      </c>
      <c r="H43" s="3">
        <v>10</v>
      </c>
      <c r="I43" s="195">
        <v>14</v>
      </c>
      <c r="J43" s="181" t="s">
        <v>21</v>
      </c>
      <c r="K43" s="185"/>
    </row>
    <row r="44" spans="6:11" x14ac:dyDescent="0.3">
      <c r="F44" s="244">
        <f>ROW()-ROW(APORTACIONESOCIOS[[#Headers],[SECUENCIA]])</f>
        <v>40</v>
      </c>
      <c r="G44" s="117">
        <v>44849</v>
      </c>
      <c r="H44" s="3">
        <v>10</v>
      </c>
      <c r="I44" s="195">
        <v>15</v>
      </c>
      <c r="J44" s="181" t="s">
        <v>22</v>
      </c>
      <c r="K44" s="185"/>
    </row>
    <row r="45" spans="6:11" x14ac:dyDescent="0.3">
      <c r="F45" s="244">
        <f>ROW()-ROW(APORTACIONESOCIOS[[#Headers],[SECUENCIA]])</f>
        <v>41</v>
      </c>
      <c r="G45" s="117">
        <v>44849</v>
      </c>
      <c r="H45" s="3">
        <v>10</v>
      </c>
      <c r="I45" s="195">
        <v>16</v>
      </c>
      <c r="J45" s="181" t="s">
        <v>23</v>
      </c>
      <c r="K45" s="185"/>
    </row>
    <row r="46" spans="6:11" x14ac:dyDescent="0.3">
      <c r="F46" s="244">
        <f>ROW()-ROW(APORTACIONESOCIOS[[#Headers],[SECUENCIA]])</f>
        <v>42</v>
      </c>
      <c r="G46" s="117">
        <v>44880</v>
      </c>
      <c r="H46" s="3">
        <v>10</v>
      </c>
      <c r="I46" s="195">
        <v>3</v>
      </c>
      <c r="J46" s="181" t="s">
        <v>13</v>
      </c>
      <c r="K46" s="185"/>
    </row>
    <row r="47" spans="6:11" x14ac:dyDescent="0.3">
      <c r="F47" s="244">
        <f>ROW()-ROW(APORTACIONESOCIOS[[#Headers],[SECUENCIA]])</f>
        <v>43</v>
      </c>
      <c r="G47" s="117">
        <v>44880</v>
      </c>
      <c r="H47" s="3">
        <v>10</v>
      </c>
      <c r="I47" s="195">
        <v>4</v>
      </c>
      <c r="J47" s="181" t="s">
        <v>12</v>
      </c>
      <c r="K47" s="185"/>
    </row>
    <row r="48" spans="6:11" x14ac:dyDescent="0.3">
      <c r="F48" s="244">
        <f>ROW()-ROW(APORTACIONESOCIOS[[#Headers],[SECUENCIA]])</f>
        <v>44</v>
      </c>
      <c r="G48" s="117">
        <v>44880</v>
      </c>
      <c r="H48" s="3">
        <v>10</v>
      </c>
      <c r="I48" s="195">
        <v>5</v>
      </c>
      <c r="J48" s="181" t="s">
        <v>14</v>
      </c>
      <c r="K48" s="185"/>
    </row>
    <row r="49" spans="6:11" x14ac:dyDescent="0.3">
      <c r="F49" s="244">
        <f>ROW()-ROW(APORTACIONESOCIOS[[#Headers],[SECUENCIA]])</f>
        <v>45</v>
      </c>
      <c r="G49" s="117">
        <v>44880</v>
      </c>
      <c r="H49" s="3">
        <v>10</v>
      </c>
      <c r="I49" s="195">
        <v>6</v>
      </c>
      <c r="J49" s="181" t="s">
        <v>24</v>
      </c>
      <c r="K49" s="185"/>
    </row>
    <row r="50" spans="6:11" x14ac:dyDescent="0.3">
      <c r="F50" s="244">
        <f>ROW()-ROW(APORTACIONESOCIOS[[#Headers],[SECUENCIA]])</f>
        <v>46</v>
      </c>
      <c r="G50" s="117">
        <v>44880</v>
      </c>
      <c r="H50" s="3">
        <v>10</v>
      </c>
      <c r="I50" s="195">
        <v>7</v>
      </c>
      <c r="J50" s="181" t="s">
        <v>15</v>
      </c>
      <c r="K50" s="185"/>
    </row>
    <row r="51" spans="6:11" x14ac:dyDescent="0.3">
      <c r="F51" s="244">
        <f>ROW()-ROW(APORTACIONESOCIOS[[#Headers],[SECUENCIA]])</f>
        <v>47</v>
      </c>
      <c r="G51" s="117">
        <v>44880</v>
      </c>
      <c r="H51" s="3">
        <v>10</v>
      </c>
      <c r="I51" s="195">
        <v>8</v>
      </c>
      <c r="J51" s="181" t="s">
        <v>16</v>
      </c>
      <c r="K51" s="185"/>
    </row>
    <row r="52" spans="6:11" x14ac:dyDescent="0.3">
      <c r="F52" s="244">
        <f>ROW()-ROW(APORTACIONESOCIOS[[#Headers],[SECUENCIA]])</f>
        <v>48</v>
      </c>
      <c r="G52" s="117">
        <v>44880</v>
      </c>
      <c r="H52" s="3">
        <v>10</v>
      </c>
      <c r="I52" s="195">
        <v>9</v>
      </c>
      <c r="J52" s="181" t="s">
        <v>17</v>
      </c>
      <c r="K52" s="185"/>
    </row>
    <row r="53" spans="6:11" x14ac:dyDescent="0.3">
      <c r="F53" s="246">
        <f>ROW()-ROW(APORTACIONESOCIOS[[#Headers],[SECUENCIA]])</f>
        <v>49</v>
      </c>
      <c r="G53" s="117">
        <v>44880</v>
      </c>
      <c r="H53" s="3">
        <v>10</v>
      </c>
      <c r="I53" s="195">
        <v>10</v>
      </c>
      <c r="J53" s="181" t="s">
        <v>18</v>
      </c>
      <c r="K53" s="185"/>
    </row>
    <row r="54" spans="6:11" x14ac:dyDescent="0.3">
      <c r="F54" s="244">
        <f>ROW()-ROW(APORTACIONESOCIOS[[#Headers],[SECUENCIA]])</f>
        <v>50</v>
      </c>
      <c r="G54" s="117">
        <v>44880</v>
      </c>
      <c r="H54" s="3">
        <v>10</v>
      </c>
      <c r="I54" s="195">
        <v>11</v>
      </c>
      <c r="J54" s="181" t="s">
        <v>19</v>
      </c>
      <c r="K54" s="185"/>
    </row>
    <row r="55" spans="6:11" x14ac:dyDescent="0.3">
      <c r="F55" s="244">
        <f>ROW()-ROW(APORTACIONESOCIOS[[#Headers],[SECUENCIA]])</f>
        <v>51</v>
      </c>
      <c r="G55" s="117">
        <v>44880</v>
      </c>
      <c r="H55" s="3">
        <v>10</v>
      </c>
      <c r="I55" s="195">
        <v>12</v>
      </c>
      <c r="J55" s="181" t="s">
        <v>20</v>
      </c>
      <c r="K55" s="185"/>
    </row>
    <row r="56" spans="6:11" x14ac:dyDescent="0.3">
      <c r="F56" s="244">
        <f>ROW()-ROW(APORTACIONESOCIOS[[#Headers],[SECUENCIA]])</f>
        <v>52</v>
      </c>
      <c r="G56" s="117">
        <v>44880</v>
      </c>
      <c r="H56" s="3">
        <v>10</v>
      </c>
      <c r="I56" s="195">
        <v>14</v>
      </c>
      <c r="J56" s="181" t="s">
        <v>21</v>
      </c>
      <c r="K56" s="185"/>
    </row>
    <row r="57" spans="6:11" x14ac:dyDescent="0.3">
      <c r="F57" s="244">
        <f>ROW()-ROW(APORTACIONESOCIOS[[#Headers],[SECUENCIA]])</f>
        <v>53</v>
      </c>
      <c r="G57" s="117">
        <v>44880</v>
      </c>
      <c r="H57" s="3">
        <v>10</v>
      </c>
      <c r="I57" s="195">
        <v>15</v>
      </c>
      <c r="J57" s="181" t="s">
        <v>22</v>
      </c>
      <c r="K57" s="185"/>
    </row>
    <row r="58" spans="6:11" x14ac:dyDescent="0.3">
      <c r="F58" s="244">
        <f>ROW()-ROW(APORTACIONESOCIOS[[#Headers],[SECUENCIA]])</f>
        <v>54</v>
      </c>
      <c r="G58" s="117">
        <v>44880</v>
      </c>
      <c r="H58" s="3">
        <v>10</v>
      </c>
      <c r="I58" s="195">
        <v>16</v>
      </c>
      <c r="J58" s="181" t="s">
        <v>23</v>
      </c>
      <c r="K58" s="185"/>
    </row>
    <row r="59" spans="6:11" x14ac:dyDescent="0.3">
      <c r="F59" s="245">
        <f>ROW()-ROW(APORTACIONESOCIOS[[#Headers],[SECUENCIA]])</f>
        <v>55</v>
      </c>
      <c r="G59" s="130">
        <v>44910</v>
      </c>
      <c r="H59" s="3">
        <v>10</v>
      </c>
      <c r="I59" s="195">
        <v>3</v>
      </c>
      <c r="J59" s="181" t="s">
        <v>13</v>
      </c>
      <c r="K59" s="187"/>
    </row>
    <row r="60" spans="6:11" x14ac:dyDescent="0.3">
      <c r="F60" s="244">
        <f>ROW()-ROW(APORTACIONESOCIOS[[#Headers],[SECUENCIA]])</f>
        <v>56</v>
      </c>
      <c r="G60" s="117">
        <v>44910</v>
      </c>
      <c r="H60" s="3">
        <v>10</v>
      </c>
      <c r="I60" s="195">
        <v>4</v>
      </c>
      <c r="J60" s="181" t="s">
        <v>12</v>
      </c>
      <c r="K60" s="185"/>
    </row>
    <row r="61" spans="6:11" x14ac:dyDescent="0.3">
      <c r="F61" s="244">
        <f>ROW()-ROW(APORTACIONESOCIOS[[#Headers],[SECUENCIA]])</f>
        <v>57</v>
      </c>
      <c r="G61" s="117">
        <v>44910</v>
      </c>
      <c r="H61" s="3">
        <v>10</v>
      </c>
      <c r="I61" s="195">
        <v>5</v>
      </c>
      <c r="J61" s="181" t="s">
        <v>14</v>
      </c>
      <c r="K61" s="185"/>
    </row>
    <row r="62" spans="6:11" x14ac:dyDescent="0.3">
      <c r="F62" s="244">
        <f>ROW()-ROW(APORTACIONESOCIOS[[#Headers],[SECUENCIA]])</f>
        <v>58</v>
      </c>
      <c r="G62" s="117">
        <v>44910</v>
      </c>
      <c r="H62" s="3">
        <v>10</v>
      </c>
      <c r="I62" s="195">
        <v>6</v>
      </c>
      <c r="J62" s="181" t="s">
        <v>24</v>
      </c>
      <c r="K62" s="185"/>
    </row>
    <row r="63" spans="6:11" x14ac:dyDescent="0.3">
      <c r="F63" s="244">
        <f>ROW()-ROW(APORTACIONESOCIOS[[#Headers],[SECUENCIA]])</f>
        <v>59</v>
      </c>
      <c r="G63" s="117">
        <v>44910</v>
      </c>
      <c r="H63" s="3">
        <v>10</v>
      </c>
      <c r="I63" s="195">
        <v>7</v>
      </c>
      <c r="J63" s="181" t="s">
        <v>15</v>
      </c>
      <c r="K63" s="185"/>
    </row>
    <row r="64" spans="6:11" x14ac:dyDescent="0.3">
      <c r="F64" s="244">
        <f>ROW()-ROW(APORTACIONESOCIOS[[#Headers],[SECUENCIA]])</f>
        <v>60</v>
      </c>
      <c r="G64" s="117">
        <v>44910</v>
      </c>
      <c r="H64" s="3">
        <v>10</v>
      </c>
      <c r="I64" s="195">
        <v>8</v>
      </c>
      <c r="J64" s="181" t="s">
        <v>16</v>
      </c>
      <c r="K64" s="185"/>
    </row>
    <row r="65" spans="6:11" x14ac:dyDescent="0.3">
      <c r="F65" s="244">
        <f>ROW()-ROW(APORTACIONESOCIOS[[#Headers],[SECUENCIA]])</f>
        <v>61</v>
      </c>
      <c r="G65" s="117">
        <v>44910</v>
      </c>
      <c r="H65" s="3">
        <v>10</v>
      </c>
      <c r="I65" s="195">
        <v>9</v>
      </c>
      <c r="J65" s="181" t="s">
        <v>17</v>
      </c>
      <c r="K65" s="185"/>
    </row>
    <row r="66" spans="6:11" x14ac:dyDescent="0.3">
      <c r="F66" s="244">
        <f>ROW()-ROW(APORTACIONESOCIOS[[#Headers],[SECUENCIA]])</f>
        <v>62</v>
      </c>
      <c r="G66" s="117">
        <v>44910</v>
      </c>
      <c r="H66" s="3">
        <v>10</v>
      </c>
      <c r="I66" s="195">
        <v>10</v>
      </c>
      <c r="J66" s="181" t="s">
        <v>18</v>
      </c>
      <c r="K66" s="185"/>
    </row>
    <row r="67" spans="6:11" x14ac:dyDescent="0.3">
      <c r="F67" s="244">
        <f>ROW()-ROW(APORTACIONESOCIOS[[#Headers],[SECUENCIA]])</f>
        <v>63</v>
      </c>
      <c r="G67" s="117">
        <v>44910</v>
      </c>
      <c r="H67" s="3">
        <v>10</v>
      </c>
      <c r="I67" s="195">
        <v>11</v>
      </c>
      <c r="J67" s="181" t="s">
        <v>19</v>
      </c>
      <c r="K67" s="185"/>
    </row>
    <row r="68" spans="6:11" x14ac:dyDescent="0.3">
      <c r="F68" s="244">
        <f>ROW()-ROW(APORTACIONESOCIOS[[#Headers],[SECUENCIA]])</f>
        <v>64</v>
      </c>
      <c r="G68" s="117">
        <v>44910</v>
      </c>
      <c r="H68" s="3">
        <v>10</v>
      </c>
      <c r="I68" s="195">
        <v>12</v>
      </c>
      <c r="J68" s="181" t="s">
        <v>20</v>
      </c>
      <c r="K68" s="185"/>
    </row>
    <row r="69" spans="6:11" x14ac:dyDescent="0.3">
      <c r="F69" s="244">
        <f>ROW()-ROW(APORTACIONESOCIOS[[#Headers],[SECUENCIA]])</f>
        <v>65</v>
      </c>
      <c r="G69" s="117">
        <v>44910</v>
      </c>
      <c r="H69" s="3">
        <v>10</v>
      </c>
      <c r="I69" s="195">
        <v>14</v>
      </c>
      <c r="J69" s="181" t="s">
        <v>21</v>
      </c>
      <c r="K69" s="185"/>
    </row>
    <row r="70" spans="6:11" x14ac:dyDescent="0.3">
      <c r="F70" s="244">
        <f>ROW()-ROW(APORTACIONESOCIOS[[#Headers],[SECUENCIA]])</f>
        <v>66</v>
      </c>
      <c r="G70" s="117">
        <v>44910</v>
      </c>
      <c r="H70" s="3">
        <v>10</v>
      </c>
      <c r="I70" s="195">
        <v>15</v>
      </c>
      <c r="J70" s="181" t="s">
        <v>22</v>
      </c>
      <c r="K70" s="185"/>
    </row>
    <row r="71" spans="6:11" x14ac:dyDescent="0.3">
      <c r="F71" s="244">
        <f>ROW()-ROW(APORTACIONESOCIOS[[#Headers],[SECUENCIA]])</f>
        <v>67</v>
      </c>
      <c r="G71" s="117">
        <v>44910</v>
      </c>
      <c r="H71" s="3">
        <v>10</v>
      </c>
      <c r="I71" s="195">
        <v>16</v>
      </c>
      <c r="J71" s="181" t="s">
        <v>23</v>
      </c>
      <c r="K71" s="185"/>
    </row>
    <row r="72" spans="6:11" x14ac:dyDescent="0.3">
      <c r="F72" s="245">
        <f>ROW()-ROW(APORTACIONESOCIOS[[#Headers],[SECUENCIA]])</f>
        <v>68</v>
      </c>
      <c r="G72" s="130">
        <v>44941</v>
      </c>
      <c r="H72" s="3">
        <v>10</v>
      </c>
      <c r="I72" s="195">
        <v>3</v>
      </c>
      <c r="J72" s="181" t="s">
        <v>13</v>
      </c>
      <c r="K72" s="187"/>
    </row>
    <row r="73" spans="6:11" x14ac:dyDescent="0.3">
      <c r="F73" s="244">
        <f>ROW()-ROW(APORTACIONESOCIOS[[#Headers],[SECUENCIA]])</f>
        <v>69</v>
      </c>
      <c r="G73" s="117">
        <v>44941</v>
      </c>
      <c r="H73" s="3">
        <v>10</v>
      </c>
      <c r="I73" s="195">
        <v>4</v>
      </c>
      <c r="J73" s="181" t="s">
        <v>12</v>
      </c>
      <c r="K73" s="185"/>
    </row>
    <row r="74" spans="6:11" x14ac:dyDescent="0.3">
      <c r="F74" s="244">
        <f>ROW()-ROW(APORTACIONESOCIOS[[#Headers],[SECUENCIA]])</f>
        <v>70</v>
      </c>
      <c r="G74" s="117">
        <v>44941</v>
      </c>
      <c r="H74" s="3">
        <v>10</v>
      </c>
      <c r="I74" s="195">
        <v>5</v>
      </c>
      <c r="J74" s="181" t="s">
        <v>14</v>
      </c>
      <c r="K74" s="185"/>
    </row>
    <row r="75" spans="6:11" x14ac:dyDescent="0.3">
      <c r="F75" s="244">
        <f>ROW()-ROW(APORTACIONESOCIOS[[#Headers],[SECUENCIA]])</f>
        <v>71</v>
      </c>
      <c r="G75" s="117">
        <v>44941</v>
      </c>
      <c r="H75" s="3">
        <v>10</v>
      </c>
      <c r="I75" s="195">
        <v>6</v>
      </c>
      <c r="J75" s="181" t="s">
        <v>24</v>
      </c>
      <c r="K75" s="185"/>
    </row>
    <row r="76" spans="6:11" x14ac:dyDescent="0.3">
      <c r="F76" s="244">
        <f>ROW()-ROW(APORTACIONESOCIOS[[#Headers],[SECUENCIA]])</f>
        <v>72</v>
      </c>
      <c r="G76" s="117">
        <v>44941</v>
      </c>
      <c r="H76" s="3">
        <v>10</v>
      </c>
      <c r="I76" s="195">
        <v>7</v>
      </c>
      <c r="J76" s="181" t="s">
        <v>15</v>
      </c>
      <c r="K76" s="185"/>
    </row>
    <row r="77" spans="6:11" x14ac:dyDescent="0.3">
      <c r="F77" s="244">
        <f>ROW()-ROW(APORTACIONESOCIOS[[#Headers],[SECUENCIA]])</f>
        <v>73</v>
      </c>
      <c r="G77" s="117">
        <v>44941</v>
      </c>
      <c r="H77" s="3">
        <v>10</v>
      </c>
      <c r="I77" s="195">
        <v>8</v>
      </c>
      <c r="J77" s="181" t="s">
        <v>16</v>
      </c>
      <c r="K77" s="185"/>
    </row>
    <row r="78" spans="6:11" x14ac:dyDescent="0.3">
      <c r="F78" s="244">
        <f>ROW()-ROW(APORTACIONESOCIOS[[#Headers],[SECUENCIA]])</f>
        <v>74</v>
      </c>
      <c r="G78" s="117">
        <v>44941</v>
      </c>
      <c r="H78" s="3">
        <v>10</v>
      </c>
      <c r="I78" s="195">
        <v>9</v>
      </c>
      <c r="J78" s="181" t="s">
        <v>17</v>
      </c>
      <c r="K78" s="185"/>
    </row>
    <row r="79" spans="6:11" x14ac:dyDescent="0.3">
      <c r="F79" s="244">
        <f>ROW()-ROW(APORTACIONESOCIOS[[#Headers],[SECUENCIA]])</f>
        <v>75</v>
      </c>
      <c r="G79" s="117">
        <v>44941</v>
      </c>
      <c r="H79" s="3">
        <v>10</v>
      </c>
      <c r="I79" s="195">
        <v>10</v>
      </c>
      <c r="J79" s="181" t="s">
        <v>18</v>
      </c>
      <c r="K79" s="185"/>
    </row>
    <row r="80" spans="6:11" x14ac:dyDescent="0.3">
      <c r="F80" s="244">
        <f>ROW()-ROW(APORTACIONESOCIOS[[#Headers],[SECUENCIA]])</f>
        <v>76</v>
      </c>
      <c r="G80" s="117">
        <v>44941</v>
      </c>
      <c r="H80" s="3">
        <v>10</v>
      </c>
      <c r="I80" s="195">
        <v>11</v>
      </c>
      <c r="J80" s="181" t="s">
        <v>19</v>
      </c>
      <c r="K80" s="185"/>
    </row>
    <row r="81" spans="6:11" x14ac:dyDescent="0.3">
      <c r="F81" s="244">
        <f>ROW()-ROW(APORTACIONESOCIOS[[#Headers],[SECUENCIA]])</f>
        <v>77</v>
      </c>
      <c r="G81" s="117">
        <v>44941</v>
      </c>
      <c r="H81" s="3">
        <v>10</v>
      </c>
      <c r="I81" s="195">
        <v>12</v>
      </c>
      <c r="J81" s="181" t="s">
        <v>20</v>
      </c>
      <c r="K81" s="185"/>
    </row>
    <row r="82" spans="6:11" x14ac:dyDescent="0.3">
      <c r="F82" s="244">
        <f>ROW()-ROW(APORTACIONESOCIOS[[#Headers],[SECUENCIA]])</f>
        <v>78</v>
      </c>
      <c r="G82" s="117">
        <v>44941</v>
      </c>
      <c r="H82" s="3">
        <v>10</v>
      </c>
      <c r="I82" s="195">
        <v>14</v>
      </c>
      <c r="J82" s="181" t="s">
        <v>21</v>
      </c>
      <c r="K82" s="185"/>
    </row>
    <row r="83" spans="6:11" x14ac:dyDescent="0.3">
      <c r="F83" s="244">
        <f>ROW()-ROW(APORTACIONESOCIOS[[#Headers],[SECUENCIA]])</f>
        <v>79</v>
      </c>
      <c r="G83" s="117">
        <v>44941</v>
      </c>
      <c r="H83" s="3">
        <v>10</v>
      </c>
      <c r="I83" s="195">
        <v>15</v>
      </c>
      <c r="J83" s="181" t="s">
        <v>22</v>
      </c>
      <c r="K83" s="185"/>
    </row>
    <row r="84" spans="6:11" x14ac:dyDescent="0.3">
      <c r="F84" s="244">
        <f>ROW()-ROW(APORTACIONESOCIOS[[#Headers],[SECUENCIA]])</f>
        <v>80</v>
      </c>
      <c r="G84" s="117">
        <v>44941</v>
      </c>
      <c r="H84" s="3">
        <v>10</v>
      </c>
      <c r="I84" s="195">
        <v>16</v>
      </c>
      <c r="J84" s="181" t="s">
        <v>23</v>
      </c>
      <c r="K84" s="185"/>
    </row>
    <row r="85" spans="6:11" x14ac:dyDescent="0.3">
      <c r="F85" s="245">
        <f>ROW()-ROW(APORTACIONESOCIOS[[#Headers],[SECUENCIA]])</f>
        <v>81</v>
      </c>
      <c r="G85" s="130">
        <v>44972</v>
      </c>
      <c r="H85" s="3">
        <v>10</v>
      </c>
      <c r="I85" s="195">
        <v>3</v>
      </c>
      <c r="J85" s="181" t="s">
        <v>13</v>
      </c>
      <c r="K85" s="187"/>
    </row>
    <row r="86" spans="6:11" x14ac:dyDescent="0.3">
      <c r="F86" s="244">
        <f>ROW()-ROW(APORTACIONESOCIOS[[#Headers],[SECUENCIA]])</f>
        <v>82</v>
      </c>
      <c r="G86" s="117">
        <v>44972</v>
      </c>
      <c r="H86" s="3">
        <v>10</v>
      </c>
      <c r="I86" s="195">
        <v>4</v>
      </c>
      <c r="J86" s="181" t="s">
        <v>12</v>
      </c>
      <c r="K86" s="185"/>
    </row>
    <row r="87" spans="6:11" x14ac:dyDescent="0.3">
      <c r="F87" s="244">
        <f>ROW()-ROW(APORTACIONESOCIOS[[#Headers],[SECUENCIA]])</f>
        <v>83</v>
      </c>
      <c r="G87" s="117">
        <v>44972</v>
      </c>
      <c r="H87" s="3">
        <v>10</v>
      </c>
      <c r="I87" s="195">
        <v>5</v>
      </c>
      <c r="J87" s="181" t="s">
        <v>14</v>
      </c>
      <c r="K87" s="185"/>
    </row>
    <row r="88" spans="6:11" x14ac:dyDescent="0.3">
      <c r="F88" s="244">
        <f>ROW()-ROW(APORTACIONESOCIOS[[#Headers],[SECUENCIA]])</f>
        <v>84</v>
      </c>
      <c r="G88" s="117">
        <v>44972</v>
      </c>
      <c r="H88" s="3">
        <v>10</v>
      </c>
      <c r="I88" s="195">
        <v>6</v>
      </c>
      <c r="J88" s="181" t="s">
        <v>24</v>
      </c>
      <c r="K88" s="185"/>
    </row>
    <row r="89" spans="6:11" x14ac:dyDescent="0.3">
      <c r="F89" s="244">
        <f>ROW()-ROW(APORTACIONESOCIOS[[#Headers],[SECUENCIA]])</f>
        <v>85</v>
      </c>
      <c r="G89" s="117">
        <v>44972</v>
      </c>
      <c r="H89" s="3">
        <v>10</v>
      </c>
      <c r="I89" s="195">
        <v>7</v>
      </c>
      <c r="J89" s="181" t="s">
        <v>15</v>
      </c>
      <c r="K89" s="185"/>
    </row>
    <row r="90" spans="6:11" x14ac:dyDescent="0.3">
      <c r="F90" s="244">
        <f>ROW()-ROW(APORTACIONESOCIOS[[#Headers],[SECUENCIA]])</f>
        <v>86</v>
      </c>
      <c r="G90" s="117">
        <v>44972</v>
      </c>
      <c r="H90" s="3">
        <v>10</v>
      </c>
      <c r="I90" s="195">
        <v>8</v>
      </c>
      <c r="J90" s="181" t="s">
        <v>16</v>
      </c>
      <c r="K90" s="185"/>
    </row>
    <row r="91" spans="6:11" x14ac:dyDescent="0.3">
      <c r="F91" s="244">
        <f>ROW()-ROW(APORTACIONESOCIOS[[#Headers],[SECUENCIA]])</f>
        <v>87</v>
      </c>
      <c r="G91" s="117">
        <v>44972</v>
      </c>
      <c r="H91" s="3">
        <v>10</v>
      </c>
      <c r="I91" s="195">
        <v>9</v>
      </c>
      <c r="J91" s="181" t="s">
        <v>17</v>
      </c>
      <c r="K91" s="185"/>
    </row>
    <row r="92" spans="6:11" x14ac:dyDescent="0.3">
      <c r="F92" s="244">
        <f>ROW()-ROW(APORTACIONESOCIOS[[#Headers],[SECUENCIA]])</f>
        <v>88</v>
      </c>
      <c r="G92" s="117">
        <v>44972</v>
      </c>
      <c r="H92" s="3">
        <v>10</v>
      </c>
      <c r="I92" s="195">
        <v>10</v>
      </c>
      <c r="J92" s="181" t="s">
        <v>18</v>
      </c>
      <c r="K92" s="185"/>
    </row>
    <row r="93" spans="6:11" x14ac:dyDescent="0.3">
      <c r="F93" s="244">
        <f>ROW()-ROW(APORTACIONESOCIOS[[#Headers],[SECUENCIA]])</f>
        <v>89</v>
      </c>
      <c r="G93" s="117">
        <v>44972</v>
      </c>
      <c r="H93" s="3">
        <v>10</v>
      </c>
      <c r="I93" s="195">
        <v>11</v>
      </c>
      <c r="J93" s="181" t="s">
        <v>19</v>
      </c>
      <c r="K93" s="185"/>
    </row>
    <row r="94" spans="6:11" x14ac:dyDescent="0.3">
      <c r="F94" s="244">
        <f>ROW()-ROW(APORTACIONESOCIOS[[#Headers],[SECUENCIA]])</f>
        <v>90</v>
      </c>
      <c r="G94" s="117">
        <v>44972</v>
      </c>
      <c r="H94" s="3">
        <v>10</v>
      </c>
      <c r="I94" s="195">
        <v>12</v>
      </c>
      <c r="J94" s="181" t="s">
        <v>20</v>
      </c>
      <c r="K94" s="185"/>
    </row>
    <row r="95" spans="6:11" x14ac:dyDescent="0.3">
      <c r="F95" s="244">
        <f>ROW()-ROW(APORTACIONESOCIOS[[#Headers],[SECUENCIA]])</f>
        <v>91</v>
      </c>
      <c r="G95" s="117">
        <v>44972</v>
      </c>
      <c r="H95" s="3">
        <v>10</v>
      </c>
      <c r="I95" s="195">
        <v>14</v>
      </c>
      <c r="J95" s="181" t="s">
        <v>21</v>
      </c>
      <c r="K95" s="185"/>
    </row>
    <row r="96" spans="6:11" x14ac:dyDescent="0.3">
      <c r="F96" s="244">
        <f>ROW()-ROW(APORTACIONESOCIOS[[#Headers],[SECUENCIA]])</f>
        <v>92</v>
      </c>
      <c r="G96" s="117">
        <v>44972</v>
      </c>
      <c r="H96" s="3">
        <v>10</v>
      </c>
      <c r="I96" s="195">
        <v>15</v>
      </c>
      <c r="J96" s="181" t="s">
        <v>22</v>
      </c>
      <c r="K96" s="185"/>
    </row>
    <row r="97" spans="6:11" x14ac:dyDescent="0.3">
      <c r="F97" s="244">
        <f>ROW()-ROW(APORTACIONESOCIOS[[#Headers],[SECUENCIA]])</f>
        <v>93</v>
      </c>
      <c r="G97" s="117">
        <v>44972</v>
      </c>
      <c r="H97" s="3">
        <v>10</v>
      </c>
      <c r="I97" s="195">
        <v>16</v>
      </c>
      <c r="J97" s="181" t="s">
        <v>23</v>
      </c>
      <c r="K97" s="185"/>
    </row>
    <row r="98" spans="6:11" x14ac:dyDescent="0.3">
      <c r="F98" s="245">
        <f>ROW()-ROW(APORTACIONESOCIOS[[#Headers],[SECUENCIA]])</f>
        <v>94</v>
      </c>
      <c r="G98" s="130">
        <v>45000</v>
      </c>
      <c r="H98" s="3">
        <v>10</v>
      </c>
      <c r="I98" s="195">
        <v>3</v>
      </c>
      <c r="J98" s="181" t="s">
        <v>13</v>
      </c>
      <c r="K98" s="187"/>
    </row>
    <row r="99" spans="6:11" x14ac:dyDescent="0.3">
      <c r="F99" s="244">
        <f>ROW()-ROW(APORTACIONESOCIOS[[#Headers],[SECUENCIA]])</f>
        <v>95</v>
      </c>
      <c r="G99" s="117">
        <v>45000</v>
      </c>
      <c r="H99" s="3">
        <v>10</v>
      </c>
      <c r="I99" s="195">
        <v>4</v>
      </c>
      <c r="J99" s="181" t="s">
        <v>12</v>
      </c>
      <c r="K99" s="185"/>
    </row>
    <row r="100" spans="6:11" x14ac:dyDescent="0.3">
      <c r="F100" s="244">
        <f>ROW()-ROW(APORTACIONESOCIOS[[#Headers],[SECUENCIA]])</f>
        <v>96</v>
      </c>
      <c r="G100" s="117">
        <v>45000</v>
      </c>
      <c r="H100" s="3">
        <v>10</v>
      </c>
      <c r="I100" s="195">
        <v>5</v>
      </c>
      <c r="J100" s="181" t="s">
        <v>14</v>
      </c>
      <c r="K100" s="185"/>
    </row>
    <row r="101" spans="6:11" x14ac:dyDescent="0.3">
      <c r="F101" s="244">
        <f>ROW()-ROW(APORTACIONESOCIOS[[#Headers],[SECUENCIA]])</f>
        <v>97</v>
      </c>
      <c r="G101" s="117">
        <v>45000</v>
      </c>
      <c r="H101" s="3">
        <v>10</v>
      </c>
      <c r="I101" s="195">
        <v>6</v>
      </c>
      <c r="J101" s="181" t="s">
        <v>24</v>
      </c>
      <c r="K101" s="185"/>
    </row>
    <row r="102" spans="6:11" x14ac:dyDescent="0.3">
      <c r="F102" s="244">
        <f>ROW()-ROW(APORTACIONESOCIOS[[#Headers],[SECUENCIA]])</f>
        <v>98</v>
      </c>
      <c r="G102" s="117">
        <v>45000</v>
      </c>
      <c r="H102" s="3">
        <v>10</v>
      </c>
      <c r="I102" s="195">
        <v>7</v>
      </c>
      <c r="J102" s="181" t="s">
        <v>15</v>
      </c>
      <c r="K102" s="185"/>
    </row>
    <row r="103" spans="6:11" x14ac:dyDescent="0.3">
      <c r="F103" s="244">
        <f>ROW()-ROW(APORTACIONESOCIOS[[#Headers],[SECUENCIA]])</f>
        <v>99</v>
      </c>
      <c r="G103" s="117">
        <v>45000</v>
      </c>
      <c r="H103" s="3">
        <v>10</v>
      </c>
      <c r="I103" s="195">
        <v>8</v>
      </c>
      <c r="J103" s="181" t="s">
        <v>16</v>
      </c>
      <c r="K103" s="185"/>
    </row>
    <row r="104" spans="6:11" x14ac:dyDescent="0.3">
      <c r="F104" s="244">
        <f>ROW()-ROW(APORTACIONESOCIOS[[#Headers],[SECUENCIA]])</f>
        <v>100</v>
      </c>
      <c r="G104" s="117">
        <v>45000</v>
      </c>
      <c r="H104" s="3">
        <v>10</v>
      </c>
      <c r="I104" s="195">
        <v>9</v>
      </c>
      <c r="J104" s="181" t="s">
        <v>17</v>
      </c>
      <c r="K104" s="185"/>
    </row>
    <row r="105" spans="6:11" x14ac:dyDescent="0.3">
      <c r="F105" s="244">
        <f>ROW()-ROW(APORTACIONESOCIOS[[#Headers],[SECUENCIA]])</f>
        <v>101</v>
      </c>
      <c r="G105" s="117">
        <v>45000</v>
      </c>
      <c r="H105" s="3">
        <v>10</v>
      </c>
      <c r="I105" s="195">
        <v>10</v>
      </c>
      <c r="J105" s="181" t="s">
        <v>18</v>
      </c>
      <c r="K105" s="185"/>
    </row>
    <row r="106" spans="6:11" x14ac:dyDescent="0.3">
      <c r="F106" s="244">
        <f>ROW()-ROW(APORTACIONESOCIOS[[#Headers],[SECUENCIA]])</f>
        <v>102</v>
      </c>
      <c r="G106" s="117">
        <v>45000</v>
      </c>
      <c r="H106" s="3">
        <v>10</v>
      </c>
      <c r="I106" s="195">
        <v>11</v>
      </c>
      <c r="J106" s="181" t="s">
        <v>19</v>
      </c>
      <c r="K106" s="185"/>
    </row>
    <row r="107" spans="6:11" x14ac:dyDescent="0.3">
      <c r="F107" s="244">
        <f>ROW()-ROW(APORTACIONESOCIOS[[#Headers],[SECUENCIA]])</f>
        <v>103</v>
      </c>
      <c r="G107" s="117">
        <v>45000</v>
      </c>
      <c r="H107" s="3">
        <v>10</v>
      </c>
      <c r="I107" s="195">
        <v>12</v>
      </c>
      <c r="J107" s="181" t="s">
        <v>20</v>
      </c>
      <c r="K107" s="185"/>
    </row>
    <row r="108" spans="6:11" x14ac:dyDescent="0.3">
      <c r="F108" s="244">
        <f>ROW()-ROW(APORTACIONESOCIOS[[#Headers],[SECUENCIA]])</f>
        <v>104</v>
      </c>
      <c r="G108" s="117">
        <v>45000</v>
      </c>
      <c r="H108" s="3">
        <v>10</v>
      </c>
      <c r="I108" s="195">
        <v>14</v>
      </c>
      <c r="J108" s="181" t="s">
        <v>21</v>
      </c>
      <c r="K108" s="185"/>
    </row>
    <row r="109" spans="6:11" x14ac:dyDescent="0.3">
      <c r="F109" s="244">
        <f>ROW()-ROW(APORTACIONESOCIOS[[#Headers],[SECUENCIA]])</f>
        <v>105</v>
      </c>
      <c r="G109" s="117">
        <v>45000</v>
      </c>
      <c r="H109" s="3">
        <v>10</v>
      </c>
      <c r="I109" s="195">
        <v>15</v>
      </c>
      <c r="J109" s="181" t="s">
        <v>22</v>
      </c>
      <c r="K109" s="185"/>
    </row>
    <row r="110" spans="6:11" x14ac:dyDescent="0.3">
      <c r="F110" s="244">
        <f>ROW()-ROW(APORTACIONESOCIOS[[#Headers],[SECUENCIA]])</f>
        <v>106</v>
      </c>
      <c r="G110" s="117">
        <v>45000</v>
      </c>
      <c r="H110" s="3">
        <v>10</v>
      </c>
      <c r="I110" s="195">
        <v>16</v>
      </c>
      <c r="J110" s="181" t="s">
        <v>23</v>
      </c>
      <c r="K110" s="185"/>
    </row>
    <row r="111" spans="6:11" x14ac:dyDescent="0.3">
      <c r="F111" s="245">
        <f>ROW()-ROW(APORTACIONESOCIOS[[#Headers],[SECUENCIA]])</f>
        <v>107</v>
      </c>
      <c r="G111" s="130">
        <v>45031</v>
      </c>
      <c r="H111" s="3">
        <v>10</v>
      </c>
      <c r="I111" s="195">
        <v>3</v>
      </c>
      <c r="J111" s="181" t="s">
        <v>13</v>
      </c>
      <c r="K111" s="187"/>
    </row>
    <row r="112" spans="6:11" x14ac:dyDescent="0.3">
      <c r="F112" s="245">
        <f>ROW()-ROW(APORTACIONESOCIOS[[#Headers],[SECUENCIA]])</f>
        <v>108</v>
      </c>
      <c r="G112" s="117">
        <v>45031</v>
      </c>
      <c r="H112" s="3">
        <v>10</v>
      </c>
      <c r="I112" s="195">
        <v>4</v>
      </c>
      <c r="J112" s="181" t="s">
        <v>12</v>
      </c>
      <c r="K112" s="187"/>
    </row>
    <row r="113" spans="6:11" x14ac:dyDescent="0.3">
      <c r="F113" s="244">
        <f>ROW()-ROW(APORTACIONESOCIOS[[#Headers],[SECUENCIA]])</f>
        <v>109</v>
      </c>
      <c r="G113" s="117">
        <v>45031</v>
      </c>
      <c r="H113" s="3">
        <v>10</v>
      </c>
      <c r="I113" s="195">
        <v>5</v>
      </c>
      <c r="J113" s="181" t="s">
        <v>14</v>
      </c>
      <c r="K113" s="185"/>
    </row>
    <row r="114" spans="6:11" x14ac:dyDescent="0.3">
      <c r="F114" s="244">
        <f>ROW()-ROW(APORTACIONESOCIOS[[#Headers],[SECUENCIA]])</f>
        <v>110</v>
      </c>
      <c r="G114" s="117">
        <v>45031</v>
      </c>
      <c r="H114" s="3">
        <v>10</v>
      </c>
      <c r="I114" s="195">
        <v>6</v>
      </c>
      <c r="J114" s="181" t="s">
        <v>24</v>
      </c>
      <c r="K114" s="185"/>
    </row>
    <row r="115" spans="6:11" x14ac:dyDescent="0.3">
      <c r="F115" s="244">
        <f>ROW()-ROW(APORTACIONESOCIOS[[#Headers],[SECUENCIA]])</f>
        <v>111</v>
      </c>
      <c r="G115" s="117">
        <v>45031</v>
      </c>
      <c r="H115" s="3">
        <v>10</v>
      </c>
      <c r="I115" s="195">
        <v>7</v>
      </c>
      <c r="J115" s="181" t="s">
        <v>15</v>
      </c>
      <c r="K115" s="185"/>
    </row>
    <row r="116" spans="6:11" x14ac:dyDescent="0.3">
      <c r="F116" s="244">
        <f>ROW()-ROW(APORTACIONESOCIOS[[#Headers],[SECUENCIA]])</f>
        <v>112</v>
      </c>
      <c r="G116" s="117">
        <v>45031</v>
      </c>
      <c r="H116" s="3">
        <v>10</v>
      </c>
      <c r="I116" s="195">
        <v>8</v>
      </c>
      <c r="J116" s="181" t="s">
        <v>16</v>
      </c>
      <c r="K116" s="185"/>
    </row>
    <row r="117" spans="6:11" x14ac:dyDescent="0.3">
      <c r="F117" s="244">
        <f>ROW()-ROW(APORTACIONESOCIOS[[#Headers],[SECUENCIA]])</f>
        <v>113</v>
      </c>
      <c r="G117" s="117">
        <v>45031</v>
      </c>
      <c r="H117" s="3">
        <v>10</v>
      </c>
      <c r="I117" s="195">
        <v>9</v>
      </c>
      <c r="J117" s="181" t="s">
        <v>17</v>
      </c>
      <c r="K117" s="185"/>
    </row>
    <row r="118" spans="6:11" x14ac:dyDescent="0.3">
      <c r="F118" s="244">
        <f>ROW()-ROW(APORTACIONESOCIOS[[#Headers],[SECUENCIA]])</f>
        <v>114</v>
      </c>
      <c r="G118" s="117">
        <v>45031</v>
      </c>
      <c r="H118" s="3">
        <v>10</v>
      </c>
      <c r="I118" s="195">
        <v>10</v>
      </c>
      <c r="J118" s="181" t="s">
        <v>18</v>
      </c>
      <c r="K118" s="185"/>
    </row>
    <row r="119" spans="6:11" x14ac:dyDescent="0.3">
      <c r="F119" s="244">
        <f>ROW()-ROW(APORTACIONESOCIOS[[#Headers],[SECUENCIA]])</f>
        <v>115</v>
      </c>
      <c r="G119" s="117">
        <v>45031</v>
      </c>
      <c r="H119" s="3">
        <v>10</v>
      </c>
      <c r="I119" s="195">
        <v>11</v>
      </c>
      <c r="J119" s="181" t="s">
        <v>19</v>
      </c>
      <c r="K119" s="185"/>
    </row>
    <row r="120" spans="6:11" x14ac:dyDescent="0.3">
      <c r="F120" s="244">
        <f>ROW()-ROW(APORTACIONESOCIOS[[#Headers],[SECUENCIA]])</f>
        <v>116</v>
      </c>
      <c r="G120" s="117">
        <v>45031</v>
      </c>
      <c r="H120" s="3">
        <v>10</v>
      </c>
      <c r="I120" s="195">
        <v>12</v>
      </c>
      <c r="J120" s="181" t="s">
        <v>20</v>
      </c>
      <c r="K120" s="185"/>
    </row>
    <row r="121" spans="6:11" x14ac:dyDescent="0.3">
      <c r="F121" s="244">
        <f>ROW()-ROW(APORTACIONESOCIOS[[#Headers],[SECUENCIA]])</f>
        <v>117</v>
      </c>
      <c r="G121" s="117">
        <v>45031</v>
      </c>
      <c r="H121" s="3">
        <v>10</v>
      </c>
      <c r="I121" s="195">
        <v>14</v>
      </c>
      <c r="J121" s="181" t="s">
        <v>21</v>
      </c>
      <c r="K121" s="185"/>
    </row>
    <row r="122" spans="6:11" x14ac:dyDescent="0.3">
      <c r="F122" s="244">
        <f>ROW()-ROW(APORTACIONESOCIOS[[#Headers],[SECUENCIA]])</f>
        <v>118</v>
      </c>
      <c r="G122" s="117">
        <v>45031</v>
      </c>
      <c r="H122" s="3">
        <v>10</v>
      </c>
      <c r="I122" s="195">
        <v>15</v>
      </c>
      <c r="J122" s="181" t="s">
        <v>22</v>
      </c>
      <c r="K122" s="185"/>
    </row>
    <row r="123" spans="6:11" x14ac:dyDescent="0.3">
      <c r="F123" s="244">
        <f>ROW()-ROW(APORTACIONESOCIOS[[#Headers],[SECUENCIA]])</f>
        <v>119</v>
      </c>
      <c r="G123" s="117">
        <v>45031</v>
      </c>
      <c r="H123" s="3">
        <v>10</v>
      </c>
      <c r="I123" s="195">
        <v>16</v>
      </c>
      <c r="J123" s="181" t="s">
        <v>23</v>
      </c>
      <c r="K123" s="185"/>
    </row>
    <row r="124" spans="6:11" x14ac:dyDescent="0.3">
      <c r="F124" s="244">
        <f>ROW()-ROW(APORTACIONESOCIOS[[#Headers],[SECUENCIA]])</f>
        <v>120</v>
      </c>
      <c r="G124" s="130">
        <v>45061</v>
      </c>
      <c r="H124" s="3">
        <v>10</v>
      </c>
      <c r="I124" s="195">
        <v>3</v>
      </c>
      <c r="J124" s="181" t="s">
        <v>13</v>
      </c>
      <c r="K124" s="185"/>
    </row>
    <row r="125" spans="6:11" x14ac:dyDescent="0.3">
      <c r="F125" s="245">
        <f>ROW()-ROW(APORTACIONESOCIOS[[#Headers],[SECUENCIA]])</f>
        <v>121</v>
      </c>
      <c r="G125" s="117">
        <v>45061</v>
      </c>
      <c r="H125" s="3">
        <v>10</v>
      </c>
      <c r="I125" s="195">
        <v>4</v>
      </c>
      <c r="J125" s="181" t="s">
        <v>12</v>
      </c>
      <c r="K125" s="187"/>
    </row>
    <row r="126" spans="6:11" x14ac:dyDescent="0.3">
      <c r="F126" s="244">
        <f>ROW()-ROW(APORTACIONESOCIOS[[#Headers],[SECUENCIA]])</f>
        <v>122</v>
      </c>
      <c r="G126" s="117">
        <v>45061</v>
      </c>
      <c r="H126" s="3">
        <v>10</v>
      </c>
      <c r="I126" s="195">
        <v>5</v>
      </c>
      <c r="J126" s="181" t="s">
        <v>14</v>
      </c>
      <c r="K126" s="185"/>
    </row>
    <row r="127" spans="6:11" x14ac:dyDescent="0.3">
      <c r="F127" s="244">
        <f>ROW()-ROW(APORTACIONESOCIOS[[#Headers],[SECUENCIA]])</f>
        <v>123</v>
      </c>
      <c r="G127" s="117">
        <v>45061</v>
      </c>
      <c r="H127" s="3">
        <v>10</v>
      </c>
      <c r="I127" s="195">
        <v>6</v>
      </c>
      <c r="J127" s="181" t="s">
        <v>24</v>
      </c>
      <c r="K127" s="185"/>
    </row>
    <row r="128" spans="6:11" x14ac:dyDescent="0.3">
      <c r="F128" s="244">
        <f>ROW()-ROW(APORTACIONESOCIOS[[#Headers],[SECUENCIA]])</f>
        <v>124</v>
      </c>
      <c r="G128" s="117">
        <v>45061</v>
      </c>
      <c r="H128" s="3">
        <v>10</v>
      </c>
      <c r="I128" s="195">
        <v>7</v>
      </c>
      <c r="J128" s="181" t="s">
        <v>15</v>
      </c>
      <c r="K128" s="185"/>
    </row>
    <row r="129" spans="6:11" x14ac:dyDescent="0.3">
      <c r="F129" s="244">
        <f>ROW()-ROW(APORTACIONESOCIOS[[#Headers],[SECUENCIA]])</f>
        <v>125</v>
      </c>
      <c r="G129" s="117">
        <v>45061</v>
      </c>
      <c r="H129" s="3">
        <v>10</v>
      </c>
      <c r="I129" s="195">
        <v>8</v>
      </c>
      <c r="J129" s="181" t="s">
        <v>16</v>
      </c>
      <c r="K129" s="185"/>
    </row>
    <row r="130" spans="6:11" x14ac:dyDescent="0.3">
      <c r="F130" s="244">
        <f>ROW()-ROW(APORTACIONESOCIOS[[#Headers],[SECUENCIA]])</f>
        <v>126</v>
      </c>
      <c r="G130" s="117">
        <v>45061</v>
      </c>
      <c r="H130" s="3">
        <v>10</v>
      </c>
      <c r="I130" s="195">
        <v>9</v>
      </c>
      <c r="J130" s="181" t="s">
        <v>17</v>
      </c>
      <c r="K130" s="185"/>
    </row>
    <row r="131" spans="6:11" x14ac:dyDescent="0.3">
      <c r="F131" s="244">
        <f>ROW()-ROW(APORTACIONESOCIOS[[#Headers],[SECUENCIA]])</f>
        <v>127</v>
      </c>
      <c r="G131" s="117">
        <v>45061</v>
      </c>
      <c r="H131" s="3">
        <v>10</v>
      </c>
      <c r="I131" s="195">
        <v>10</v>
      </c>
      <c r="J131" s="181" t="s">
        <v>18</v>
      </c>
      <c r="K131" s="185"/>
    </row>
    <row r="132" spans="6:11" x14ac:dyDescent="0.3">
      <c r="F132" s="244">
        <f>ROW()-ROW(APORTACIONESOCIOS[[#Headers],[SECUENCIA]])</f>
        <v>128</v>
      </c>
      <c r="G132" s="117">
        <v>45061</v>
      </c>
      <c r="H132" s="3">
        <v>10</v>
      </c>
      <c r="I132" s="195">
        <v>11</v>
      </c>
      <c r="J132" s="181" t="s">
        <v>19</v>
      </c>
      <c r="K132" s="185"/>
    </row>
    <row r="133" spans="6:11" x14ac:dyDescent="0.3">
      <c r="F133" s="244">
        <f>ROW()-ROW(APORTACIONESOCIOS[[#Headers],[SECUENCIA]])</f>
        <v>129</v>
      </c>
      <c r="G133" s="117">
        <v>45061</v>
      </c>
      <c r="H133" s="3">
        <v>10</v>
      </c>
      <c r="I133" s="195">
        <v>12</v>
      </c>
      <c r="J133" s="181" t="s">
        <v>20</v>
      </c>
      <c r="K133" s="185"/>
    </row>
    <row r="134" spans="6:11" x14ac:dyDescent="0.3">
      <c r="F134" s="244">
        <f>ROW()-ROW(APORTACIONESOCIOS[[#Headers],[SECUENCIA]])</f>
        <v>130</v>
      </c>
      <c r="G134" s="117">
        <v>45061</v>
      </c>
      <c r="H134" s="3">
        <v>10</v>
      </c>
      <c r="I134" s="195">
        <v>14</v>
      </c>
      <c r="J134" s="181" t="s">
        <v>21</v>
      </c>
      <c r="K134" s="185"/>
    </row>
    <row r="135" spans="6:11" x14ac:dyDescent="0.3">
      <c r="F135" s="244">
        <f>ROW()-ROW(APORTACIONESOCIOS[[#Headers],[SECUENCIA]])</f>
        <v>131</v>
      </c>
      <c r="G135" s="117">
        <v>45061</v>
      </c>
      <c r="H135" s="3">
        <v>10</v>
      </c>
      <c r="I135" s="195">
        <v>15</v>
      </c>
      <c r="J135" s="181" t="s">
        <v>22</v>
      </c>
      <c r="K135" s="185"/>
    </row>
    <row r="136" spans="6:11" x14ac:dyDescent="0.3">
      <c r="F136" s="244">
        <f>ROW()-ROW(APORTACIONESOCIOS[[#Headers],[SECUENCIA]])</f>
        <v>132</v>
      </c>
      <c r="G136" s="117">
        <v>45061</v>
      </c>
      <c r="H136" s="3">
        <v>10</v>
      </c>
      <c r="I136" s="195">
        <v>16</v>
      </c>
      <c r="J136" s="181" t="s">
        <v>23</v>
      </c>
      <c r="K136" s="185"/>
    </row>
    <row r="137" spans="6:11" x14ac:dyDescent="0.3">
      <c r="F137" s="244">
        <f>ROW()-ROW(APORTACIONESOCIOS[[#Headers],[SECUENCIA]])</f>
        <v>133</v>
      </c>
      <c r="G137" s="130">
        <v>45092</v>
      </c>
      <c r="H137" s="3">
        <v>10</v>
      </c>
      <c r="I137" s="195">
        <v>3</v>
      </c>
      <c r="J137" s="181" t="s">
        <v>13</v>
      </c>
      <c r="K137" s="185"/>
    </row>
    <row r="138" spans="6:11" x14ac:dyDescent="0.3">
      <c r="F138" s="245">
        <f>ROW()-ROW(APORTACIONESOCIOS[[#Headers],[SECUENCIA]])</f>
        <v>134</v>
      </c>
      <c r="G138" s="117">
        <v>45092</v>
      </c>
      <c r="H138" s="3">
        <v>10</v>
      </c>
      <c r="I138" s="195">
        <v>4</v>
      </c>
      <c r="J138" s="181" t="s">
        <v>12</v>
      </c>
      <c r="K138" s="187"/>
    </row>
    <row r="139" spans="6:11" x14ac:dyDescent="0.3">
      <c r="F139" s="244">
        <f>ROW()-ROW(APORTACIONESOCIOS[[#Headers],[SECUENCIA]])</f>
        <v>135</v>
      </c>
      <c r="G139" s="117">
        <v>45092</v>
      </c>
      <c r="H139" s="3">
        <v>10</v>
      </c>
      <c r="I139" s="195">
        <v>5</v>
      </c>
      <c r="J139" s="181" t="s">
        <v>14</v>
      </c>
      <c r="K139" s="185"/>
    </row>
    <row r="140" spans="6:11" x14ac:dyDescent="0.3">
      <c r="F140" s="244">
        <f>ROW()-ROW(APORTACIONESOCIOS[[#Headers],[SECUENCIA]])</f>
        <v>136</v>
      </c>
      <c r="G140" s="117">
        <v>45092</v>
      </c>
      <c r="H140" s="3">
        <v>10</v>
      </c>
      <c r="I140" s="195">
        <v>6</v>
      </c>
      <c r="J140" s="181" t="s">
        <v>24</v>
      </c>
      <c r="K140" s="185"/>
    </row>
    <row r="141" spans="6:11" x14ac:dyDescent="0.3">
      <c r="F141" s="244">
        <f>ROW()-ROW(APORTACIONESOCIOS[[#Headers],[SECUENCIA]])</f>
        <v>137</v>
      </c>
      <c r="G141" s="117">
        <v>45092</v>
      </c>
      <c r="H141" s="3">
        <v>10</v>
      </c>
      <c r="I141" s="195">
        <v>7</v>
      </c>
      <c r="J141" s="181" t="s">
        <v>15</v>
      </c>
      <c r="K141" s="185"/>
    </row>
    <row r="142" spans="6:11" x14ac:dyDescent="0.3">
      <c r="F142" s="244">
        <f>ROW()-ROW(APORTACIONESOCIOS[[#Headers],[SECUENCIA]])</f>
        <v>138</v>
      </c>
      <c r="G142" s="117">
        <v>45092</v>
      </c>
      <c r="H142" s="3">
        <v>10</v>
      </c>
      <c r="I142" s="195">
        <v>8</v>
      </c>
      <c r="J142" s="181" t="s">
        <v>16</v>
      </c>
      <c r="K142" s="185"/>
    </row>
    <row r="143" spans="6:11" x14ac:dyDescent="0.3">
      <c r="F143" s="244">
        <f>ROW()-ROW(APORTACIONESOCIOS[[#Headers],[SECUENCIA]])</f>
        <v>139</v>
      </c>
      <c r="G143" s="117">
        <v>45092</v>
      </c>
      <c r="H143" s="3">
        <v>10</v>
      </c>
      <c r="I143" s="195">
        <v>9</v>
      </c>
      <c r="J143" s="181" t="s">
        <v>17</v>
      </c>
      <c r="K143" s="185"/>
    </row>
    <row r="144" spans="6:11" x14ac:dyDescent="0.3">
      <c r="F144" s="244">
        <f>ROW()-ROW(APORTACIONESOCIOS[[#Headers],[SECUENCIA]])</f>
        <v>140</v>
      </c>
      <c r="G144" s="117">
        <v>45092</v>
      </c>
      <c r="H144" s="3">
        <v>10</v>
      </c>
      <c r="I144" s="195">
        <v>10</v>
      </c>
      <c r="J144" s="181" t="s">
        <v>18</v>
      </c>
      <c r="K144" s="185"/>
    </row>
    <row r="145" spans="6:11" x14ac:dyDescent="0.3">
      <c r="F145" s="244">
        <f>ROW()-ROW(APORTACIONESOCIOS[[#Headers],[SECUENCIA]])</f>
        <v>141</v>
      </c>
      <c r="G145" s="117">
        <v>45092</v>
      </c>
      <c r="H145" s="3">
        <v>10</v>
      </c>
      <c r="I145" s="195">
        <v>11</v>
      </c>
      <c r="J145" s="181" t="s">
        <v>19</v>
      </c>
      <c r="K145" s="185"/>
    </row>
    <row r="146" spans="6:11" x14ac:dyDescent="0.3">
      <c r="F146" s="244">
        <f>ROW()-ROW(APORTACIONESOCIOS[[#Headers],[SECUENCIA]])</f>
        <v>142</v>
      </c>
      <c r="G146" s="117">
        <v>45092</v>
      </c>
      <c r="H146" s="3">
        <v>10</v>
      </c>
      <c r="I146" s="195">
        <v>12</v>
      </c>
      <c r="J146" s="181" t="s">
        <v>20</v>
      </c>
      <c r="K146" s="185"/>
    </row>
    <row r="147" spans="6:11" x14ac:dyDescent="0.3">
      <c r="F147" s="244">
        <f>ROW()-ROW(APORTACIONESOCIOS[[#Headers],[SECUENCIA]])</f>
        <v>143</v>
      </c>
      <c r="G147" s="117">
        <v>45092</v>
      </c>
      <c r="H147" s="3">
        <v>10</v>
      </c>
      <c r="I147" s="195">
        <v>14</v>
      </c>
      <c r="J147" s="181" t="s">
        <v>21</v>
      </c>
      <c r="K147" s="185"/>
    </row>
    <row r="148" spans="6:11" x14ac:dyDescent="0.3">
      <c r="F148" s="244">
        <f>ROW()-ROW(APORTACIONESOCIOS[[#Headers],[SECUENCIA]])</f>
        <v>144</v>
      </c>
      <c r="G148" s="117">
        <v>45092</v>
      </c>
      <c r="H148" s="3">
        <v>10</v>
      </c>
      <c r="I148" s="195">
        <v>15</v>
      </c>
      <c r="J148" s="181" t="s">
        <v>22</v>
      </c>
      <c r="K148" s="185"/>
    </row>
    <row r="149" spans="6:11" x14ac:dyDescent="0.3">
      <c r="F149" s="244">
        <f>ROW()-ROW(APORTACIONESOCIOS[[#Headers],[SECUENCIA]])</f>
        <v>145</v>
      </c>
      <c r="G149" s="117">
        <v>45092</v>
      </c>
      <c r="H149" s="3">
        <v>10</v>
      </c>
      <c r="I149" s="195">
        <v>16</v>
      </c>
      <c r="J149" s="181" t="s">
        <v>23</v>
      </c>
      <c r="K149" s="185"/>
    </row>
    <row r="150" spans="6:11" x14ac:dyDescent="0.3">
      <c r="F150" s="244">
        <f>ROW()-ROW(APORTACIONESOCIOS[[#Headers],[SECUENCIA]])</f>
        <v>146</v>
      </c>
      <c r="G150" s="130">
        <v>45122</v>
      </c>
      <c r="H150" s="3">
        <v>10</v>
      </c>
      <c r="I150" s="195">
        <v>3</v>
      </c>
      <c r="J150" s="181" t="s">
        <v>13</v>
      </c>
      <c r="K150" s="185"/>
    </row>
    <row r="151" spans="6:11" x14ac:dyDescent="0.3">
      <c r="F151" s="245">
        <f>ROW()-ROW(APORTACIONESOCIOS[[#Headers],[SECUENCIA]])</f>
        <v>147</v>
      </c>
      <c r="G151" s="117">
        <v>45122</v>
      </c>
      <c r="H151" s="3">
        <v>10</v>
      </c>
      <c r="I151" s="195">
        <v>4</v>
      </c>
      <c r="J151" s="181" t="s">
        <v>12</v>
      </c>
      <c r="K151" s="187"/>
    </row>
    <row r="152" spans="6:11" x14ac:dyDescent="0.3">
      <c r="F152" s="244">
        <f>ROW()-ROW(APORTACIONESOCIOS[[#Headers],[SECUENCIA]])</f>
        <v>148</v>
      </c>
      <c r="G152" s="117">
        <v>45122</v>
      </c>
      <c r="H152" s="3">
        <v>10</v>
      </c>
      <c r="I152" s="195">
        <v>5</v>
      </c>
      <c r="J152" s="181" t="s">
        <v>14</v>
      </c>
      <c r="K152" s="185"/>
    </row>
    <row r="153" spans="6:11" x14ac:dyDescent="0.3">
      <c r="F153" s="244">
        <f>ROW()-ROW(APORTACIONESOCIOS[[#Headers],[SECUENCIA]])</f>
        <v>149</v>
      </c>
      <c r="G153" s="117">
        <v>45122</v>
      </c>
      <c r="H153" s="3">
        <v>10</v>
      </c>
      <c r="I153" s="195">
        <v>6</v>
      </c>
      <c r="J153" s="181" t="s">
        <v>24</v>
      </c>
      <c r="K153" s="185"/>
    </row>
    <row r="154" spans="6:11" x14ac:dyDescent="0.3">
      <c r="F154" s="244">
        <f>ROW()-ROW(APORTACIONESOCIOS[[#Headers],[SECUENCIA]])</f>
        <v>150</v>
      </c>
      <c r="G154" s="117">
        <v>45122</v>
      </c>
      <c r="H154" s="3">
        <v>10</v>
      </c>
      <c r="I154" s="195">
        <v>7</v>
      </c>
      <c r="J154" s="181" t="s">
        <v>15</v>
      </c>
      <c r="K154" s="185"/>
    </row>
    <row r="155" spans="6:11" x14ac:dyDescent="0.3">
      <c r="F155" s="244">
        <f>ROW()-ROW(APORTACIONESOCIOS[[#Headers],[SECUENCIA]])</f>
        <v>151</v>
      </c>
      <c r="G155" s="117">
        <v>45122</v>
      </c>
      <c r="H155" s="3">
        <v>10</v>
      </c>
      <c r="I155" s="195">
        <v>8</v>
      </c>
      <c r="J155" s="181" t="s">
        <v>16</v>
      </c>
      <c r="K155" s="185"/>
    </row>
    <row r="156" spans="6:11" x14ac:dyDescent="0.3">
      <c r="F156" s="244">
        <f>ROW()-ROW(APORTACIONESOCIOS[[#Headers],[SECUENCIA]])</f>
        <v>152</v>
      </c>
      <c r="G156" s="117">
        <v>45122</v>
      </c>
      <c r="H156" s="3">
        <v>10</v>
      </c>
      <c r="I156" s="195">
        <v>9</v>
      </c>
      <c r="J156" s="181" t="s">
        <v>17</v>
      </c>
      <c r="K156" s="185"/>
    </row>
    <row r="157" spans="6:11" x14ac:dyDescent="0.3">
      <c r="F157" s="244">
        <f>ROW()-ROW(APORTACIONESOCIOS[[#Headers],[SECUENCIA]])</f>
        <v>153</v>
      </c>
      <c r="G157" s="117">
        <v>45122</v>
      </c>
      <c r="H157" s="3">
        <v>10</v>
      </c>
      <c r="I157" s="195">
        <v>10</v>
      </c>
      <c r="J157" s="181" t="s">
        <v>18</v>
      </c>
      <c r="K157" s="185"/>
    </row>
    <row r="158" spans="6:11" x14ac:dyDescent="0.3">
      <c r="F158" s="244">
        <f>ROW()-ROW(APORTACIONESOCIOS[[#Headers],[SECUENCIA]])</f>
        <v>154</v>
      </c>
      <c r="G158" s="117">
        <v>45122</v>
      </c>
      <c r="H158" s="3">
        <v>10</v>
      </c>
      <c r="I158" s="195">
        <v>11</v>
      </c>
      <c r="J158" s="181" t="s">
        <v>19</v>
      </c>
      <c r="K158" s="185"/>
    </row>
    <row r="159" spans="6:11" x14ac:dyDescent="0.3">
      <c r="F159" s="244">
        <f>ROW()-ROW(APORTACIONESOCIOS[[#Headers],[SECUENCIA]])</f>
        <v>155</v>
      </c>
      <c r="G159" s="117">
        <v>45122</v>
      </c>
      <c r="H159" s="3">
        <v>10</v>
      </c>
      <c r="I159" s="195">
        <v>12</v>
      </c>
      <c r="J159" s="181" t="s">
        <v>20</v>
      </c>
      <c r="K159" s="185"/>
    </row>
    <row r="160" spans="6:11" x14ac:dyDescent="0.3">
      <c r="F160" s="244">
        <f>ROW()-ROW(APORTACIONESOCIOS[[#Headers],[SECUENCIA]])</f>
        <v>156</v>
      </c>
      <c r="G160" s="117">
        <v>45122</v>
      </c>
      <c r="H160" s="3">
        <v>10</v>
      </c>
      <c r="I160" s="195">
        <v>14</v>
      </c>
      <c r="J160" s="181" t="s">
        <v>21</v>
      </c>
      <c r="K160" s="185"/>
    </row>
    <row r="161" spans="6:11" x14ac:dyDescent="0.3">
      <c r="F161" s="244">
        <f>ROW()-ROW(APORTACIONESOCIOS[[#Headers],[SECUENCIA]])</f>
        <v>157</v>
      </c>
      <c r="G161" s="117">
        <v>45122</v>
      </c>
      <c r="H161" s="3">
        <v>10</v>
      </c>
      <c r="I161" s="195">
        <v>15</v>
      </c>
      <c r="J161" s="181" t="s">
        <v>22</v>
      </c>
      <c r="K161" s="185"/>
    </row>
    <row r="162" spans="6:11" x14ac:dyDescent="0.3">
      <c r="F162" s="244">
        <f>ROW()-ROW(APORTACIONESOCIOS[[#Headers],[SECUENCIA]])</f>
        <v>158</v>
      </c>
      <c r="G162" s="117">
        <v>45122</v>
      </c>
      <c r="H162" s="3">
        <v>10</v>
      </c>
      <c r="I162" s="195">
        <v>16</v>
      </c>
      <c r="J162" s="181" t="s">
        <v>23</v>
      </c>
      <c r="K162" s="185"/>
    </row>
    <row r="163" spans="6:11" x14ac:dyDescent="0.3">
      <c r="F163" s="244">
        <f>ROW()-ROW(APORTACIONESOCIOS[[#Headers],[SECUENCIA]])</f>
        <v>159</v>
      </c>
      <c r="G163" s="130">
        <v>45153</v>
      </c>
      <c r="H163" s="3">
        <v>10</v>
      </c>
      <c r="I163" s="195">
        <v>3</v>
      </c>
      <c r="J163" s="181" t="s">
        <v>13</v>
      </c>
      <c r="K163" s="185"/>
    </row>
    <row r="164" spans="6:11" x14ac:dyDescent="0.3">
      <c r="F164" s="245">
        <f>ROW()-ROW(APORTACIONESOCIOS[[#Headers],[SECUENCIA]])</f>
        <v>160</v>
      </c>
      <c r="G164" s="117">
        <v>45153</v>
      </c>
      <c r="H164" s="3">
        <v>10</v>
      </c>
      <c r="I164" s="195">
        <v>4</v>
      </c>
      <c r="J164" s="181" t="s">
        <v>12</v>
      </c>
      <c r="K164" s="187"/>
    </row>
    <row r="165" spans="6:11" x14ac:dyDescent="0.3">
      <c r="F165" s="244">
        <f>ROW()-ROW(APORTACIONESOCIOS[[#Headers],[SECUENCIA]])</f>
        <v>161</v>
      </c>
      <c r="G165" s="117">
        <v>45153</v>
      </c>
      <c r="H165" s="3">
        <v>10</v>
      </c>
      <c r="I165" s="195">
        <v>5</v>
      </c>
      <c r="J165" s="181" t="s">
        <v>14</v>
      </c>
      <c r="K165" s="185"/>
    </row>
    <row r="166" spans="6:11" x14ac:dyDescent="0.3">
      <c r="F166" s="244">
        <f>ROW()-ROW(APORTACIONESOCIOS[[#Headers],[SECUENCIA]])</f>
        <v>162</v>
      </c>
      <c r="G166" s="117">
        <v>45153</v>
      </c>
      <c r="H166" s="3">
        <v>10</v>
      </c>
      <c r="I166" s="195">
        <v>6</v>
      </c>
      <c r="J166" s="181" t="s">
        <v>24</v>
      </c>
      <c r="K166" s="185"/>
    </row>
    <row r="167" spans="6:11" x14ac:dyDescent="0.3">
      <c r="F167" s="244">
        <f>ROW()-ROW(APORTACIONESOCIOS[[#Headers],[SECUENCIA]])</f>
        <v>163</v>
      </c>
      <c r="G167" s="117">
        <v>45153</v>
      </c>
      <c r="H167" s="3">
        <v>10</v>
      </c>
      <c r="I167" s="195">
        <v>7</v>
      </c>
      <c r="J167" s="181" t="s">
        <v>15</v>
      </c>
      <c r="K167" s="185"/>
    </row>
    <row r="168" spans="6:11" x14ac:dyDescent="0.3">
      <c r="F168" s="244">
        <f>ROW()-ROW(APORTACIONESOCIOS[[#Headers],[SECUENCIA]])</f>
        <v>164</v>
      </c>
      <c r="G168" s="117">
        <v>45153</v>
      </c>
      <c r="H168" s="3">
        <v>10</v>
      </c>
      <c r="I168" s="195">
        <v>8</v>
      </c>
      <c r="J168" s="181" t="s">
        <v>16</v>
      </c>
      <c r="K168" s="185"/>
    </row>
    <row r="169" spans="6:11" x14ac:dyDescent="0.3">
      <c r="F169" s="244">
        <f>ROW()-ROW(APORTACIONESOCIOS[[#Headers],[SECUENCIA]])</f>
        <v>165</v>
      </c>
      <c r="G169" s="117">
        <v>45153</v>
      </c>
      <c r="H169" s="3">
        <v>10</v>
      </c>
      <c r="I169" s="195">
        <v>9</v>
      </c>
      <c r="J169" s="181" t="s">
        <v>17</v>
      </c>
      <c r="K169" s="185"/>
    </row>
    <row r="170" spans="6:11" x14ac:dyDescent="0.3">
      <c r="F170" s="244">
        <f>ROW()-ROW(APORTACIONESOCIOS[[#Headers],[SECUENCIA]])</f>
        <v>166</v>
      </c>
      <c r="G170" s="117">
        <v>45153</v>
      </c>
      <c r="H170" s="3">
        <v>10</v>
      </c>
      <c r="I170" s="195">
        <v>10</v>
      </c>
      <c r="J170" s="181" t="s">
        <v>18</v>
      </c>
      <c r="K170" s="185"/>
    </row>
    <row r="171" spans="6:11" x14ac:dyDescent="0.3">
      <c r="F171" s="244">
        <f>ROW()-ROW(APORTACIONESOCIOS[[#Headers],[SECUENCIA]])</f>
        <v>167</v>
      </c>
      <c r="G171" s="117">
        <v>45153</v>
      </c>
      <c r="H171" s="3">
        <v>10</v>
      </c>
      <c r="I171" s="195">
        <v>11</v>
      </c>
      <c r="J171" s="181" t="s">
        <v>19</v>
      </c>
      <c r="K171" s="185"/>
    </row>
    <row r="172" spans="6:11" x14ac:dyDescent="0.3">
      <c r="F172" s="244">
        <f>ROW()-ROW(APORTACIONESOCIOS[[#Headers],[SECUENCIA]])</f>
        <v>168</v>
      </c>
      <c r="G172" s="117">
        <v>45153</v>
      </c>
      <c r="H172" s="3">
        <v>10</v>
      </c>
      <c r="I172" s="195">
        <v>12</v>
      </c>
      <c r="J172" s="181" t="s">
        <v>20</v>
      </c>
      <c r="K172" s="185"/>
    </row>
    <row r="173" spans="6:11" x14ac:dyDescent="0.3">
      <c r="F173" s="244">
        <f>ROW()-ROW(APORTACIONESOCIOS[[#Headers],[SECUENCIA]])</f>
        <v>169</v>
      </c>
      <c r="G173" s="117">
        <v>45153</v>
      </c>
      <c r="H173" s="3">
        <v>10</v>
      </c>
      <c r="I173" s="195">
        <v>14</v>
      </c>
      <c r="J173" s="181" t="s">
        <v>21</v>
      </c>
      <c r="K173" s="185"/>
    </row>
    <row r="174" spans="6:11" x14ac:dyDescent="0.3">
      <c r="F174" s="244">
        <f>ROW()-ROW(APORTACIONESOCIOS[[#Headers],[SECUENCIA]])</f>
        <v>170</v>
      </c>
      <c r="G174" s="117">
        <v>45153</v>
      </c>
      <c r="H174" s="3">
        <v>10</v>
      </c>
      <c r="I174" s="195">
        <v>15</v>
      </c>
      <c r="J174" s="181" t="s">
        <v>22</v>
      </c>
      <c r="K174" s="185"/>
    </row>
    <row r="175" spans="6:11" x14ac:dyDescent="0.3">
      <c r="F175" s="244">
        <f>ROW()-ROW(APORTACIONESOCIOS[[#Headers],[SECUENCIA]])</f>
        <v>171</v>
      </c>
      <c r="G175" s="117">
        <v>45153</v>
      </c>
      <c r="H175" s="3">
        <v>10</v>
      </c>
      <c r="I175" s="195">
        <v>16</v>
      </c>
      <c r="J175" s="181" t="s">
        <v>23</v>
      </c>
      <c r="K175" s="185"/>
    </row>
    <row r="176" spans="6:11" x14ac:dyDescent="0.3">
      <c r="F176" s="244">
        <f>ROW()-ROW(APORTACIONESOCIOS[[#Headers],[SECUENCIA]])</f>
        <v>172</v>
      </c>
      <c r="G176" s="130">
        <v>45184</v>
      </c>
      <c r="H176" s="3">
        <v>10</v>
      </c>
      <c r="I176" s="195">
        <v>3</v>
      </c>
      <c r="J176" s="181" t="s">
        <v>13</v>
      </c>
      <c r="K176" s="185"/>
    </row>
    <row r="177" spans="6:11" x14ac:dyDescent="0.3">
      <c r="F177" s="245">
        <f>ROW()-ROW(APORTACIONESOCIOS[[#Headers],[SECUENCIA]])</f>
        <v>173</v>
      </c>
      <c r="G177" s="117">
        <v>45184</v>
      </c>
      <c r="H177" s="3">
        <v>10</v>
      </c>
      <c r="I177" s="195">
        <v>4</v>
      </c>
      <c r="J177" s="181" t="s">
        <v>12</v>
      </c>
      <c r="K177" s="187"/>
    </row>
    <row r="178" spans="6:11" x14ac:dyDescent="0.3">
      <c r="F178" s="244">
        <f>ROW()-ROW(APORTACIONESOCIOS[[#Headers],[SECUENCIA]])</f>
        <v>174</v>
      </c>
      <c r="G178" s="117">
        <v>45184</v>
      </c>
      <c r="H178" s="3">
        <v>10</v>
      </c>
      <c r="I178" s="195">
        <v>5</v>
      </c>
      <c r="J178" s="181" t="s">
        <v>14</v>
      </c>
      <c r="K178" s="185"/>
    </row>
    <row r="179" spans="6:11" x14ac:dyDescent="0.3">
      <c r="F179" s="244">
        <f>ROW()-ROW(APORTACIONESOCIOS[[#Headers],[SECUENCIA]])</f>
        <v>175</v>
      </c>
      <c r="G179" s="117">
        <v>45184</v>
      </c>
      <c r="H179" s="3">
        <v>10</v>
      </c>
      <c r="I179" s="195">
        <v>6</v>
      </c>
      <c r="J179" s="181" t="s">
        <v>24</v>
      </c>
      <c r="K179" s="185"/>
    </row>
    <row r="180" spans="6:11" x14ac:dyDescent="0.3">
      <c r="F180" s="244">
        <f>ROW()-ROW(APORTACIONESOCIOS[[#Headers],[SECUENCIA]])</f>
        <v>176</v>
      </c>
      <c r="G180" s="117">
        <v>45184</v>
      </c>
      <c r="H180" s="3">
        <v>10</v>
      </c>
      <c r="I180" s="195">
        <v>7</v>
      </c>
      <c r="J180" s="181" t="s">
        <v>15</v>
      </c>
      <c r="K180" s="185"/>
    </row>
    <row r="181" spans="6:11" x14ac:dyDescent="0.3">
      <c r="F181" s="244">
        <f>ROW()-ROW(APORTACIONESOCIOS[[#Headers],[SECUENCIA]])</f>
        <v>177</v>
      </c>
      <c r="G181" s="117">
        <v>45184</v>
      </c>
      <c r="H181" s="3">
        <v>10</v>
      </c>
      <c r="I181" s="195">
        <v>8</v>
      </c>
      <c r="J181" s="181" t="s">
        <v>16</v>
      </c>
      <c r="K181" s="185"/>
    </row>
    <row r="182" spans="6:11" x14ac:dyDescent="0.3">
      <c r="F182" s="244">
        <f>ROW()-ROW(APORTACIONESOCIOS[[#Headers],[SECUENCIA]])</f>
        <v>178</v>
      </c>
      <c r="G182" s="117">
        <v>45184</v>
      </c>
      <c r="H182" s="3">
        <v>10</v>
      </c>
      <c r="I182" s="195">
        <v>9</v>
      </c>
      <c r="J182" s="181" t="s">
        <v>17</v>
      </c>
      <c r="K182" s="185"/>
    </row>
    <row r="183" spans="6:11" x14ac:dyDescent="0.3">
      <c r="F183" s="244">
        <f>ROW()-ROW(APORTACIONESOCIOS[[#Headers],[SECUENCIA]])</f>
        <v>179</v>
      </c>
      <c r="G183" s="117">
        <v>45184</v>
      </c>
      <c r="H183" s="3">
        <v>10</v>
      </c>
      <c r="I183" s="195">
        <v>10</v>
      </c>
      <c r="J183" s="181" t="s">
        <v>18</v>
      </c>
      <c r="K183" s="185"/>
    </row>
    <row r="184" spans="6:11" x14ac:dyDescent="0.3">
      <c r="F184" s="244">
        <f>ROW()-ROW(APORTACIONESOCIOS[[#Headers],[SECUENCIA]])</f>
        <v>180</v>
      </c>
      <c r="G184" s="117">
        <v>45184</v>
      </c>
      <c r="H184" s="3">
        <v>10</v>
      </c>
      <c r="I184" s="195">
        <v>11</v>
      </c>
      <c r="J184" s="181" t="s">
        <v>19</v>
      </c>
      <c r="K184" s="185"/>
    </row>
    <row r="185" spans="6:11" x14ac:dyDescent="0.3">
      <c r="F185" s="244">
        <f>ROW()-ROW(APORTACIONESOCIOS[[#Headers],[SECUENCIA]])</f>
        <v>181</v>
      </c>
      <c r="G185" s="117">
        <v>45184</v>
      </c>
      <c r="H185" s="3">
        <v>10</v>
      </c>
      <c r="I185" s="195">
        <v>12</v>
      </c>
      <c r="J185" s="181" t="s">
        <v>20</v>
      </c>
      <c r="K185" s="185"/>
    </row>
    <row r="186" spans="6:11" x14ac:dyDescent="0.3">
      <c r="F186" s="244">
        <f>ROW()-ROW(APORTACIONESOCIOS[[#Headers],[SECUENCIA]])</f>
        <v>182</v>
      </c>
      <c r="G186" s="117">
        <v>45184</v>
      </c>
      <c r="H186" s="3">
        <v>10</v>
      </c>
      <c r="I186" s="195">
        <v>14</v>
      </c>
      <c r="J186" s="181" t="s">
        <v>21</v>
      </c>
      <c r="K186" s="185"/>
    </row>
    <row r="187" spans="6:11" x14ac:dyDescent="0.3">
      <c r="F187" s="244">
        <f>ROW()-ROW(APORTACIONESOCIOS[[#Headers],[SECUENCIA]])</f>
        <v>183</v>
      </c>
      <c r="G187" s="117">
        <v>45184</v>
      </c>
      <c r="H187" s="3">
        <v>10</v>
      </c>
      <c r="I187" s="195">
        <v>15</v>
      </c>
      <c r="J187" s="181" t="s">
        <v>22</v>
      </c>
      <c r="K187" s="185"/>
    </row>
    <row r="188" spans="6:11" x14ac:dyDescent="0.3">
      <c r="F188" s="244">
        <f>ROW()-ROW(APORTACIONESOCIOS[[#Headers],[SECUENCIA]])</f>
        <v>184</v>
      </c>
      <c r="G188" s="117">
        <v>45184</v>
      </c>
      <c r="H188" s="3">
        <v>10</v>
      </c>
      <c r="I188" s="195">
        <v>16</v>
      </c>
      <c r="J188" s="181" t="s">
        <v>23</v>
      </c>
      <c r="K188" s="185"/>
    </row>
    <row r="189" spans="6:11" x14ac:dyDescent="0.3">
      <c r="F189" s="244">
        <f>ROW()-ROW(APORTACIONESOCIOS[[#Headers],[SECUENCIA]])</f>
        <v>185</v>
      </c>
      <c r="G189" s="130">
        <v>45214</v>
      </c>
      <c r="H189" s="3">
        <v>10</v>
      </c>
      <c r="I189" s="195">
        <v>3</v>
      </c>
      <c r="J189" s="181" t="s">
        <v>13</v>
      </c>
      <c r="K189" s="185"/>
    </row>
    <row r="190" spans="6:11" x14ac:dyDescent="0.3">
      <c r="F190" s="245">
        <f>ROW()-ROW(APORTACIONESOCIOS[[#Headers],[SECUENCIA]])</f>
        <v>186</v>
      </c>
      <c r="G190" s="117">
        <v>45214</v>
      </c>
      <c r="H190" s="3">
        <v>10</v>
      </c>
      <c r="I190" s="195">
        <v>4</v>
      </c>
      <c r="J190" s="181" t="s">
        <v>12</v>
      </c>
      <c r="K190" s="187"/>
    </row>
    <row r="191" spans="6:11" x14ac:dyDescent="0.3">
      <c r="F191" s="244">
        <f>ROW()-ROW(APORTACIONESOCIOS[[#Headers],[SECUENCIA]])</f>
        <v>187</v>
      </c>
      <c r="G191" s="117">
        <v>45214</v>
      </c>
      <c r="H191" s="3">
        <v>10</v>
      </c>
      <c r="I191" s="195">
        <v>5</v>
      </c>
      <c r="J191" s="181" t="s">
        <v>14</v>
      </c>
      <c r="K191" s="185"/>
    </row>
    <row r="192" spans="6:11" x14ac:dyDescent="0.3">
      <c r="F192" s="244">
        <f>ROW()-ROW(APORTACIONESOCIOS[[#Headers],[SECUENCIA]])</f>
        <v>188</v>
      </c>
      <c r="G192" s="117">
        <v>45214</v>
      </c>
      <c r="H192" s="3">
        <v>10</v>
      </c>
      <c r="I192" s="195">
        <v>6</v>
      </c>
      <c r="J192" s="181" t="s">
        <v>24</v>
      </c>
      <c r="K192" s="185"/>
    </row>
    <row r="193" spans="6:11" x14ac:dyDescent="0.3">
      <c r="F193" s="244">
        <f>ROW()-ROW(APORTACIONESOCIOS[[#Headers],[SECUENCIA]])</f>
        <v>189</v>
      </c>
      <c r="G193" s="117">
        <v>45214</v>
      </c>
      <c r="H193" s="3">
        <v>10</v>
      </c>
      <c r="I193" s="195">
        <v>7</v>
      </c>
      <c r="J193" s="181" t="s">
        <v>15</v>
      </c>
      <c r="K193" s="185"/>
    </row>
    <row r="194" spans="6:11" x14ac:dyDescent="0.3">
      <c r="F194" s="244">
        <f>ROW()-ROW(APORTACIONESOCIOS[[#Headers],[SECUENCIA]])</f>
        <v>190</v>
      </c>
      <c r="G194" s="117">
        <v>45214</v>
      </c>
      <c r="H194" s="3">
        <v>10</v>
      </c>
      <c r="I194" s="195">
        <v>8</v>
      </c>
      <c r="J194" s="181" t="s">
        <v>16</v>
      </c>
      <c r="K194" s="185"/>
    </row>
    <row r="195" spans="6:11" x14ac:dyDescent="0.3">
      <c r="F195" s="244">
        <f>ROW()-ROW(APORTACIONESOCIOS[[#Headers],[SECUENCIA]])</f>
        <v>191</v>
      </c>
      <c r="G195" s="117">
        <v>45214</v>
      </c>
      <c r="H195" s="3">
        <v>10</v>
      </c>
      <c r="I195" s="195">
        <v>9</v>
      </c>
      <c r="J195" s="181" t="s">
        <v>17</v>
      </c>
      <c r="K195" s="185"/>
    </row>
    <row r="196" spans="6:11" x14ac:dyDescent="0.3">
      <c r="F196" s="244">
        <f>ROW()-ROW(APORTACIONESOCIOS[[#Headers],[SECUENCIA]])</f>
        <v>192</v>
      </c>
      <c r="G196" s="117">
        <v>45214</v>
      </c>
      <c r="H196" s="3">
        <v>10</v>
      </c>
      <c r="I196" s="195">
        <v>10</v>
      </c>
      <c r="J196" s="181" t="s">
        <v>18</v>
      </c>
      <c r="K196" s="185"/>
    </row>
    <row r="197" spans="6:11" x14ac:dyDescent="0.3">
      <c r="F197" s="244">
        <f>ROW()-ROW(APORTACIONESOCIOS[[#Headers],[SECUENCIA]])</f>
        <v>193</v>
      </c>
      <c r="G197" s="117">
        <v>45214</v>
      </c>
      <c r="H197" s="3">
        <v>10</v>
      </c>
      <c r="I197" s="195">
        <v>11</v>
      </c>
      <c r="J197" s="181" t="s">
        <v>19</v>
      </c>
      <c r="K197" s="185"/>
    </row>
    <row r="198" spans="6:11" x14ac:dyDescent="0.3">
      <c r="F198" s="244">
        <f>ROW()-ROW(APORTACIONESOCIOS[[#Headers],[SECUENCIA]])</f>
        <v>194</v>
      </c>
      <c r="G198" s="117">
        <v>45214</v>
      </c>
      <c r="H198" s="3">
        <v>10</v>
      </c>
      <c r="I198" s="195">
        <v>12</v>
      </c>
      <c r="J198" s="181" t="s">
        <v>20</v>
      </c>
      <c r="K198" s="185"/>
    </row>
    <row r="199" spans="6:11" x14ac:dyDescent="0.3">
      <c r="F199" s="244">
        <f>ROW()-ROW(APORTACIONESOCIOS[[#Headers],[SECUENCIA]])</f>
        <v>195</v>
      </c>
      <c r="G199" s="117">
        <v>45214</v>
      </c>
      <c r="H199" s="3">
        <v>10</v>
      </c>
      <c r="I199" s="195">
        <v>14</v>
      </c>
      <c r="J199" s="181" t="s">
        <v>21</v>
      </c>
      <c r="K199" s="185"/>
    </row>
    <row r="200" spans="6:11" x14ac:dyDescent="0.3">
      <c r="F200" s="244">
        <f>ROW()-ROW(APORTACIONESOCIOS[[#Headers],[SECUENCIA]])</f>
        <v>196</v>
      </c>
      <c r="G200" s="117">
        <v>45214</v>
      </c>
      <c r="H200" s="3">
        <v>10</v>
      </c>
      <c r="I200" s="195">
        <v>15</v>
      </c>
      <c r="J200" s="181" t="s">
        <v>22</v>
      </c>
      <c r="K200" s="185"/>
    </row>
    <row r="201" spans="6:11" x14ac:dyDescent="0.3">
      <c r="F201" s="244">
        <f>ROW()-ROW(APORTACIONESOCIOS[[#Headers],[SECUENCIA]])</f>
        <v>197</v>
      </c>
      <c r="G201" s="117">
        <v>45214</v>
      </c>
      <c r="H201" s="3">
        <v>10</v>
      </c>
      <c r="I201" s="195">
        <v>16</v>
      </c>
      <c r="J201" s="181" t="s">
        <v>23</v>
      </c>
      <c r="K201" s="185"/>
    </row>
    <row r="202" spans="6:11" x14ac:dyDescent="0.3">
      <c r="F202" s="244">
        <f>ROW()-ROW(APORTACIONESOCIOS[[#Headers],[SECUENCIA]])</f>
        <v>198</v>
      </c>
      <c r="G202" s="130">
        <v>45245</v>
      </c>
      <c r="H202" s="3">
        <v>10</v>
      </c>
      <c r="I202" s="195">
        <v>3</v>
      </c>
      <c r="J202" s="181" t="s">
        <v>13</v>
      </c>
      <c r="K202" s="185"/>
    </row>
    <row r="203" spans="6:11" x14ac:dyDescent="0.3">
      <c r="F203" s="245">
        <f>ROW()-ROW(APORTACIONESOCIOS[[#Headers],[SECUENCIA]])</f>
        <v>199</v>
      </c>
      <c r="G203" s="117">
        <v>45245</v>
      </c>
      <c r="H203" s="3">
        <v>10</v>
      </c>
      <c r="I203" s="195">
        <v>4</v>
      </c>
      <c r="J203" s="181" t="s">
        <v>12</v>
      </c>
      <c r="K203" s="187"/>
    </row>
    <row r="204" spans="6:11" x14ac:dyDescent="0.3">
      <c r="F204" s="244">
        <f>ROW()-ROW(APORTACIONESOCIOS[[#Headers],[SECUENCIA]])</f>
        <v>200</v>
      </c>
      <c r="G204" s="117">
        <v>45245</v>
      </c>
      <c r="H204" s="3">
        <v>10</v>
      </c>
      <c r="I204" s="195">
        <v>5</v>
      </c>
      <c r="J204" s="181" t="s">
        <v>14</v>
      </c>
      <c r="K204" s="185"/>
    </row>
    <row r="205" spans="6:11" x14ac:dyDescent="0.3">
      <c r="F205" s="244">
        <f>ROW()-ROW(APORTACIONESOCIOS[[#Headers],[SECUENCIA]])</f>
        <v>201</v>
      </c>
      <c r="G205" s="117">
        <v>45245</v>
      </c>
      <c r="H205" s="3">
        <v>10</v>
      </c>
      <c r="I205" s="195">
        <v>6</v>
      </c>
      <c r="J205" s="181" t="s">
        <v>24</v>
      </c>
      <c r="K205" s="185"/>
    </row>
    <row r="206" spans="6:11" x14ac:dyDescent="0.3">
      <c r="F206" s="244">
        <f>ROW()-ROW(APORTACIONESOCIOS[[#Headers],[SECUENCIA]])</f>
        <v>202</v>
      </c>
      <c r="G206" s="117">
        <v>45245</v>
      </c>
      <c r="H206" s="3">
        <v>10</v>
      </c>
      <c r="I206" s="195">
        <v>7</v>
      </c>
      <c r="J206" s="181" t="s">
        <v>15</v>
      </c>
      <c r="K206" s="185"/>
    </row>
    <row r="207" spans="6:11" x14ac:dyDescent="0.3">
      <c r="F207" s="244">
        <f>ROW()-ROW(APORTACIONESOCIOS[[#Headers],[SECUENCIA]])</f>
        <v>203</v>
      </c>
      <c r="G207" s="117">
        <v>45245</v>
      </c>
      <c r="H207" s="3">
        <v>10</v>
      </c>
      <c r="I207" s="195">
        <v>8</v>
      </c>
      <c r="J207" s="181" t="s">
        <v>16</v>
      </c>
      <c r="K207" s="185"/>
    </row>
    <row r="208" spans="6:11" x14ac:dyDescent="0.3">
      <c r="F208" s="244">
        <f>ROW()-ROW(APORTACIONESOCIOS[[#Headers],[SECUENCIA]])</f>
        <v>204</v>
      </c>
      <c r="G208" s="117">
        <v>45245</v>
      </c>
      <c r="H208" s="3">
        <v>10</v>
      </c>
      <c r="I208" s="195">
        <v>9</v>
      </c>
      <c r="J208" s="181" t="s">
        <v>17</v>
      </c>
      <c r="K208" s="185"/>
    </row>
    <row r="209" spans="6:11" x14ac:dyDescent="0.3">
      <c r="F209" s="244">
        <f>ROW()-ROW(APORTACIONESOCIOS[[#Headers],[SECUENCIA]])</f>
        <v>205</v>
      </c>
      <c r="G209" s="117">
        <v>45245</v>
      </c>
      <c r="H209" s="3">
        <v>10</v>
      </c>
      <c r="I209" s="195">
        <v>10</v>
      </c>
      <c r="J209" s="181" t="s">
        <v>18</v>
      </c>
      <c r="K209" s="185"/>
    </row>
    <row r="210" spans="6:11" x14ac:dyDescent="0.3">
      <c r="F210" s="244">
        <f>ROW()-ROW(APORTACIONESOCIOS[[#Headers],[SECUENCIA]])</f>
        <v>206</v>
      </c>
      <c r="G210" s="117">
        <v>45245</v>
      </c>
      <c r="H210" s="3">
        <v>10</v>
      </c>
      <c r="I210" s="195">
        <v>11</v>
      </c>
      <c r="J210" s="181" t="s">
        <v>19</v>
      </c>
      <c r="K210" s="185"/>
    </row>
    <row r="211" spans="6:11" x14ac:dyDescent="0.3">
      <c r="F211" s="244">
        <f>ROW()-ROW(APORTACIONESOCIOS[[#Headers],[SECUENCIA]])</f>
        <v>207</v>
      </c>
      <c r="G211" s="117">
        <v>45245</v>
      </c>
      <c r="H211" s="3">
        <v>10</v>
      </c>
      <c r="I211" s="195">
        <v>12</v>
      </c>
      <c r="J211" s="181" t="s">
        <v>20</v>
      </c>
      <c r="K211" s="185"/>
    </row>
    <row r="212" spans="6:11" x14ac:dyDescent="0.3">
      <c r="F212" s="244">
        <f>ROW()-ROW(APORTACIONESOCIOS[[#Headers],[SECUENCIA]])</f>
        <v>208</v>
      </c>
      <c r="G212" s="117">
        <v>45245</v>
      </c>
      <c r="H212" s="3">
        <v>10</v>
      </c>
      <c r="I212" s="195">
        <v>14</v>
      </c>
      <c r="J212" s="181" t="s">
        <v>21</v>
      </c>
      <c r="K212" s="185"/>
    </row>
    <row r="213" spans="6:11" x14ac:dyDescent="0.3">
      <c r="F213" s="244">
        <f>ROW()-ROW(APORTACIONESOCIOS[[#Headers],[SECUENCIA]])</f>
        <v>209</v>
      </c>
      <c r="G213" s="117">
        <v>45245</v>
      </c>
      <c r="H213" s="3">
        <v>10</v>
      </c>
      <c r="I213" s="195">
        <v>15</v>
      </c>
      <c r="J213" s="181" t="s">
        <v>22</v>
      </c>
      <c r="K213" s="185"/>
    </row>
    <row r="214" spans="6:11" x14ac:dyDescent="0.3">
      <c r="F214" s="244">
        <f>ROW()-ROW(APORTACIONESOCIOS[[#Headers],[SECUENCIA]])</f>
        <v>210</v>
      </c>
      <c r="G214" s="117">
        <v>45245</v>
      </c>
      <c r="H214" s="3">
        <v>10</v>
      </c>
      <c r="I214" s="195">
        <v>16</v>
      </c>
      <c r="J214" s="181" t="s">
        <v>23</v>
      </c>
      <c r="K214" s="185"/>
    </row>
    <row r="215" spans="6:11" x14ac:dyDescent="0.3">
      <c r="F215" s="244">
        <f>ROW()-ROW(APORTACIONESOCIOS[[#Headers],[SECUENCIA]])</f>
        <v>211</v>
      </c>
      <c r="G215" s="130">
        <v>45275</v>
      </c>
      <c r="H215" s="3">
        <v>10</v>
      </c>
      <c r="I215" s="195">
        <v>3</v>
      </c>
      <c r="J215" s="181" t="s">
        <v>13</v>
      </c>
      <c r="K215" s="185"/>
    </row>
    <row r="216" spans="6:11" x14ac:dyDescent="0.3">
      <c r="F216" s="245">
        <f>ROW()-ROW(APORTACIONESOCIOS[[#Headers],[SECUENCIA]])</f>
        <v>212</v>
      </c>
      <c r="G216" s="117">
        <v>45275</v>
      </c>
      <c r="H216" s="3">
        <v>10</v>
      </c>
      <c r="I216" s="195">
        <v>4</v>
      </c>
      <c r="J216" s="181" t="s">
        <v>12</v>
      </c>
      <c r="K216" s="187"/>
    </row>
    <row r="217" spans="6:11" x14ac:dyDescent="0.3">
      <c r="F217" s="244">
        <f>ROW()-ROW(APORTACIONESOCIOS[[#Headers],[SECUENCIA]])</f>
        <v>213</v>
      </c>
      <c r="G217" s="117">
        <v>45275</v>
      </c>
      <c r="H217" s="3">
        <v>10</v>
      </c>
      <c r="I217" s="195">
        <v>5</v>
      </c>
      <c r="J217" s="181" t="s">
        <v>14</v>
      </c>
      <c r="K217" s="185"/>
    </row>
    <row r="218" spans="6:11" x14ac:dyDescent="0.3">
      <c r="F218" s="244">
        <f>ROW()-ROW(APORTACIONESOCIOS[[#Headers],[SECUENCIA]])</f>
        <v>214</v>
      </c>
      <c r="G218" s="117">
        <v>45275</v>
      </c>
      <c r="H218" s="3">
        <v>10</v>
      </c>
      <c r="I218" s="195">
        <v>6</v>
      </c>
      <c r="J218" s="181" t="s">
        <v>24</v>
      </c>
      <c r="K218" s="185"/>
    </row>
    <row r="219" spans="6:11" x14ac:dyDescent="0.3">
      <c r="F219" s="244">
        <f>ROW()-ROW(APORTACIONESOCIOS[[#Headers],[SECUENCIA]])</f>
        <v>215</v>
      </c>
      <c r="G219" s="117">
        <v>45275</v>
      </c>
      <c r="H219" s="3">
        <v>10</v>
      </c>
      <c r="I219" s="195">
        <v>7</v>
      </c>
      <c r="J219" s="181" t="s">
        <v>15</v>
      </c>
      <c r="K219" s="185"/>
    </row>
    <row r="220" spans="6:11" x14ac:dyDescent="0.3">
      <c r="F220" s="244">
        <f>ROW()-ROW(APORTACIONESOCIOS[[#Headers],[SECUENCIA]])</f>
        <v>216</v>
      </c>
      <c r="G220" s="117">
        <v>45275</v>
      </c>
      <c r="H220" s="3">
        <v>10</v>
      </c>
      <c r="I220" s="195">
        <v>8</v>
      </c>
      <c r="J220" s="181" t="s">
        <v>16</v>
      </c>
      <c r="K220" s="185"/>
    </row>
    <row r="221" spans="6:11" x14ac:dyDescent="0.3">
      <c r="F221" s="244">
        <f>ROW()-ROW(APORTACIONESOCIOS[[#Headers],[SECUENCIA]])</f>
        <v>217</v>
      </c>
      <c r="G221" s="117">
        <v>45275</v>
      </c>
      <c r="H221" s="3">
        <v>10</v>
      </c>
      <c r="I221" s="195">
        <v>9</v>
      </c>
      <c r="J221" s="181" t="s">
        <v>17</v>
      </c>
      <c r="K221" s="185"/>
    </row>
    <row r="222" spans="6:11" x14ac:dyDescent="0.3">
      <c r="F222" s="244">
        <f>ROW()-ROW(APORTACIONESOCIOS[[#Headers],[SECUENCIA]])</f>
        <v>218</v>
      </c>
      <c r="G222" s="117">
        <v>45275</v>
      </c>
      <c r="H222" s="3">
        <v>10</v>
      </c>
      <c r="I222" s="195">
        <v>10</v>
      </c>
      <c r="J222" s="181" t="s">
        <v>18</v>
      </c>
      <c r="K222" s="185"/>
    </row>
    <row r="223" spans="6:11" x14ac:dyDescent="0.3">
      <c r="F223" s="244">
        <f>ROW()-ROW(APORTACIONESOCIOS[[#Headers],[SECUENCIA]])</f>
        <v>219</v>
      </c>
      <c r="G223" s="117">
        <v>45275</v>
      </c>
      <c r="H223" s="3">
        <v>10</v>
      </c>
      <c r="I223" s="195">
        <v>11</v>
      </c>
      <c r="J223" s="181" t="s">
        <v>19</v>
      </c>
      <c r="K223" s="185"/>
    </row>
    <row r="224" spans="6:11" x14ac:dyDescent="0.3">
      <c r="F224" s="244">
        <f>ROW()-ROW(APORTACIONESOCIOS[[#Headers],[SECUENCIA]])</f>
        <v>220</v>
      </c>
      <c r="G224" s="117">
        <v>45275</v>
      </c>
      <c r="H224" s="3">
        <v>10</v>
      </c>
      <c r="I224" s="195">
        <v>12</v>
      </c>
      <c r="J224" s="181" t="s">
        <v>20</v>
      </c>
      <c r="K224" s="185"/>
    </row>
    <row r="225" spans="6:11" x14ac:dyDescent="0.3">
      <c r="F225" s="244">
        <f>ROW()-ROW(APORTACIONESOCIOS[[#Headers],[SECUENCIA]])</f>
        <v>221</v>
      </c>
      <c r="G225" s="117">
        <v>45275</v>
      </c>
      <c r="H225" s="3">
        <v>10</v>
      </c>
      <c r="I225" s="195">
        <v>14</v>
      </c>
      <c r="J225" s="181" t="s">
        <v>21</v>
      </c>
      <c r="K225" s="185"/>
    </row>
    <row r="226" spans="6:11" x14ac:dyDescent="0.3">
      <c r="F226" s="244">
        <f>ROW()-ROW(APORTACIONESOCIOS[[#Headers],[SECUENCIA]])</f>
        <v>222</v>
      </c>
      <c r="G226" s="117">
        <v>45275</v>
      </c>
      <c r="H226" s="3">
        <v>10</v>
      </c>
      <c r="I226" s="195">
        <v>15</v>
      </c>
      <c r="J226" s="181" t="s">
        <v>22</v>
      </c>
      <c r="K226" s="185"/>
    </row>
    <row r="227" spans="6:11" x14ac:dyDescent="0.3">
      <c r="F227" s="244">
        <f>ROW()-ROW(APORTACIONESOCIOS[[#Headers],[SECUENCIA]])</f>
        <v>223</v>
      </c>
      <c r="G227" s="117">
        <v>45275</v>
      </c>
      <c r="H227" s="3">
        <v>10</v>
      </c>
      <c r="I227" s="195">
        <v>16</v>
      </c>
      <c r="J227" s="181" t="s">
        <v>23</v>
      </c>
      <c r="K227" s="185"/>
    </row>
    <row r="228" spans="6:11" x14ac:dyDescent="0.3">
      <c r="F228" s="244">
        <f>ROW()-ROW(APORTACIONESOCIOS[[#Headers],[SECUENCIA]])</f>
        <v>224</v>
      </c>
      <c r="G228" s="117">
        <v>45306</v>
      </c>
      <c r="H228" s="3">
        <v>10</v>
      </c>
      <c r="I228" s="195">
        <v>3</v>
      </c>
      <c r="J228" s="181" t="s">
        <v>13</v>
      </c>
      <c r="K228" s="185"/>
    </row>
    <row r="229" spans="6:11" x14ac:dyDescent="0.3">
      <c r="F229" s="244">
        <f>ROW()-ROW(APORTACIONESOCIOS[[#Headers],[SECUENCIA]])</f>
        <v>225</v>
      </c>
      <c r="G229" s="117">
        <v>45306</v>
      </c>
      <c r="H229" s="3">
        <v>10</v>
      </c>
      <c r="I229" s="195">
        <v>4</v>
      </c>
      <c r="J229" s="181" t="s">
        <v>12</v>
      </c>
      <c r="K229" s="185"/>
    </row>
    <row r="230" spans="6:11" x14ac:dyDescent="0.3">
      <c r="F230" s="244">
        <f>ROW()-ROW(APORTACIONESOCIOS[[#Headers],[SECUENCIA]])</f>
        <v>226</v>
      </c>
      <c r="G230" s="117">
        <v>45306</v>
      </c>
      <c r="H230" s="3">
        <v>10</v>
      </c>
      <c r="I230" s="195">
        <v>5</v>
      </c>
      <c r="J230" s="181" t="s">
        <v>14</v>
      </c>
      <c r="K230" s="185"/>
    </row>
    <row r="231" spans="6:11" x14ac:dyDescent="0.3">
      <c r="F231" s="244">
        <f>ROW()-ROW(APORTACIONESOCIOS[[#Headers],[SECUENCIA]])</f>
        <v>227</v>
      </c>
      <c r="G231" s="117">
        <v>45306</v>
      </c>
      <c r="H231" s="3">
        <v>10</v>
      </c>
      <c r="I231" s="195">
        <v>6</v>
      </c>
      <c r="J231" s="181" t="s">
        <v>24</v>
      </c>
      <c r="K231" s="185"/>
    </row>
    <row r="232" spans="6:11" x14ac:dyDescent="0.3">
      <c r="F232" s="244">
        <f>ROW()-ROW(APORTACIONESOCIOS[[#Headers],[SECUENCIA]])</f>
        <v>228</v>
      </c>
      <c r="G232" s="117">
        <v>45306</v>
      </c>
      <c r="H232" s="3">
        <v>10</v>
      </c>
      <c r="I232" s="195">
        <v>7</v>
      </c>
      <c r="J232" s="181" t="s">
        <v>15</v>
      </c>
      <c r="K232" s="185"/>
    </row>
    <row r="233" spans="6:11" x14ac:dyDescent="0.3">
      <c r="F233" s="244">
        <f>ROW()-ROW(APORTACIONESOCIOS[[#Headers],[SECUENCIA]])</f>
        <v>229</v>
      </c>
      <c r="G233" s="117">
        <v>45306</v>
      </c>
      <c r="H233" s="3">
        <v>10</v>
      </c>
      <c r="I233" s="195">
        <v>8</v>
      </c>
      <c r="J233" s="181" t="s">
        <v>16</v>
      </c>
      <c r="K233" s="185"/>
    </row>
    <row r="234" spans="6:11" x14ac:dyDescent="0.3">
      <c r="F234" s="244">
        <f>ROW()-ROW(APORTACIONESOCIOS[[#Headers],[SECUENCIA]])</f>
        <v>230</v>
      </c>
      <c r="G234" s="117">
        <v>45306</v>
      </c>
      <c r="H234" s="3">
        <v>10</v>
      </c>
      <c r="I234" s="195">
        <v>9</v>
      </c>
      <c r="J234" s="181" t="s">
        <v>17</v>
      </c>
      <c r="K234" s="185"/>
    </row>
    <row r="235" spans="6:11" x14ac:dyDescent="0.3">
      <c r="F235" s="244">
        <f>ROW()-ROW(APORTACIONESOCIOS[[#Headers],[SECUENCIA]])</f>
        <v>231</v>
      </c>
      <c r="G235" s="117">
        <v>45306</v>
      </c>
      <c r="H235" s="3">
        <v>10</v>
      </c>
      <c r="I235" s="195">
        <v>10</v>
      </c>
      <c r="J235" s="181" t="s">
        <v>18</v>
      </c>
      <c r="K235" s="185"/>
    </row>
    <row r="236" spans="6:11" x14ac:dyDescent="0.3">
      <c r="F236" s="244">
        <f>ROW()-ROW(APORTACIONESOCIOS[[#Headers],[SECUENCIA]])</f>
        <v>232</v>
      </c>
      <c r="G236" s="117">
        <v>45306</v>
      </c>
      <c r="H236" s="3">
        <v>10</v>
      </c>
      <c r="I236" s="195">
        <v>11</v>
      </c>
      <c r="J236" s="181" t="s">
        <v>19</v>
      </c>
      <c r="K236" s="185"/>
    </row>
    <row r="237" spans="6:11" x14ac:dyDescent="0.3">
      <c r="F237" s="244">
        <f>ROW()-ROW(APORTACIONESOCIOS[[#Headers],[SECUENCIA]])</f>
        <v>233</v>
      </c>
      <c r="G237" s="117">
        <v>45306</v>
      </c>
      <c r="H237" s="3">
        <v>10</v>
      </c>
      <c r="I237" s="195">
        <v>12</v>
      </c>
      <c r="J237" s="181" t="s">
        <v>20</v>
      </c>
      <c r="K237" s="185"/>
    </row>
    <row r="238" spans="6:11" x14ac:dyDescent="0.3">
      <c r="F238" s="244">
        <f>ROW()-ROW(APORTACIONESOCIOS[[#Headers],[SECUENCIA]])</f>
        <v>234</v>
      </c>
      <c r="G238" s="117">
        <v>45306</v>
      </c>
      <c r="H238" s="3">
        <v>10</v>
      </c>
      <c r="I238" s="195">
        <v>14</v>
      </c>
      <c r="J238" s="181" t="s">
        <v>21</v>
      </c>
      <c r="K238" s="185"/>
    </row>
    <row r="239" spans="6:11" x14ac:dyDescent="0.3">
      <c r="F239" s="244">
        <f>ROW()-ROW(APORTACIONESOCIOS[[#Headers],[SECUENCIA]])</f>
        <v>235</v>
      </c>
      <c r="G239" s="117">
        <v>45306</v>
      </c>
      <c r="H239" s="3">
        <v>10</v>
      </c>
      <c r="I239" s="195">
        <v>15</v>
      </c>
      <c r="J239" s="181" t="s">
        <v>22</v>
      </c>
      <c r="K239" s="185"/>
    </row>
    <row r="240" spans="6:11" x14ac:dyDescent="0.3">
      <c r="F240" s="244">
        <f>ROW()-ROW(APORTACIONESOCIOS[[#Headers],[SECUENCIA]])</f>
        <v>236</v>
      </c>
      <c r="G240" s="117">
        <v>45306</v>
      </c>
      <c r="H240" s="3">
        <v>10</v>
      </c>
      <c r="I240" s="195">
        <v>16</v>
      </c>
      <c r="J240" s="181" t="s">
        <v>23</v>
      </c>
      <c r="K240" s="185"/>
    </row>
    <row r="241" spans="6:11" x14ac:dyDescent="0.3">
      <c r="F241" s="244">
        <f>ROW()-ROW(APORTACIONESOCIOS[[#Headers],[SECUENCIA]])</f>
        <v>237</v>
      </c>
      <c r="G241" s="117">
        <v>45337</v>
      </c>
      <c r="H241" s="3">
        <v>10</v>
      </c>
      <c r="I241" s="195">
        <v>3</v>
      </c>
      <c r="J241" s="181" t="s">
        <v>13</v>
      </c>
      <c r="K241" s="185"/>
    </row>
    <row r="242" spans="6:11" x14ac:dyDescent="0.3">
      <c r="F242" s="244">
        <f>ROW()-ROW(APORTACIONESOCIOS[[#Headers],[SECUENCIA]])</f>
        <v>238</v>
      </c>
      <c r="G242" s="117">
        <v>45337</v>
      </c>
      <c r="H242" s="3">
        <v>10</v>
      </c>
      <c r="I242" s="195">
        <v>4</v>
      </c>
      <c r="J242" s="181" t="s">
        <v>12</v>
      </c>
      <c r="K242" s="185"/>
    </row>
    <row r="243" spans="6:11" x14ac:dyDescent="0.3">
      <c r="F243" s="244">
        <f>ROW()-ROW(APORTACIONESOCIOS[[#Headers],[SECUENCIA]])</f>
        <v>239</v>
      </c>
      <c r="G243" s="117">
        <v>45337</v>
      </c>
      <c r="H243" s="3">
        <v>10</v>
      </c>
      <c r="I243" s="195">
        <v>5</v>
      </c>
      <c r="J243" s="181" t="s">
        <v>14</v>
      </c>
      <c r="K243" s="185"/>
    </row>
    <row r="244" spans="6:11" x14ac:dyDescent="0.3">
      <c r="F244" s="244">
        <f>ROW()-ROW(APORTACIONESOCIOS[[#Headers],[SECUENCIA]])</f>
        <v>240</v>
      </c>
      <c r="G244" s="117">
        <v>45337</v>
      </c>
      <c r="H244" s="3">
        <v>10</v>
      </c>
      <c r="I244" s="195">
        <v>6</v>
      </c>
      <c r="J244" s="181" t="s">
        <v>24</v>
      </c>
      <c r="K244" s="185"/>
    </row>
    <row r="245" spans="6:11" x14ac:dyDescent="0.3">
      <c r="F245" s="244">
        <f>ROW()-ROW(APORTACIONESOCIOS[[#Headers],[SECUENCIA]])</f>
        <v>241</v>
      </c>
      <c r="G245" s="117">
        <v>45337</v>
      </c>
      <c r="H245" s="3">
        <v>10</v>
      </c>
      <c r="I245" s="195">
        <v>7</v>
      </c>
      <c r="J245" s="181" t="s">
        <v>15</v>
      </c>
      <c r="K245" s="185"/>
    </row>
    <row r="246" spans="6:11" x14ac:dyDescent="0.3">
      <c r="F246" s="244">
        <f>ROW()-ROW(APORTACIONESOCIOS[[#Headers],[SECUENCIA]])</f>
        <v>242</v>
      </c>
      <c r="G246" s="117">
        <v>45337</v>
      </c>
      <c r="H246" s="3">
        <v>10</v>
      </c>
      <c r="I246" s="195">
        <v>8</v>
      </c>
      <c r="J246" s="181" t="s">
        <v>16</v>
      </c>
      <c r="K246" s="185"/>
    </row>
    <row r="247" spans="6:11" x14ac:dyDescent="0.3">
      <c r="F247" s="244">
        <f>ROW()-ROW(APORTACIONESOCIOS[[#Headers],[SECUENCIA]])</f>
        <v>243</v>
      </c>
      <c r="G247" s="117">
        <v>45337</v>
      </c>
      <c r="H247" s="3">
        <v>10</v>
      </c>
      <c r="I247" s="195">
        <v>9</v>
      </c>
      <c r="J247" s="181" t="s">
        <v>17</v>
      </c>
      <c r="K247" s="185"/>
    </row>
    <row r="248" spans="6:11" x14ac:dyDescent="0.3">
      <c r="F248" s="244">
        <f>ROW()-ROW(APORTACIONESOCIOS[[#Headers],[SECUENCIA]])</f>
        <v>244</v>
      </c>
      <c r="G248" s="117">
        <v>45337</v>
      </c>
      <c r="H248" s="3">
        <v>10</v>
      </c>
      <c r="I248" s="195">
        <v>10</v>
      </c>
      <c r="J248" s="181" t="s">
        <v>18</v>
      </c>
      <c r="K248" s="185"/>
    </row>
    <row r="249" spans="6:11" x14ac:dyDescent="0.3">
      <c r="F249" s="244">
        <f>ROW()-ROW(APORTACIONESOCIOS[[#Headers],[SECUENCIA]])</f>
        <v>245</v>
      </c>
      <c r="G249" s="117">
        <v>45337</v>
      </c>
      <c r="H249" s="3">
        <v>10</v>
      </c>
      <c r="I249" s="195">
        <v>11</v>
      </c>
      <c r="J249" s="181" t="s">
        <v>19</v>
      </c>
      <c r="K249" s="185"/>
    </row>
    <row r="250" spans="6:11" x14ac:dyDescent="0.3">
      <c r="F250" s="244">
        <f>ROW()-ROW(APORTACIONESOCIOS[[#Headers],[SECUENCIA]])</f>
        <v>246</v>
      </c>
      <c r="G250" s="117">
        <v>45337</v>
      </c>
      <c r="H250" s="3">
        <v>10</v>
      </c>
      <c r="I250" s="195">
        <v>12</v>
      </c>
      <c r="J250" s="181" t="s">
        <v>20</v>
      </c>
      <c r="K250" s="185"/>
    </row>
    <row r="251" spans="6:11" x14ac:dyDescent="0.3">
      <c r="F251" s="244">
        <f>ROW()-ROW(APORTACIONESOCIOS[[#Headers],[SECUENCIA]])</f>
        <v>247</v>
      </c>
      <c r="G251" s="117">
        <v>45337</v>
      </c>
      <c r="H251" s="3">
        <v>10</v>
      </c>
      <c r="I251" s="195">
        <v>14</v>
      </c>
      <c r="J251" s="181" t="s">
        <v>21</v>
      </c>
      <c r="K251" s="185"/>
    </row>
    <row r="252" spans="6:11" x14ac:dyDescent="0.3">
      <c r="F252" s="244">
        <f>ROW()-ROW(APORTACIONESOCIOS[[#Headers],[SECUENCIA]])</f>
        <v>248</v>
      </c>
      <c r="G252" s="117">
        <v>45337</v>
      </c>
      <c r="H252" s="3">
        <v>10</v>
      </c>
      <c r="I252" s="195">
        <v>15</v>
      </c>
      <c r="J252" s="181" t="s">
        <v>22</v>
      </c>
      <c r="K252" s="185"/>
    </row>
    <row r="253" spans="6:11" x14ac:dyDescent="0.3">
      <c r="F253" s="244">
        <f>ROW()-ROW(APORTACIONESOCIOS[[#Headers],[SECUENCIA]])</f>
        <v>249</v>
      </c>
      <c r="G253" s="117">
        <v>45337</v>
      </c>
      <c r="H253" s="3">
        <v>10</v>
      </c>
      <c r="I253" s="195">
        <v>16</v>
      </c>
      <c r="J253" s="181" t="s">
        <v>23</v>
      </c>
      <c r="K253" s="185"/>
    </row>
    <row r="254" spans="6:11" x14ac:dyDescent="0.3">
      <c r="F254" s="244">
        <f>ROW()-ROW(APORTACIONESOCIOS[[#Headers],[SECUENCIA]])</f>
        <v>250</v>
      </c>
      <c r="G254" s="130">
        <v>45366</v>
      </c>
      <c r="H254" s="3">
        <v>10</v>
      </c>
      <c r="I254" s="195">
        <v>3</v>
      </c>
      <c r="J254" s="181" t="s">
        <v>13</v>
      </c>
      <c r="K254" s="185"/>
    </row>
    <row r="255" spans="6:11" x14ac:dyDescent="0.3">
      <c r="F255" s="244">
        <f>ROW()-ROW(APORTACIONESOCIOS[[#Headers],[SECUENCIA]])</f>
        <v>251</v>
      </c>
      <c r="G255" s="117">
        <v>45366</v>
      </c>
      <c r="H255" s="3">
        <v>10</v>
      </c>
      <c r="I255" s="195">
        <v>4</v>
      </c>
      <c r="J255" s="181" t="s">
        <v>12</v>
      </c>
      <c r="K255" s="185"/>
    </row>
    <row r="256" spans="6:11" x14ac:dyDescent="0.3">
      <c r="F256" s="244">
        <f>ROW()-ROW(APORTACIONESOCIOS[[#Headers],[SECUENCIA]])</f>
        <v>252</v>
      </c>
      <c r="G256" s="117">
        <v>45366</v>
      </c>
      <c r="H256" s="3">
        <v>10</v>
      </c>
      <c r="I256" s="195">
        <v>5</v>
      </c>
      <c r="J256" s="181" t="s">
        <v>14</v>
      </c>
      <c r="K256" s="185"/>
    </row>
    <row r="257" spans="6:11" x14ac:dyDescent="0.3">
      <c r="F257" s="244">
        <f>ROW()-ROW(APORTACIONESOCIOS[[#Headers],[SECUENCIA]])</f>
        <v>253</v>
      </c>
      <c r="G257" s="117">
        <v>45366</v>
      </c>
      <c r="H257" s="3">
        <v>10</v>
      </c>
      <c r="I257" s="195">
        <v>6</v>
      </c>
      <c r="J257" s="181" t="s">
        <v>24</v>
      </c>
      <c r="K257" s="185"/>
    </row>
    <row r="258" spans="6:11" x14ac:dyDescent="0.3">
      <c r="F258" s="244">
        <f>ROW()-ROW(APORTACIONESOCIOS[[#Headers],[SECUENCIA]])</f>
        <v>254</v>
      </c>
      <c r="G258" s="117">
        <v>45366</v>
      </c>
      <c r="H258" s="3">
        <v>10</v>
      </c>
      <c r="I258" s="195">
        <v>7</v>
      </c>
      <c r="J258" s="181" t="s">
        <v>15</v>
      </c>
      <c r="K258" s="185"/>
    </row>
    <row r="259" spans="6:11" x14ac:dyDescent="0.3">
      <c r="F259" s="244">
        <f>ROW()-ROW(APORTACIONESOCIOS[[#Headers],[SECUENCIA]])</f>
        <v>255</v>
      </c>
      <c r="G259" s="117">
        <v>45366</v>
      </c>
      <c r="H259" s="3">
        <v>10</v>
      </c>
      <c r="I259" s="195">
        <v>8</v>
      </c>
      <c r="J259" s="181" t="s">
        <v>16</v>
      </c>
      <c r="K259" s="185"/>
    </row>
    <row r="260" spans="6:11" x14ac:dyDescent="0.3">
      <c r="F260" s="244">
        <f>ROW()-ROW(APORTACIONESOCIOS[[#Headers],[SECUENCIA]])</f>
        <v>256</v>
      </c>
      <c r="G260" s="117">
        <v>45366</v>
      </c>
      <c r="H260" s="3">
        <v>10</v>
      </c>
      <c r="I260" s="195">
        <v>9</v>
      </c>
      <c r="J260" s="181" t="s">
        <v>17</v>
      </c>
      <c r="K260" s="185"/>
    </row>
    <row r="261" spans="6:11" x14ac:dyDescent="0.3">
      <c r="F261" s="244">
        <f>ROW()-ROW(APORTACIONESOCIOS[[#Headers],[SECUENCIA]])</f>
        <v>257</v>
      </c>
      <c r="G261" s="117">
        <v>45366</v>
      </c>
      <c r="H261" s="3">
        <v>10</v>
      </c>
      <c r="I261" s="195">
        <v>10</v>
      </c>
      <c r="J261" s="181" t="s">
        <v>18</v>
      </c>
      <c r="K261" s="185"/>
    </row>
    <row r="262" spans="6:11" x14ac:dyDescent="0.3">
      <c r="F262" s="244">
        <f>ROW()-ROW(APORTACIONESOCIOS[[#Headers],[SECUENCIA]])</f>
        <v>258</v>
      </c>
      <c r="G262" s="117">
        <v>45366</v>
      </c>
      <c r="H262" s="3">
        <v>10</v>
      </c>
      <c r="I262" s="195">
        <v>11</v>
      </c>
      <c r="J262" s="181" t="s">
        <v>19</v>
      </c>
      <c r="K262" s="185"/>
    </row>
    <row r="263" spans="6:11" x14ac:dyDescent="0.3">
      <c r="F263" s="244">
        <f>ROW()-ROW(APORTACIONESOCIOS[[#Headers],[SECUENCIA]])</f>
        <v>259</v>
      </c>
      <c r="G263" s="117">
        <v>45366</v>
      </c>
      <c r="H263" s="3">
        <v>10</v>
      </c>
      <c r="I263" s="195">
        <v>12</v>
      </c>
      <c r="J263" s="181" t="s">
        <v>20</v>
      </c>
      <c r="K263" s="185"/>
    </row>
    <row r="264" spans="6:11" x14ac:dyDescent="0.3">
      <c r="F264" s="244">
        <f>ROW()-ROW(APORTACIONESOCIOS[[#Headers],[SECUENCIA]])</f>
        <v>260</v>
      </c>
      <c r="G264" s="117">
        <v>45366</v>
      </c>
      <c r="H264" s="3">
        <v>10</v>
      </c>
      <c r="I264" s="195">
        <v>14</v>
      </c>
      <c r="J264" s="181" t="s">
        <v>21</v>
      </c>
      <c r="K264" s="185"/>
    </row>
    <row r="265" spans="6:11" x14ac:dyDescent="0.3">
      <c r="F265" s="244">
        <f>ROW()-ROW(APORTACIONESOCIOS[[#Headers],[SECUENCIA]])</f>
        <v>261</v>
      </c>
      <c r="G265" s="117">
        <v>45366</v>
      </c>
      <c r="H265" s="3">
        <v>10</v>
      </c>
      <c r="I265" s="195">
        <v>15</v>
      </c>
      <c r="J265" s="181" t="s">
        <v>22</v>
      </c>
      <c r="K265" s="185"/>
    </row>
    <row r="266" spans="6:11" x14ac:dyDescent="0.3">
      <c r="F266" s="244">
        <f>ROW()-ROW(APORTACIONESOCIOS[[#Headers],[SECUENCIA]])</f>
        <v>262</v>
      </c>
      <c r="G266" s="117">
        <v>45366</v>
      </c>
      <c r="H266" s="3">
        <v>10</v>
      </c>
      <c r="I266" s="195">
        <v>16</v>
      </c>
      <c r="J266" s="181" t="s">
        <v>23</v>
      </c>
      <c r="K266" s="185"/>
    </row>
    <row r="267" spans="6:11" x14ac:dyDescent="0.3">
      <c r="F267" s="244">
        <f>ROW()-ROW(APORTACIONESOCIOS[[#Headers],[SECUENCIA]])</f>
        <v>263</v>
      </c>
      <c r="G267" s="130">
        <v>45397</v>
      </c>
      <c r="H267" s="3">
        <v>10</v>
      </c>
      <c r="I267" s="195">
        <v>3</v>
      </c>
      <c r="J267" s="181" t="s">
        <v>13</v>
      </c>
      <c r="K267" s="185"/>
    </row>
    <row r="268" spans="6:11" x14ac:dyDescent="0.3">
      <c r="F268" s="244">
        <f>ROW()-ROW(APORTACIONESOCIOS[[#Headers],[SECUENCIA]])</f>
        <v>264</v>
      </c>
      <c r="G268" s="117">
        <v>45397</v>
      </c>
      <c r="H268" s="3">
        <v>10</v>
      </c>
      <c r="I268" s="195">
        <v>4</v>
      </c>
      <c r="J268" s="181" t="s">
        <v>12</v>
      </c>
      <c r="K268" s="185"/>
    </row>
    <row r="269" spans="6:11" x14ac:dyDescent="0.3">
      <c r="F269" s="244">
        <f>ROW()-ROW(APORTACIONESOCIOS[[#Headers],[SECUENCIA]])</f>
        <v>265</v>
      </c>
      <c r="G269" s="117">
        <v>45397</v>
      </c>
      <c r="H269" s="3">
        <v>10</v>
      </c>
      <c r="I269" s="195">
        <v>5</v>
      </c>
      <c r="J269" s="181" t="s">
        <v>14</v>
      </c>
      <c r="K269" s="185"/>
    </row>
    <row r="270" spans="6:11" x14ac:dyDescent="0.3">
      <c r="F270" s="244">
        <f>ROW()-ROW(APORTACIONESOCIOS[[#Headers],[SECUENCIA]])</f>
        <v>266</v>
      </c>
      <c r="G270" s="117">
        <v>45397</v>
      </c>
      <c r="H270" s="3">
        <v>10</v>
      </c>
      <c r="I270" s="195">
        <v>6</v>
      </c>
      <c r="J270" s="181" t="s">
        <v>24</v>
      </c>
      <c r="K270" s="185"/>
    </row>
    <row r="271" spans="6:11" x14ac:dyDescent="0.3">
      <c r="F271" s="244">
        <f>ROW()-ROW(APORTACIONESOCIOS[[#Headers],[SECUENCIA]])</f>
        <v>267</v>
      </c>
      <c r="G271" s="117">
        <v>45397</v>
      </c>
      <c r="H271" s="3">
        <v>10</v>
      </c>
      <c r="I271" s="195">
        <v>7</v>
      </c>
      <c r="J271" s="181" t="s">
        <v>15</v>
      </c>
      <c r="K271" s="185"/>
    </row>
    <row r="272" spans="6:11" x14ac:dyDescent="0.3">
      <c r="F272" s="244">
        <f>ROW()-ROW(APORTACIONESOCIOS[[#Headers],[SECUENCIA]])</f>
        <v>268</v>
      </c>
      <c r="G272" s="117">
        <v>45397</v>
      </c>
      <c r="H272" s="3">
        <v>10</v>
      </c>
      <c r="I272" s="195">
        <v>8</v>
      </c>
      <c r="J272" s="181" t="s">
        <v>16</v>
      </c>
      <c r="K272" s="185"/>
    </row>
    <row r="273" spans="6:11" x14ac:dyDescent="0.3">
      <c r="F273" s="244">
        <f>ROW()-ROW(APORTACIONESOCIOS[[#Headers],[SECUENCIA]])</f>
        <v>269</v>
      </c>
      <c r="G273" s="117">
        <v>45397</v>
      </c>
      <c r="H273" s="3">
        <v>10</v>
      </c>
      <c r="I273" s="195">
        <v>9</v>
      </c>
      <c r="J273" s="181" t="s">
        <v>17</v>
      </c>
      <c r="K273" s="185"/>
    </row>
    <row r="274" spans="6:11" x14ac:dyDescent="0.3">
      <c r="F274" s="244">
        <f>ROW()-ROW(APORTACIONESOCIOS[[#Headers],[SECUENCIA]])</f>
        <v>270</v>
      </c>
      <c r="G274" s="117">
        <v>45397</v>
      </c>
      <c r="H274" s="3">
        <v>10</v>
      </c>
      <c r="I274" s="195">
        <v>10</v>
      </c>
      <c r="J274" s="181" t="s">
        <v>18</v>
      </c>
      <c r="K274" s="185"/>
    </row>
    <row r="275" spans="6:11" x14ac:dyDescent="0.3">
      <c r="F275" s="244">
        <f>ROW()-ROW(APORTACIONESOCIOS[[#Headers],[SECUENCIA]])</f>
        <v>271</v>
      </c>
      <c r="G275" s="117">
        <v>45397</v>
      </c>
      <c r="H275" s="3">
        <v>10</v>
      </c>
      <c r="I275" s="195">
        <v>11</v>
      </c>
      <c r="J275" s="181" t="s">
        <v>19</v>
      </c>
      <c r="K275" s="185"/>
    </row>
    <row r="276" spans="6:11" x14ac:dyDescent="0.3">
      <c r="F276" s="244">
        <f>ROW()-ROW(APORTACIONESOCIOS[[#Headers],[SECUENCIA]])</f>
        <v>272</v>
      </c>
      <c r="G276" s="117">
        <v>45397</v>
      </c>
      <c r="H276" s="3">
        <v>10</v>
      </c>
      <c r="I276" s="195">
        <v>12</v>
      </c>
      <c r="J276" s="181" t="s">
        <v>20</v>
      </c>
      <c r="K276" s="185"/>
    </row>
    <row r="277" spans="6:11" x14ac:dyDescent="0.3">
      <c r="F277" s="244">
        <f>ROW()-ROW(APORTACIONESOCIOS[[#Headers],[SECUENCIA]])</f>
        <v>273</v>
      </c>
      <c r="G277" s="117">
        <v>45397</v>
      </c>
      <c r="H277" s="3">
        <v>10</v>
      </c>
      <c r="I277" s="195">
        <v>14</v>
      </c>
      <c r="J277" s="181" t="s">
        <v>21</v>
      </c>
      <c r="K277" s="185"/>
    </row>
    <row r="278" spans="6:11" x14ac:dyDescent="0.3">
      <c r="F278" s="244">
        <f>ROW()-ROW(APORTACIONESOCIOS[[#Headers],[SECUENCIA]])</f>
        <v>274</v>
      </c>
      <c r="G278" s="117">
        <v>45397</v>
      </c>
      <c r="H278" s="3">
        <v>10</v>
      </c>
      <c r="I278" s="195">
        <v>15</v>
      </c>
      <c r="J278" s="181" t="s">
        <v>22</v>
      </c>
      <c r="K278" s="185"/>
    </row>
    <row r="279" spans="6:11" x14ac:dyDescent="0.3">
      <c r="F279" s="244">
        <f>ROW()-ROW(APORTACIONESOCIOS[[#Headers],[SECUENCIA]])</f>
        <v>275</v>
      </c>
      <c r="G279" s="117">
        <v>45397</v>
      </c>
      <c r="H279" s="3">
        <v>10</v>
      </c>
      <c r="I279" s="195">
        <v>16</v>
      </c>
      <c r="J279" s="181" t="s">
        <v>23</v>
      </c>
      <c r="K279" s="185"/>
    </row>
    <row r="280" spans="6:11" x14ac:dyDescent="0.3">
      <c r="F280" s="244">
        <f>ROW()-ROW(APORTACIONESOCIOS[[#Headers],[SECUENCIA]])</f>
        <v>276</v>
      </c>
      <c r="G280" s="130">
        <v>45427</v>
      </c>
      <c r="H280" s="3">
        <v>10</v>
      </c>
      <c r="I280" s="195">
        <v>3</v>
      </c>
      <c r="J280" s="181" t="s">
        <v>13</v>
      </c>
      <c r="K280" s="185"/>
    </row>
    <row r="281" spans="6:11" x14ac:dyDescent="0.3">
      <c r="F281" s="244">
        <f>ROW()-ROW(APORTACIONESOCIOS[[#Headers],[SECUENCIA]])</f>
        <v>277</v>
      </c>
      <c r="G281" s="117">
        <v>45427</v>
      </c>
      <c r="H281" s="3">
        <v>10</v>
      </c>
      <c r="I281" s="195">
        <v>4</v>
      </c>
      <c r="J281" s="181" t="s">
        <v>12</v>
      </c>
      <c r="K281" s="185"/>
    </row>
    <row r="282" spans="6:11" x14ac:dyDescent="0.3">
      <c r="F282" s="244">
        <f>ROW()-ROW(APORTACIONESOCIOS[[#Headers],[SECUENCIA]])</f>
        <v>278</v>
      </c>
      <c r="G282" s="117">
        <v>45427</v>
      </c>
      <c r="H282" s="3">
        <v>10</v>
      </c>
      <c r="I282" s="195">
        <v>5</v>
      </c>
      <c r="J282" s="181" t="s">
        <v>14</v>
      </c>
      <c r="K282" s="185"/>
    </row>
    <row r="283" spans="6:11" x14ac:dyDescent="0.3">
      <c r="F283" s="244">
        <f>ROW()-ROW(APORTACIONESOCIOS[[#Headers],[SECUENCIA]])</f>
        <v>279</v>
      </c>
      <c r="G283" s="117">
        <v>45427</v>
      </c>
      <c r="H283" s="3">
        <v>10</v>
      </c>
      <c r="I283" s="195">
        <v>6</v>
      </c>
      <c r="J283" s="181" t="s">
        <v>24</v>
      </c>
      <c r="K283" s="185"/>
    </row>
    <row r="284" spans="6:11" x14ac:dyDescent="0.3">
      <c r="F284" s="244">
        <f>ROW()-ROW(APORTACIONESOCIOS[[#Headers],[SECUENCIA]])</f>
        <v>280</v>
      </c>
      <c r="G284" s="117">
        <v>45427</v>
      </c>
      <c r="H284" s="3">
        <v>10</v>
      </c>
      <c r="I284" s="195">
        <v>7</v>
      </c>
      <c r="J284" s="181" t="s">
        <v>15</v>
      </c>
      <c r="K284" s="185"/>
    </row>
    <row r="285" spans="6:11" x14ac:dyDescent="0.3">
      <c r="F285" s="244">
        <f>ROW()-ROW(APORTACIONESOCIOS[[#Headers],[SECUENCIA]])</f>
        <v>281</v>
      </c>
      <c r="G285" s="117">
        <v>45427</v>
      </c>
      <c r="H285" s="3">
        <v>10</v>
      </c>
      <c r="I285" s="195">
        <v>8</v>
      </c>
      <c r="J285" s="181" t="s">
        <v>16</v>
      </c>
      <c r="K285" s="185"/>
    </row>
    <row r="286" spans="6:11" x14ac:dyDescent="0.3">
      <c r="F286" s="244">
        <f>ROW()-ROW(APORTACIONESOCIOS[[#Headers],[SECUENCIA]])</f>
        <v>282</v>
      </c>
      <c r="G286" s="117">
        <v>45427</v>
      </c>
      <c r="H286" s="3">
        <v>10</v>
      </c>
      <c r="I286" s="195">
        <v>9</v>
      </c>
      <c r="J286" s="181" t="s">
        <v>17</v>
      </c>
      <c r="K286" s="185"/>
    </row>
    <row r="287" spans="6:11" x14ac:dyDescent="0.3">
      <c r="F287" s="244">
        <f>ROW()-ROW(APORTACIONESOCIOS[[#Headers],[SECUENCIA]])</f>
        <v>283</v>
      </c>
      <c r="G287" s="117">
        <v>45427</v>
      </c>
      <c r="H287" s="3">
        <v>10</v>
      </c>
      <c r="I287" s="195">
        <v>10</v>
      </c>
      <c r="J287" s="181" t="s">
        <v>18</v>
      </c>
      <c r="K287" s="185"/>
    </row>
    <row r="288" spans="6:11" x14ac:dyDescent="0.3">
      <c r="F288" s="244">
        <f>ROW()-ROW(APORTACIONESOCIOS[[#Headers],[SECUENCIA]])</f>
        <v>284</v>
      </c>
      <c r="G288" s="117">
        <v>45427</v>
      </c>
      <c r="H288" s="3">
        <v>10</v>
      </c>
      <c r="I288" s="195">
        <v>11</v>
      </c>
      <c r="J288" s="181" t="s">
        <v>19</v>
      </c>
      <c r="K288" s="185"/>
    </row>
    <row r="289" spans="6:11" x14ac:dyDescent="0.3">
      <c r="F289" s="244">
        <f>ROW()-ROW(APORTACIONESOCIOS[[#Headers],[SECUENCIA]])</f>
        <v>285</v>
      </c>
      <c r="G289" s="117">
        <v>45427</v>
      </c>
      <c r="H289" s="3">
        <v>10</v>
      </c>
      <c r="I289" s="195">
        <v>12</v>
      </c>
      <c r="J289" s="181" t="s">
        <v>20</v>
      </c>
      <c r="K289" s="185"/>
    </row>
    <row r="290" spans="6:11" x14ac:dyDescent="0.3">
      <c r="F290" s="244">
        <f>ROW()-ROW(APORTACIONESOCIOS[[#Headers],[SECUENCIA]])</f>
        <v>286</v>
      </c>
      <c r="G290" s="117">
        <v>45427</v>
      </c>
      <c r="H290" s="3">
        <v>10</v>
      </c>
      <c r="I290" s="195">
        <v>14</v>
      </c>
      <c r="J290" s="181" t="s">
        <v>21</v>
      </c>
      <c r="K290" s="185"/>
    </row>
    <row r="291" spans="6:11" x14ac:dyDescent="0.3">
      <c r="F291" s="244">
        <f>ROW()-ROW(APORTACIONESOCIOS[[#Headers],[SECUENCIA]])</f>
        <v>287</v>
      </c>
      <c r="G291" s="117">
        <v>45427</v>
      </c>
      <c r="H291" s="3">
        <v>10</v>
      </c>
      <c r="I291" s="195">
        <v>15</v>
      </c>
      <c r="J291" s="181" t="s">
        <v>22</v>
      </c>
      <c r="K291" s="185"/>
    </row>
    <row r="292" spans="6:11" x14ac:dyDescent="0.3">
      <c r="F292" s="244">
        <f>ROW()-ROW(APORTACIONESOCIOS[[#Headers],[SECUENCIA]])</f>
        <v>288</v>
      </c>
      <c r="G292" s="117">
        <v>45427</v>
      </c>
      <c r="H292" s="3">
        <v>10</v>
      </c>
      <c r="I292" s="195">
        <v>16</v>
      </c>
      <c r="J292" s="181" t="s">
        <v>23</v>
      </c>
      <c r="K292" s="185"/>
    </row>
    <row r="293" spans="6:11" x14ac:dyDescent="0.3">
      <c r="F293" s="244">
        <f>ROW()-ROW(APORTACIONESOCIOS[[#Headers],[SECUENCIA]])</f>
        <v>289</v>
      </c>
      <c r="G293" s="130">
        <v>45458</v>
      </c>
      <c r="H293" s="3">
        <v>10</v>
      </c>
      <c r="I293" s="195">
        <v>3</v>
      </c>
      <c r="J293" s="181" t="s">
        <v>13</v>
      </c>
      <c r="K293" s="185"/>
    </row>
    <row r="294" spans="6:11" x14ac:dyDescent="0.3">
      <c r="F294" s="244">
        <f>ROW()-ROW(APORTACIONESOCIOS[[#Headers],[SECUENCIA]])</f>
        <v>290</v>
      </c>
      <c r="G294" s="117">
        <v>45458</v>
      </c>
      <c r="H294" s="3">
        <v>10</v>
      </c>
      <c r="I294" s="195">
        <v>4</v>
      </c>
      <c r="J294" s="181" t="s">
        <v>12</v>
      </c>
      <c r="K294" s="185"/>
    </row>
    <row r="295" spans="6:11" x14ac:dyDescent="0.3">
      <c r="F295" s="244">
        <f>ROW()-ROW(APORTACIONESOCIOS[[#Headers],[SECUENCIA]])</f>
        <v>291</v>
      </c>
      <c r="G295" s="117">
        <v>45458</v>
      </c>
      <c r="H295" s="3">
        <v>10</v>
      </c>
      <c r="I295" s="195">
        <v>5</v>
      </c>
      <c r="J295" s="181" t="s">
        <v>14</v>
      </c>
      <c r="K295" s="185"/>
    </row>
    <row r="296" spans="6:11" x14ac:dyDescent="0.3">
      <c r="F296" s="244">
        <f>ROW()-ROW(APORTACIONESOCIOS[[#Headers],[SECUENCIA]])</f>
        <v>292</v>
      </c>
      <c r="G296" s="117">
        <v>45458</v>
      </c>
      <c r="H296" s="3">
        <v>10</v>
      </c>
      <c r="I296" s="195">
        <v>6</v>
      </c>
      <c r="J296" s="181" t="s">
        <v>24</v>
      </c>
      <c r="K296" s="185"/>
    </row>
    <row r="297" spans="6:11" x14ac:dyDescent="0.3">
      <c r="F297" s="244">
        <f>ROW()-ROW(APORTACIONESOCIOS[[#Headers],[SECUENCIA]])</f>
        <v>293</v>
      </c>
      <c r="G297" s="117">
        <v>45458</v>
      </c>
      <c r="H297" s="3">
        <v>10</v>
      </c>
      <c r="I297" s="195">
        <v>7</v>
      </c>
      <c r="J297" s="181" t="s">
        <v>15</v>
      </c>
      <c r="K297" s="185"/>
    </row>
    <row r="298" spans="6:11" x14ac:dyDescent="0.3">
      <c r="F298" s="244">
        <f>ROW()-ROW(APORTACIONESOCIOS[[#Headers],[SECUENCIA]])</f>
        <v>294</v>
      </c>
      <c r="G298" s="117">
        <v>45458</v>
      </c>
      <c r="H298" s="3">
        <v>10</v>
      </c>
      <c r="I298" s="195">
        <v>8</v>
      </c>
      <c r="J298" s="181" t="s">
        <v>16</v>
      </c>
      <c r="K298" s="185"/>
    </row>
    <row r="299" spans="6:11" x14ac:dyDescent="0.3">
      <c r="F299" s="244">
        <f>ROW()-ROW(APORTACIONESOCIOS[[#Headers],[SECUENCIA]])</f>
        <v>295</v>
      </c>
      <c r="G299" s="117">
        <v>45458</v>
      </c>
      <c r="H299" s="3">
        <v>10</v>
      </c>
      <c r="I299" s="195">
        <v>9</v>
      </c>
      <c r="J299" s="181" t="s">
        <v>17</v>
      </c>
      <c r="K299" s="185"/>
    </row>
    <row r="300" spans="6:11" x14ac:dyDescent="0.3">
      <c r="F300" s="244">
        <f>ROW()-ROW(APORTACIONESOCIOS[[#Headers],[SECUENCIA]])</f>
        <v>296</v>
      </c>
      <c r="G300" s="117">
        <v>45458</v>
      </c>
      <c r="H300" s="3">
        <v>10</v>
      </c>
      <c r="I300" s="195">
        <v>10</v>
      </c>
      <c r="J300" s="181" t="s">
        <v>18</v>
      </c>
      <c r="K300" s="185"/>
    </row>
    <row r="301" spans="6:11" x14ac:dyDescent="0.3">
      <c r="F301" s="244">
        <f>ROW()-ROW(APORTACIONESOCIOS[[#Headers],[SECUENCIA]])</f>
        <v>297</v>
      </c>
      <c r="G301" s="117">
        <v>45458</v>
      </c>
      <c r="H301" s="3">
        <v>10</v>
      </c>
      <c r="I301" s="195">
        <v>11</v>
      </c>
      <c r="J301" s="181" t="s">
        <v>19</v>
      </c>
      <c r="K301" s="185"/>
    </row>
    <row r="302" spans="6:11" x14ac:dyDescent="0.3">
      <c r="F302" s="244">
        <f>ROW()-ROW(APORTACIONESOCIOS[[#Headers],[SECUENCIA]])</f>
        <v>298</v>
      </c>
      <c r="G302" s="117">
        <v>45458</v>
      </c>
      <c r="H302" s="3">
        <v>10</v>
      </c>
      <c r="I302" s="195">
        <v>12</v>
      </c>
      <c r="J302" s="181" t="s">
        <v>20</v>
      </c>
      <c r="K302" s="185"/>
    </row>
    <row r="303" spans="6:11" x14ac:dyDescent="0.3">
      <c r="F303" s="244">
        <f>ROW()-ROW(APORTACIONESOCIOS[[#Headers],[SECUENCIA]])</f>
        <v>299</v>
      </c>
      <c r="G303" s="117">
        <v>45458</v>
      </c>
      <c r="H303" s="3">
        <v>10</v>
      </c>
      <c r="I303" s="195">
        <v>14</v>
      </c>
      <c r="J303" s="181" t="s">
        <v>21</v>
      </c>
      <c r="K303" s="185"/>
    </row>
    <row r="304" spans="6:11" x14ac:dyDescent="0.3">
      <c r="F304" s="244">
        <f>ROW()-ROW(APORTACIONESOCIOS[[#Headers],[SECUENCIA]])</f>
        <v>300</v>
      </c>
      <c r="G304" s="117">
        <v>45458</v>
      </c>
      <c r="H304" s="3">
        <v>10</v>
      </c>
      <c r="I304" s="195">
        <v>15</v>
      </c>
      <c r="J304" s="181" t="s">
        <v>22</v>
      </c>
      <c r="K304" s="185"/>
    </row>
    <row r="305" spans="6:11" x14ac:dyDescent="0.3">
      <c r="F305" s="244">
        <f>ROW()-ROW(APORTACIONESOCIOS[[#Headers],[SECUENCIA]])</f>
        <v>301</v>
      </c>
      <c r="G305" s="117">
        <v>45458</v>
      </c>
      <c r="H305" s="3">
        <v>10</v>
      </c>
      <c r="I305" s="195">
        <v>16</v>
      </c>
      <c r="J305" s="181" t="s">
        <v>23</v>
      </c>
      <c r="K305" s="185"/>
    </row>
    <row r="306" spans="6:11" x14ac:dyDescent="0.3">
      <c r="F306" s="244">
        <f>ROW()-ROW(APORTACIONESOCIOS[[#Headers],[SECUENCIA]])</f>
        <v>302</v>
      </c>
      <c r="G306" s="130">
        <v>45488</v>
      </c>
      <c r="H306" s="3">
        <v>10</v>
      </c>
      <c r="I306" s="195">
        <v>3</v>
      </c>
      <c r="J306" s="181" t="s">
        <v>13</v>
      </c>
      <c r="K306" s="185"/>
    </row>
    <row r="307" spans="6:11" x14ac:dyDescent="0.3">
      <c r="F307" s="244">
        <f>ROW()-ROW(APORTACIONESOCIOS[[#Headers],[SECUENCIA]])</f>
        <v>303</v>
      </c>
      <c r="G307" s="117">
        <v>45488</v>
      </c>
      <c r="H307" s="3">
        <v>10</v>
      </c>
      <c r="I307" s="195">
        <v>4</v>
      </c>
      <c r="J307" s="181" t="s">
        <v>12</v>
      </c>
      <c r="K307" s="185"/>
    </row>
    <row r="308" spans="6:11" x14ac:dyDescent="0.3">
      <c r="F308" s="244">
        <f>ROW()-ROW(APORTACIONESOCIOS[[#Headers],[SECUENCIA]])</f>
        <v>304</v>
      </c>
      <c r="G308" s="117">
        <v>45488</v>
      </c>
      <c r="H308" s="3">
        <v>10</v>
      </c>
      <c r="I308" s="195">
        <v>5</v>
      </c>
      <c r="J308" s="181" t="s">
        <v>14</v>
      </c>
      <c r="K308" s="185"/>
    </row>
    <row r="309" spans="6:11" x14ac:dyDescent="0.3">
      <c r="F309" s="244">
        <f>ROW()-ROW(APORTACIONESOCIOS[[#Headers],[SECUENCIA]])</f>
        <v>305</v>
      </c>
      <c r="G309" s="117">
        <v>45488</v>
      </c>
      <c r="H309" s="3">
        <v>10</v>
      </c>
      <c r="I309" s="195">
        <v>6</v>
      </c>
      <c r="J309" s="181" t="s">
        <v>24</v>
      </c>
      <c r="K309" s="185"/>
    </row>
    <row r="310" spans="6:11" x14ac:dyDescent="0.3">
      <c r="F310" s="244">
        <f>ROW()-ROW(APORTACIONESOCIOS[[#Headers],[SECUENCIA]])</f>
        <v>306</v>
      </c>
      <c r="G310" s="117">
        <v>45488</v>
      </c>
      <c r="H310" s="3">
        <v>10</v>
      </c>
      <c r="I310" s="195">
        <v>7</v>
      </c>
      <c r="J310" s="181" t="s">
        <v>15</v>
      </c>
      <c r="K310" s="185"/>
    </row>
    <row r="311" spans="6:11" x14ac:dyDescent="0.3">
      <c r="F311" s="244">
        <f>ROW()-ROW(APORTACIONESOCIOS[[#Headers],[SECUENCIA]])</f>
        <v>307</v>
      </c>
      <c r="G311" s="117">
        <v>45488</v>
      </c>
      <c r="H311" s="3">
        <v>10</v>
      </c>
      <c r="I311" s="195">
        <v>8</v>
      </c>
      <c r="J311" s="181" t="s">
        <v>16</v>
      </c>
      <c r="K311" s="185"/>
    </row>
    <row r="312" spans="6:11" x14ac:dyDescent="0.3">
      <c r="F312" s="244">
        <f>ROW()-ROW(APORTACIONESOCIOS[[#Headers],[SECUENCIA]])</f>
        <v>308</v>
      </c>
      <c r="G312" s="117">
        <v>45488</v>
      </c>
      <c r="H312" s="3">
        <v>10</v>
      </c>
      <c r="I312" s="195">
        <v>9</v>
      </c>
      <c r="J312" s="181" t="s">
        <v>17</v>
      </c>
      <c r="K312" s="185"/>
    </row>
    <row r="313" spans="6:11" x14ac:dyDescent="0.3">
      <c r="F313" s="244">
        <f>ROW()-ROW(APORTACIONESOCIOS[[#Headers],[SECUENCIA]])</f>
        <v>309</v>
      </c>
      <c r="G313" s="117">
        <v>45488</v>
      </c>
      <c r="H313" s="3">
        <v>10</v>
      </c>
      <c r="I313" s="195">
        <v>10</v>
      </c>
      <c r="J313" s="181" t="s">
        <v>18</v>
      </c>
      <c r="K313" s="185"/>
    </row>
    <row r="314" spans="6:11" x14ac:dyDescent="0.3">
      <c r="F314" s="244">
        <f>ROW()-ROW(APORTACIONESOCIOS[[#Headers],[SECUENCIA]])</f>
        <v>310</v>
      </c>
      <c r="G314" s="117">
        <v>45488</v>
      </c>
      <c r="H314" s="3">
        <v>10</v>
      </c>
      <c r="I314" s="195">
        <v>11</v>
      </c>
      <c r="J314" s="181" t="s">
        <v>19</v>
      </c>
      <c r="K314" s="185"/>
    </row>
    <row r="315" spans="6:11" x14ac:dyDescent="0.3">
      <c r="F315" s="244">
        <f>ROW()-ROW(APORTACIONESOCIOS[[#Headers],[SECUENCIA]])</f>
        <v>311</v>
      </c>
      <c r="G315" s="117">
        <v>45488</v>
      </c>
      <c r="H315" s="3">
        <v>10</v>
      </c>
      <c r="I315" s="195">
        <v>12</v>
      </c>
      <c r="J315" s="181" t="s">
        <v>20</v>
      </c>
      <c r="K315" s="185"/>
    </row>
    <row r="316" spans="6:11" x14ac:dyDescent="0.3">
      <c r="F316" s="244">
        <f>ROW()-ROW(APORTACIONESOCIOS[[#Headers],[SECUENCIA]])</f>
        <v>312</v>
      </c>
      <c r="G316" s="117">
        <v>45488</v>
      </c>
      <c r="H316" s="3">
        <v>10</v>
      </c>
      <c r="I316" s="195">
        <v>14</v>
      </c>
      <c r="J316" s="181" t="s">
        <v>21</v>
      </c>
      <c r="K316" s="185"/>
    </row>
    <row r="317" spans="6:11" x14ac:dyDescent="0.3">
      <c r="F317" s="244">
        <f>ROW()-ROW(APORTACIONESOCIOS[[#Headers],[SECUENCIA]])</f>
        <v>313</v>
      </c>
      <c r="G317" s="117">
        <v>45488</v>
      </c>
      <c r="H317" s="3">
        <v>10</v>
      </c>
      <c r="I317" s="195">
        <v>15</v>
      </c>
      <c r="J317" s="181" t="s">
        <v>22</v>
      </c>
      <c r="K317" s="185"/>
    </row>
    <row r="318" spans="6:11" x14ac:dyDescent="0.3">
      <c r="F318" s="244">
        <f>ROW()-ROW(APORTACIONESOCIOS[[#Headers],[SECUENCIA]])</f>
        <v>314</v>
      </c>
      <c r="G318" s="117">
        <v>45488</v>
      </c>
      <c r="H318" s="3">
        <v>10</v>
      </c>
      <c r="I318" s="195">
        <v>16</v>
      </c>
      <c r="J318" s="181" t="s">
        <v>23</v>
      </c>
      <c r="K318" s="185"/>
    </row>
    <row r="319" spans="6:11" x14ac:dyDescent="0.3">
      <c r="F319" s="244">
        <f>ROW()-ROW(APORTACIONESOCIOS[[#Headers],[SECUENCIA]])</f>
        <v>315</v>
      </c>
      <c r="G319" s="130">
        <v>45519</v>
      </c>
      <c r="H319" s="3">
        <v>10</v>
      </c>
      <c r="I319" s="195">
        <v>3</v>
      </c>
      <c r="J319" s="181" t="s">
        <v>13</v>
      </c>
      <c r="K319" s="185"/>
    </row>
    <row r="320" spans="6:11" x14ac:dyDescent="0.3">
      <c r="F320" s="244">
        <f>ROW()-ROW(APORTACIONESOCIOS[[#Headers],[SECUENCIA]])</f>
        <v>316</v>
      </c>
      <c r="G320" s="117">
        <v>45519</v>
      </c>
      <c r="H320" s="3">
        <v>10</v>
      </c>
      <c r="I320" s="195">
        <v>4</v>
      </c>
      <c r="J320" s="181" t="s">
        <v>12</v>
      </c>
      <c r="K320" s="185"/>
    </row>
    <row r="321" spans="6:11" x14ac:dyDescent="0.3">
      <c r="F321" s="244">
        <f>ROW()-ROW(APORTACIONESOCIOS[[#Headers],[SECUENCIA]])</f>
        <v>317</v>
      </c>
      <c r="G321" s="117">
        <v>45519</v>
      </c>
      <c r="H321" s="3">
        <v>10</v>
      </c>
      <c r="I321" s="195">
        <v>5</v>
      </c>
      <c r="J321" s="181" t="s">
        <v>14</v>
      </c>
      <c r="K321" s="185"/>
    </row>
    <row r="322" spans="6:11" x14ac:dyDescent="0.3">
      <c r="F322" s="244">
        <f>ROW()-ROW(APORTACIONESOCIOS[[#Headers],[SECUENCIA]])</f>
        <v>318</v>
      </c>
      <c r="G322" s="117">
        <v>45519</v>
      </c>
      <c r="H322" s="3">
        <v>10</v>
      </c>
      <c r="I322" s="195">
        <v>6</v>
      </c>
      <c r="J322" s="181" t="s">
        <v>24</v>
      </c>
      <c r="K322" s="185"/>
    </row>
    <row r="323" spans="6:11" x14ac:dyDescent="0.3">
      <c r="F323" s="244">
        <f>ROW()-ROW(APORTACIONESOCIOS[[#Headers],[SECUENCIA]])</f>
        <v>319</v>
      </c>
      <c r="G323" s="117">
        <v>45519</v>
      </c>
      <c r="H323" s="3">
        <v>10</v>
      </c>
      <c r="I323" s="195">
        <v>7</v>
      </c>
      <c r="J323" s="181" t="s">
        <v>15</v>
      </c>
      <c r="K323" s="185"/>
    </row>
    <row r="324" spans="6:11" x14ac:dyDescent="0.3">
      <c r="F324" s="244">
        <f>ROW()-ROW(APORTACIONESOCIOS[[#Headers],[SECUENCIA]])</f>
        <v>320</v>
      </c>
      <c r="G324" s="117">
        <v>45519</v>
      </c>
      <c r="H324" s="3">
        <v>10</v>
      </c>
      <c r="I324" s="195">
        <v>8</v>
      </c>
      <c r="J324" s="181" t="s">
        <v>16</v>
      </c>
      <c r="K324" s="185"/>
    </row>
    <row r="325" spans="6:11" x14ac:dyDescent="0.3">
      <c r="F325" s="244">
        <f>ROW()-ROW(APORTACIONESOCIOS[[#Headers],[SECUENCIA]])</f>
        <v>321</v>
      </c>
      <c r="G325" s="117">
        <v>45519</v>
      </c>
      <c r="H325" s="3">
        <v>10</v>
      </c>
      <c r="I325" s="195">
        <v>9</v>
      </c>
      <c r="J325" s="181" t="s">
        <v>17</v>
      </c>
      <c r="K325" s="185"/>
    </row>
    <row r="326" spans="6:11" x14ac:dyDescent="0.3">
      <c r="F326" s="244">
        <f>ROW()-ROW(APORTACIONESOCIOS[[#Headers],[SECUENCIA]])</f>
        <v>322</v>
      </c>
      <c r="G326" s="117">
        <v>45519</v>
      </c>
      <c r="H326" s="3">
        <v>10</v>
      </c>
      <c r="I326" s="195">
        <v>10</v>
      </c>
      <c r="J326" s="181" t="s">
        <v>18</v>
      </c>
      <c r="K326" s="185"/>
    </row>
    <row r="327" spans="6:11" x14ac:dyDescent="0.3">
      <c r="F327" s="244">
        <f>ROW()-ROW(APORTACIONESOCIOS[[#Headers],[SECUENCIA]])</f>
        <v>323</v>
      </c>
      <c r="G327" s="117">
        <v>45519</v>
      </c>
      <c r="H327" s="3">
        <v>10</v>
      </c>
      <c r="I327" s="195">
        <v>11</v>
      </c>
      <c r="J327" s="181" t="s">
        <v>19</v>
      </c>
      <c r="K327" s="185"/>
    </row>
    <row r="328" spans="6:11" x14ac:dyDescent="0.3">
      <c r="F328" s="244">
        <f>ROW()-ROW(APORTACIONESOCIOS[[#Headers],[SECUENCIA]])</f>
        <v>324</v>
      </c>
      <c r="G328" s="117">
        <v>45519</v>
      </c>
      <c r="H328" s="3">
        <v>10</v>
      </c>
      <c r="I328" s="195">
        <v>12</v>
      </c>
      <c r="J328" s="181" t="s">
        <v>20</v>
      </c>
      <c r="K328" s="185"/>
    </row>
    <row r="329" spans="6:11" x14ac:dyDescent="0.3">
      <c r="F329" s="244">
        <f>ROW()-ROW(APORTACIONESOCIOS[[#Headers],[SECUENCIA]])</f>
        <v>325</v>
      </c>
      <c r="G329" s="117">
        <v>45519</v>
      </c>
      <c r="H329" s="3">
        <v>10</v>
      </c>
      <c r="I329" s="195">
        <v>14</v>
      </c>
      <c r="J329" s="181" t="s">
        <v>21</v>
      </c>
      <c r="K329" s="185"/>
    </row>
    <row r="330" spans="6:11" x14ac:dyDescent="0.3">
      <c r="F330" s="244">
        <f>ROW()-ROW(APORTACIONESOCIOS[[#Headers],[SECUENCIA]])</f>
        <v>326</v>
      </c>
      <c r="G330" s="117">
        <v>45519</v>
      </c>
      <c r="H330" s="3">
        <v>10</v>
      </c>
      <c r="I330" s="195">
        <v>15</v>
      </c>
      <c r="J330" s="181" t="s">
        <v>22</v>
      </c>
      <c r="K330" s="185"/>
    </row>
    <row r="331" spans="6:11" x14ac:dyDescent="0.3">
      <c r="F331" s="244">
        <f>ROW()-ROW(APORTACIONESOCIOS[[#Headers],[SECUENCIA]])</f>
        <v>327</v>
      </c>
      <c r="G331" s="117">
        <v>45519</v>
      </c>
      <c r="H331" s="3">
        <v>10</v>
      </c>
      <c r="I331" s="195">
        <v>16</v>
      </c>
      <c r="J331" s="181" t="s">
        <v>23</v>
      </c>
      <c r="K331" s="185"/>
    </row>
    <row r="332" spans="6:11" x14ac:dyDescent="0.3">
      <c r="F332" s="244">
        <f>ROW()-ROW(APORTACIONESOCIOS[[#Headers],[SECUENCIA]])</f>
        <v>328</v>
      </c>
      <c r="G332" s="130">
        <v>45550</v>
      </c>
      <c r="H332" s="3">
        <v>10</v>
      </c>
      <c r="I332" s="195">
        <v>3</v>
      </c>
      <c r="J332" s="181" t="s">
        <v>13</v>
      </c>
      <c r="K332" s="185"/>
    </row>
    <row r="333" spans="6:11" x14ac:dyDescent="0.3">
      <c r="F333" s="244">
        <f>ROW()-ROW(APORTACIONESOCIOS[[#Headers],[SECUENCIA]])</f>
        <v>329</v>
      </c>
      <c r="G333" s="117">
        <v>45550</v>
      </c>
      <c r="H333" s="3">
        <v>10</v>
      </c>
      <c r="I333" s="195">
        <v>4</v>
      </c>
      <c r="J333" s="181" t="s">
        <v>12</v>
      </c>
      <c r="K333" s="185"/>
    </row>
    <row r="334" spans="6:11" x14ac:dyDescent="0.3">
      <c r="F334" s="244">
        <f>ROW()-ROW(APORTACIONESOCIOS[[#Headers],[SECUENCIA]])</f>
        <v>330</v>
      </c>
      <c r="G334" s="117">
        <v>45550</v>
      </c>
      <c r="H334" s="3">
        <v>10</v>
      </c>
      <c r="I334" s="195">
        <v>5</v>
      </c>
      <c r="J334" s="181" t="s">
        <v>14</v>
      </c>
      <c r="K334" s="185"/>
    </row>
    <row r="335" spans="6:11" x14ac:dyDescent="0.3">
      <c r="F335" s="244">
        <f>ROW()-ROW(APORTACIONESOCIOS[[#Headers],[SECUENCIA]])</f>
        <v>331</v>
      </c>
      <c r="G335" s="117">
        <v>45550</v>
      </c>
      <c r="H335" s="3">
        <v>10</v>
      </c>
      <c r="I335" s="195">
        <v>6</v>
      </c>
      <c r="J335" s="181" t="s">
        <v>24</v>
      </c>
      <c r="K335" s="185"/>
    </row>
    <row r="336" spans="6:11" x14ac:dyDescent="0.3">
      <c r="F336" s="244">
        <f>ROW()-ROW(APORTACIONESOCIOS[[#Headers],[SECUENCIA]])</f>
        <v>332</v>
      </c>
      <c r="G336" s="117">
        <v>45550</v>
      </c>
      <c r="H336" s="3">
        <v>10</v>
      </c>
      <c r="I336" s="195">
        <v>7</v>
      </c>
      <c r="J336" s="181" t="s">
        <v>15</v>
      </c>
      <c r="K336" s="185"/>
    </row>
    <row r="337" spans="6:11" x14ac:dyDescent="0.3">
      <c r="F337" s="244">
        <f>ROW()-ROW(APORTACIONESOCIOS[[#Headers],[SECUENCIA]])</f>
        <v>333</v>
      </c>
      <c r="G337" s="117">
        <v>45550</v>
      </c>
      <c r="H337" s="3">
        <v>10</v>
      </c>
      <c r="I337" s="195">
        <v>8</v>
      </c>
      <c r="J337" s="181" t="s">
        <v>16</v>
      </c>
      <c r="K337" s="185"/>
    </row>
    <row r="338" spans="6:11" x14ac:dyDescent="0.3">
      <c r="F338" s="244">
        <f>ROW()-ROW(APORTACIONESOCIOS[[#Headers],[SECUENCIA]])</f>
        <v>334</v>
      </c>
      <c r="G338" s="117">
        <v>45550</v>
      </c>
      <c r="H338" s="3">
        <v>10</v>
      </c>
      <c r="I338" s="195">
        <v>9</v>
      </c>
      <c r="J338" s="181" t="s">
        <v>17</v>
      </c>
      <c r="K338" s="185"/>
    </row>
    <row r="339" spans="6:11" x14ac:dyDescent="0.3">
      <c r="F339" s="244">
        <f>ROW()-ROW(APORTACIONESOCIOS[[#Headers],[SECUENCIA]])</f>
        <v>335</v>
      </c>
      <c r="G339" s="117">
        <v>45550</v>
      </c>
      <c r="H339" s="3">
        <v>10</v>
      </c>
      <c r="I339" s="195">
        <v>10</v>
      </c>
      <c r="J339" s="181" t="s">
        <v>18</v>
      </c>
      <c r="K339" s="185"/>
    </row>
    <row r="340" spans="6:11" x14ac:dyDescent="0.3">
      <c r="F340" s="244">
        <f>ROW()-ROW(APORTACIONESOCIOS[[#Headers],[SECUENCIA]])</f>
        <v>336</v>
      </c>
      <c r="G340" s="117">
        <v>45550</v>
      </c>
      <c r="H340" s="3">
        <v>10</v>
      </c>
      <c r="I340" s="195">
        <v>11</v>
      </c>
      <c r="J340" s="181" t="s">
        <v>19</v>
      </c>
      <c r="K340" s="185"/>
    </row>
    <row r="341" spans="6:11" x14ac:dyDescent="0.3">
      <c r="F341" s="244">
        <f>ROW()-ROW(APORTACIONESOCIOS[[#Headers],[SECUENCIA]])</f>
        <v>337</v>
      </c>
      <c r="G341" s="117">
        <v>45550</v>
      </c>
      <c r="H341" s="3">
        <v>10</v>
      </c>
      <c r="I341" s="195">
        <v>12</v>
      </c>
      <c r="J341" s="181" t="s">
        <v>20</v>
      </c>
      <c r="K341" s="185"/>
    </row>
    <row r="342" spans="6:11" x14ac:dyDescent="0.3">
      <c r="F342" s="244">
        <f>ROW()-ROW(APORTACIONESOCIOS[[#Headers],[SECUENCIA]])</f>
        <v>338</v>
      </c>
      <c r="G342" s="117">
        <v>45550</v>
      </c>
      <c r="H342" s="3">
        <v>10</v>
      </c>
      <c r="I342" s="195">
        <v>14</v>
      </c>
      <c r="J342" s="181" t="s">
        <v>21</v>
      </c>
      <c r="K342" s="185"/>
    </row>
    <row r="343" spans="6:11" x14ac:dyDescent="0.3">
      <c r="F343" s="244">
        <f>ROW()-ROW(APORTACIONESOCIOS[[#Headers],[SECUENCIA]])</f>
        <v>339</v>
      </c>
      <c r="G343" s="117">
        <v>45550</v>
      </c>
      <c r="H343" s="3">
        <v>10</v>
      </c>
      <c r="I343" s="195">
        <v>15</v>
      </c>
      <c r="J343" s="181" t="s">
        <v>22</v>
      </c>
      <c r="K343" s="185"/>
    </row>
    <row r="344" spans="6:11" x14ac:dyDescent="0.3">
      <c r="F344" s="244">
        <f>ROW()-ROW(APORTACIONESOCIOS[[#Headers],[SECUENCIA]])</f>
        <v>340</v>
      </c>
      <c r="G344" s="117">
        <v>45550</v>
      </c>
      <c r="H344" s="3">
        <v>10</v>
      </c>
      <c r="I344" s="195">
        <v>16</v>
      </c>
      <c r="J344" s="181" t="s">
        <v>23</v>
      </c>
      <c r="K344" s="185"/>
    </row>
    <row r="345" spans="6:11" x14ac:dyDescent="0.3">
      <c r="F345" s="244">
        <f>ROW()-ROW(APORTACIONESOCIOS[[#Headers],[SECUENCIA]])</f>
        <v>341</v>
      </c>
      <c r="G345" s="130">
        <v>45580</v>
      </c>
      <c r="H345" s="3">
        <v>10</v>
      </c>
      <c r="I345" s="195">
        <v>3</v>
      </c>
      <c r="J345" s="181" t="s">
        <v>13</v>
      </c>
      <c r="K345" s="185"/>
    </row>
    <row r="346" spans="6:11" x14ac:dyDescent="0.3">
      <c r="F346" s="244">
        <f>ROW()-ROW(APORTACIONESOCIOS[[#Headers],[SECUENCIA]])</f>
        <v>342</v>
      </c>
      <c r="G346" s="117">
        <v>45580</v>
      </c>
      <c r="H346" s="3">
        <v>10</v>
      </c>
      <c r="I346" s="195">
        <v>4</v>
      </c>
      <c r="J346" s="181" t="s">
        <v>12</v>
      </c>
      <c r="K346" s="185"/>
    </row>
    <row r="347" spans="6:11" x14ac:dyDescent="0.3">
      <c r="F347" s="244">
        <f>ROW()-ROW(APORTACIONESOCIOS[[#Headers],[SECUENCIA]])</f>
        <v>343</v>
      </c>
      <c r="G347" s="117">
        <v>45580</v>
      </c>
      <c r="H347" s="3">
        <v>10</v>
      </c>
      <c r="I347" s="195">
        <v>5</v>
      </c>
      <c r="J347" s="181" t="s">
        <v>14</v>
      </c>
      <c r="K347" s="185"/>
    </row>
    <row r="348" spans="6:11" x14ac:dyDescent="0.3">
      <c r="F348" s="244">
        <f>ROW()-ROW(APORTACIONESOCIOS[[#Headers],[SECUENCIA]])</f>
        <v>344</v>
      </c>
      <c r="G348" s="117">
        <v>45580</v>
      </c>
      <c r="H348" s="3">
        <v>10</v>
      </c>
      <c r="I348" s="195">
        <v>6</v>
      </c>
      <c r="J348" s="181" t="s">
        <v>24</v>
      </c>
      <c r="K348" s="185"/>
    </row>
    <row r="349" spans="6:11" x14ac:dyDescent="0.3">
      <c r="F349" s="244">
        <f>ROW()-ROW(APORTACIONESOCIOS[[#Headers],[SECUENCIA]])</f>
        <v>345</v>
      </c>
      <c r="G349" s="117">
        <v>45580</v>
      </c>
      <c r="H349" s="3">
        <v>10</v>
      </c>
      <c r="I349" s="195">
        <v>7</v>
      </c>
      <c r="J349" s="181" t="s">
        <v>15</v>
      </c>
      <c r="K349" s="185"/>
    </row>
    <row r="350" spans="6:11" x14ac:dyDescent="0.3">
      <c r="F350" s="244">
        <f>ROW()-ROW(APORTACIONESOCIOS[[#Headers],[SECUENCIA]])</f>
        <v>346</v>
      </c>
      <c r="G350" s="117">
        <v>45580</v>
      </c>
      <c r="H350" s="3">
        <v>10</v>
      </c>
      <c r="I350" s="195">
        <v>8</v>
      </c>
      <c r="J350" s="181" t="s">
        <v>16</v>
      </c>
      <c r="K350" s="185"/>
    </row>
    <row r="351" spans="6:11" x14ac:dyDescent="0.3">
      <c r="F351" s="244">
        <f>ROW()-ROW(APORTACIONESOCIOS[[#Headers],[SECUENCIA]])</f>
        <v>347</v>
      </c>
      <c r="G351" s="117">
        <v>45580</v>
      </c>
      <c r="H351" s="3">
        <v>10</v>
      </c>
      <c r="I351" s="195">
        <v>9</v>
      </c>
      <c r="J351" s="181" t="s">
        <v>17</v>
      </c>
      <c r="K351" s="185"/>
    </row>
    <row r="352" spans="6:11" x14ac:dyDescent="0.3">
      <c r="F352" s="244">
        <f>ROW()-ROW(APORTACIONESOCIOS[[#Headers],[SECUENCIA]])</f>
        <v>348</v>
      </c>
      <c r="G352" s="117">
        <v>45580</v>
      </c>
      <c r="H352" s="3">
        <v>10</v>
      </c>
      <c r="I352" s="195">
        <v>10</v>
      </c>
      <c r="J352" s="181" t="s">
        <v>18</v>
      </c>
      <c r="K352" s="185"/>
    </row>
    <row r="353" spans="6:11" x14ac:dyDescent="0.3">
      <c r="F353" s="244">
        <f>ROW()-ROW(APORTACIONESOCIOS[[#Headers],[SECUENCIA]])</f>
        <v>349</v>
      </c>
      <c r="G353" s="117">
        <v>45580</v>
      </c>
      <c r="H353" s="3">
        <v>10</v>
      </c>
      <c r="I353" s="195">
        <v>11</v>
      </c>
      <c r="J353" s="181" t="s">
        <v>19</v>
      </c>
      <c r="K353" s="185"/>
    </row>
    <row r="354" spans="6:11" x14ac:dyDescent="0.3">
      <c r="F354" s="244">
        <f>ROW()-ROW(APORTACIONESOCIOS[[#Headers],[SECUENCIA]])</f>
        <v>350</v>
      </c>
      <c r="G354" s="117">
        <v>45580</v>
      </c>
      <c r="H354" s="3">
        <v>10</v>
      </c>
      <c r="I354" s="195">
        <v>12</v>
      </c>
      <c r="J354" s="181" t="s">
        <v>20</v>
      </c>
      <c r="K354" s="185"/>
    </row>
    <row r="355" spans="6:11" x14ac:dyDescent="0.3">
      <c r="F355" s="244">
        <f>ROW()-ROW(APORTACIONESOCIOS[[#Headers],[SECUENCIA]])</f>
        <v>351</v>
      </c>
      <c r="G355" s="117">
        <v>45580</v>
      </c>
      <c r="H355" s="3">
        <v>10</v>
      </c>
      <c r="I355" s="195">
        <v>14</v>
      </c>
      <c r="J355" s="181" t="s">
        <v>21</v>
      </c>
      <c r="K355" s="185"/>
    </row>
    <row r="356" spans="6:11" x14ac:dyDescent="0.3">
      <c r="F356" s="244">
        <f>ROW()-ROW(APORTACIONESOCIOS[[#Headers],[SECUENCIA]])</f>
        <v>352</v>
      </c>
      <c r="G356" s="117">
        <v>45580</v>
      </c>
      <c r="H356" s="3">
        <v>10</v>
      </c>
      <c r="I356" s="195">
        <v>15</v>
      </c>
      <c r="J356" s="181" t="s">
        <v>22</v>
      </c>
      <c r="K356" s="185"/>
    </row>
    <row r="357" spans="6:11" x14ac:dyDescent="0.3">
      <c r="F357" s="244">
        <f>ROW()-ROW(APORTACIONESOCIOS[[#Headers],[SECUENCIA]])</f>
        <v>353</v>
      </c>
      <c r="G357" s="117">
        <v>45580</v>
      </c>
      <c r="H357" s="3">
        <v>10</v>
      </c>
      <c r="I357" s="195">
        <v>16</v>
      </c>
      <c r="J357" s="181" t="s">
        <v>23</v>
      </c>
      <c r="K357" s="185"/>
    </row>
    <row r="358" spans="6:11" x14ac:dyDescent="0.3">
      <c r="F358" s="244">
        <f>ROW()-ROW(APORTACIONESOCIOS[[#Headers],[SECUENCIA]])</f>
        <v>354</v>
      </c>
      <c r="G358" s="130">
        <v>45611</v>
      </c>
      <c r="H358" s="3">
        <v>10</v>
      </c>
      <c r="I358" s="195">
        <v>3</v>
      </c>
      <c r="J358" s="181" t="s">
        <v>13</v>
      </c>
      <c r="K358" s="185"/>
    </row>
    <row r="359" spans="6:11" x14ac:dyDescent="0.3">
      <c r="F359" s="244">
        <f>ROW()-ROW(APORTACIONESOCIOS[[#Headers],[SECUENCIA]])</f>
        <v>355</v>
      </c>
      <c r="G359" s="117">
        <v>45611</v>
      </c>
      <c r="H359" s="3">
        <v>10</v>
      </c>
      <c r="I359" s="195">
        <v>4</v>
      </c>
      <c r="J359" s="181" t="s">
        <v>12</v>
      </c>
      <c r="K359" s="185"/>
    </row>
    <row r="360" spans="6:11" x14ac:dyDescent="0.3">
      <c r="F360" s="244">
        <f>ROW()-ROW(APORTACIONESOCIOS[[#Headers],[SECUENCIA]])</f>
        <v>356</v>
      </c>
      <c r="G360" s="117">
        <v>45611</v>
      </c>
      <c r="H360" s="3">
        <v>10</v>
      </c>
      <c r="I360" s="195">
        <v>5</v>
      </c>
      <c r="J360" s="181" t="s">
        <v>14</v>
      </c>
      <c r="K360" s="185"/>
    </row>
    <row r="361" spans="6:11" x14ac:dyDescent="0.3">
      <c r="F361" s="244">
        <f>ROW()-ROW(APORTACIONESOCIOS[[#Headers],[SECUENCIA]])</f>
        <v>357</v>
      </c>
      <c r="G361" s="117">
        <v>45611</v>
      </c>
      <c r="H361" s="3">
        <v>10</v>
      </c>
      <c r="I361" s="195">
        <v>6</v>
      </c>
      <c r="J361" s="181" t="s">
        <v>24</v>
      </c>
      <c r="K361" s="185"/>
    </row>
    <row r="362" spans="6:11" x14ac:dyDescent="0.3">
      <c r="F362" s="244">
        <f>ROW()-ROW(APORTACIONESOCIOS[[#Headers],[SECUENCIA]])</f>
        <v>358</v>
      </c>
      <c r="G362" s="117">
        <v>45611</v>
      </c>
      <c r="H362" s="3">
        <v>10</v>
      </c>
      <c r="I362" s="195">
        <v>7</v>
      </c>
      <c r="J362" s="181" t="s">
        <v>15</v>
      </c>
      <c r="K362" s="185"/>
    </row>
    <row r="363" spans="6:11" x14ac:dyDescent="0.3">
      <c r="F363" s="244">
        <f>ROW()-ROW(APORTACIONESOCIOS[[#Headers],[SECUENCIA]])</f>
        <v>359</v>
      </c>
      <c r="G363" s="117">
        <v>45611</v>
      </c>
      <c r="H363" s="3">
        <v>10</v>
      </c>
      <c r="I363" s="195">
        <v>8</v>
      </c>
      <c r="J363" s="181" t="s">
        <v>16</v>
      </c>
      <c r="K363" s="185"/>
    </row>
    <row r="364" spans="6:11" x14ac:dyDescent="0.3">
      <c r="F364" s="244">
        <f>ROW()-ROW(APORTACIONESOCIOS[[#Headers],[SECUENCIA]])</f>
        <v>360</v>
      </c>
      <c r="G364" s="117">
        <v>45611</v>
      </c>
      <c r="H364" s="3">
        <v>10</v>
      </c>
      <c r="I364" s="195">
        <v>9</v>
      </c>
      <c r="J364" s="181" t="s">
        <v>17</v>
      </c>
      <c r="K364" s="185"/>
    </row>
    <row r="365" spans="6:11" x14ac:dyDescent="0.3">
      <c r="F365" s="244">
        <f>ROW()-ROW(APORTACIONESOCIOS[[#Headers],[SECUENCIA]])</f>
        <v>361</v>
      </c>
      <c r="G365" s="117">
        <v>45611</v>
      </c>
      <c r="H365" s="3">
        <v>10</v>
      </c>
      <c r="I365" s="195">
        <v>10</v>
      </c>
      <c r="J365" s="181" t="s">
        <v>18</v>
      </c>
      <c r="K365" s="185"/>
    </row>
    <row r="366" spans="6:11" x14ac:dyDescent="0.3">
      <c r="F366" s="244">
        <f>ROW()-ROW(APORTACIONESOCIOS[[#Headers],[SECUENCIA]])</f>
        <v>362</v>
      </c>
      <c r="G366" s="117">
        <v>45611</v>
      </c>
      <c r="H366" s="3">
        <v>10</v>
      </c>
      <c r="I366" s="195">
        <v>11</v>
      </c>
      <c r="J366" s="181" t="s">
        <v>19</v>
      </c>
      <c r="K366" s="185"/>
    </row>
    <row r="367" spans="6:11" x14ac:dyDescent="0.3">
      <c r="F367" s="244">
        <f>ROW()-ROW(APORTACIONESOCIOS[[#Headers],[SECUENCIA]])</f>
        <v>363</v>
      </c>
      <c r="G367" s="117">
        <v>45611</v>
      </c>
      <c r="H367" s="3">
        <v>10</v>
      </c>
      <c r="I367" s="195">
        <v>12</v>
      </c>
      <c r="J367" s="181" t="s">
        <v>20</v>
      </c>
      <c r="K367" s="185"/>
    </row>
    <row r="368" spans="6:11" x14ac:dyDescent="0.3">
      <c r="F368" s="244">
        <f>ROW()-ROW(APORTACIONESOCIOS[[#Headers],[SECUENCIA]])</f>
        <v>364</v>
      </c>
      <c r="G368" s="117">
        <v>45611</v>
      </c>
      <c r="H368" s="3">
        <v>10</v>
      </c>
      <c r="I368" s="195">
        <v>14</v>
      </c>
      <c r="J368" s="181" t="s">
        <v>21</v>
      </c>
      <c r="K368" s="185"/>
    </row>
    <row r="369" spans="6:11" x14ac:dyDescent="0.3">
      <c r="F369" s="244">
        <f>ROW()-ROW(APORTACIONESOCIOS[[#Headers],[SECUENCIA]])</f>
        <v>365</v>
      </c>
      <c r="G369" s="117">
        <v>45611</v>
      </c>
      <c r="H369" s="3">
        <v>10</v>
      </c>
      <c r="I369" s="195">
        <v>15</v>
      </c>
      <c r="J369" s="181" t="s">
        <v>22</v>
      </c>
      <c r="K369" s="185"/>
    </row>
    <row r="370" spans="6:11" x14ac:dyDescent="0.3">
      <c r="F370" s="244">
        <f>ROW()-ROW(APORTACIONESOCIOS[[#Headers],[SECUENCIA]])</f>
        <v>366</v>
      </c>
      <c r="G370" s="117">
        <v>45611</v>
      </c>
      <c r="H370" s="3">
        <v>10</v>
      </c>
      <c r="I370" s="195">
        <v>16</v>
      </c>
      <c r="J370" s="181" t="s">
        <v>23</v>
      </c>
      <c r="K370" s="185"/>
    </row>
    <row r="371" spans="6:11" x14ac:dyDescent="0.3">
      <c r="F371" s="244">
        <f>ROW()-ROW(APORTACIONESOCIOS[[#Headers],[SECUENCIA]])</f>
        <v>367</v>
      </c>
      <c r="G371" s="130">
        <v>45641</v>
      </c>
      <c r="H371" s="3">
        <v>10</v>
      </c>
      <c r="I371" s="195">
        <v>3</v>
      </c>
      <c r="J371" s="181" t="s">
        <v>13</v>
      </c>
      <c r="K371" s="185"/>
    </row>
    <row r="372" spans="6:11" x14ac:dyDescent="0.3">
      <c r="F372" s="244">
        <f>ROW()-ROW(APORTACIONESOCIOS[[#Headers],[SECUENCIA]])</f>
        <v>368</v>
      </c>
      <c r="G372" s="117">
        <v>45641</v>
      </c>
      <c r="H372" s="3">
        <v>10</v>
      </c>
      <c r="I372" s="195">
        <v>4</v>
      </c>
      <c r="J372" s="181" t="s">
        <v>12</v>
      </c>
      <c r="K372" s="185"/>
    </row>
    <row r="373" spans="6:11" x14ac:dyDescent="0.3">
      <c r="F373" s="244">
        <f>ROW()-ROW(APORTACIONESOCIOS[[#Headers],[SECUENCIA]])</f>
        <v>369</v>
      </c>
      <c r="G373" s="117">
        <v>45641</v>
      </c>
      <c r="H373" s="3">
        <v>10</v>
      </c>
      <c r="I373" s="195">
        <v>5</v>
      </c>
      <c r="J373" s="181" t="s">
        <v>14</v>
      </c>
      <c r="K373" s="185"/>
    </row>
    <row r="374" spans="6:11" x14ac:dyDescent="0.3">
      <c r="F374" s="244">
        <f>ROW()-ROW(APORTACIONESOCIOS[[#Headers],[SECUENCIA]])</f>
        <v>370</v>
      </c>
      <c r="G374" s="117">
        <v>45641</v>
      </c>
      <c r="H374" s="3">
        <v>10</v>
      </c>
      <c r="I374" s="195">
        <v>6</v>
      </c>
      <c r="J374" s="181" t="s">
        <v>24</v>
      </c>
      <c r="K374" s="185"/>
    </row>
    <row r="375" spans="6:11" x14ac:dyDescent="0.3">
      <c r="F375" s="244">
        <f>ROW()-ROW(APORTACIONESOCIOS[[#Headers],[SECUENCIA]])</f>
        <v>371</v>
      </c>
      <c r="G375" s="117">
        <v>45641</v>
      </c>
      <c r="H375" s="3">
        <v>10</v>
      </c>
      <c r="I375" s="195">
        <v>7</v>
      </c>
      <c r="J375" s="181" t="s">
        <v>15</v>
      </c>
      <c r="K375" s="185"/>
    </row>
    <row r="376" spans="6:11" x14ac:dyDescent="0.3">
      <c r="F376" s="244">
        <f>ROW()-ROW(APORTACIONESOCIOS[[#Headers],[SECUENCIA]])</f>
        <v>372</v>
      </c>
      <c r="G376" s="117">
        <v>45641</v>
      </c>
      <c r="H376" s="3">
        <v>10</v>
      </c>
      <c r="I376" s="195">
        <v>8</v>
      </c>
      <c r="J376" s="181" t="s">
        <v>16</v>
      </c>
      <c r="K376" s="185"/>
    </row>
    <row r="377" spans="6:11" x14ac:dyDescent="0.3">
      <c r="F377" s="244">
        <f>ROW()-ROW(APORTACIONESOCIOS[[#Headers],[SECUENCIA]])</f>
        <v>373</v>
      </c>
      <c r="G377" s="117">
        <v>45641</v>
      </c>
      <c r="H377" s="3">
        <v>10</v>
      </c>
      <c r="I377" s="195">
        <v>9</v>
      </c>
      <c r="J377" s="181" t="s">
        <v>17</v>
      </c>
      <c r="K377" s="185"/>
    </row>
    <row r="378" spans="6:11" x14ac:dyDescent="0.3">
      <c r="F378" s="244">
        <f>ROW()-ROW(APORTACIONESOCIOS[[#Headers],[SECUENCIA]])</f>
        <v>374</v>
      </c>
      <c r="G378" s="117">
        <v>45641</v>
      </c>
      <c r="H378" s="3">
        <v>10</v>
      </c>
      <c r="I378" s="195">
        <v>10</v>
      </c>
      <c r="J378" s="181" t="s">
        <v>18</v>
      </c>
      <c r="K378" s="185"/>
    </row>
    <row r="379" spans="6:11" x14ac:dyDescent="0.3">
      <c r="F379" s="244">
        <f>ROW()-ROW(APORTACIONESOCIOS[[#Headers],[SECUENCIA]])</f>
        <v>375</v>
      </c>
      <c r="G379" s="117">
        <v>45641</v>
      </c>
      <c r="H379" s="3">
        <v>10</v>
      </c>
      <c r="I379" s="195">
        <v>11</v>
      </c>
      <c r="J379" s="181" t="s">
        <v>19</v>
      </c>
      <c r="K379" s="185"/>
    </row>
    <row r="380" spans="6:11" x14ac:dyDescent="0.3">
      <c r="F380" s="244">
        <f>ROW()-ROW(APORTACIONESOCIOS[[#Headers],[SECUENCIA]])</f>
        <v>376</v>
      </c>
      <c r="G380" s="117">
        <v>45641</v>
      </c>
      <c r="H380" s="3">
        <v>10</v>
      </c>
      <c r="I380" s="195">
        <v>12</v>
      </c>
      <c r="J380" s="181" t="s">
        <v>20</v>
      </c>
      <c r="K380" s="185"/>
    </row>
    <row r="381" spans="6:11" x14ac:dyDescent="0.3">
      <c r="F381" s="244">
        <f>ROW()-ROW(APORTACIONESOCIOS[[#Headers],[SECUENCIA]])</f>
        <v>377</v>
      </c>
      <c r="G381" s="117">
        <v>45641</v>
      </c>
      <c r="H381" s="3">
        <v>10</v>
      </c>
      <c r="I381" s="195">
        <v>14</v>
      </c>
      <c r="J381" s="181" t="s">
        <v>21</v>
      </c>
      <c r="K381" s="185"/>
    </row>
    <row r="382" spans="6:11" x14ac:dyDescent="0.3">
      <c r="F382" s="244">
        <f>ROW()-ROW(APORTACIONESOCIOS[[#Headers],[SECUENCIA]])</f>
        <v>378</v>
      </c>
      <c r="G382" s="117">
        <v>45641</v>
      </c>
      <c r="H382" s="3">
        <v>10</v>
      </c>
      <c r="I382" s="195">
        <v>15</v>
      </c>
      <c r="J382" s="181" t="s">
        <v>22</v>
      </c>
      <c r="K382" s="185"/>
    </row>
    <row r="383" spans="6:11" x14ac:dyDescent="0.3">
      <c r="F383" s="244">
        <f>ROW()-ROW(APORTACIONESOCIOS[[#Headers],[SECUENCIA]])</f>
        <v>379</v>
      </c>
      <c r="G383" s="117">
        <v>45641</v>
      </c>
      <c r="H383" s="3">
        <v>10</v>
      </c>
      <c r="I383" s="195">
        <v>16</v>
      </c>
      <c r="J383" s="181" t="s">
        <v>23</v>
      </c>
      <c r="K383" s="185"/>
    </row>
    <row r="384" spans="6:11" x14ac:dyDescent="0.3">
      <c r="F384" s="244">
        <f>ROW()-ROW(APORTACIONESOCIOS[[#Headers],[SECUENCIA]])</f>
        <v>380</v>
      </c>
      <c r="G384" s="117">
        <v>45672</v>
      </c>
      <c r="H384" s="3">
        <v>10</v>
      </c>
      <c r="I384" s="195">
        <v>3</v>
      </c>
      <c r="J384" s="181" t="s">
        <v>13</v>
      </c>
      <c r="K384" s="185"/>
    </row>
    <row r="385" spans="6:11" x14ac:dyDescent="0.3">
      <c r="F385" s="245">
        <f>ROW()-ROW(APORTACIONESOCIOS[[#Headers],[SECUENCIA]])</f>
        <v>381</v>
      </c>
      <c r="G385" s="117">
        <v>45672</v>
      </c>
      <c r="H385" s="3">
        <v>10</v>
      </c>
      <c r="I385" s="195">
        <v>4</v>
      </c>
      <c r="J385" s="181" t="s">
        <v>12</v>
      </c>
      <c r="K385" s="187"/>
    </row>
    <row r="386" spans="6:11" x14ac:dyDescent="0.3">
      <c r="F386" s="244">
        <f>ROW()-ROW(APORTACIONESOCIOS[[#Headers],[SECUENCIA]])</f>
        <v>382</v>
      </c>
      <c r="G386" s="117">
        <v>45672</v>
      </c>
      <c r="H386" s="3">
        <v>10</v>
      </c>
      <c r="I386" s="195">
        <v>5</v>
      </c>
      <c r="J386" s="181" t="s">
        <v>14</v>
      </c>
      <c r="K386" s="185"/>
    </row>
    <row r="387" spans="6:11" x14ac:dyDescent="0.3">
      <c r="F387" s="244">
        <f>ROW()-ROW(APORTACIONESOCIOS[[#Headers],[SECUENCIA]])</f>
        <v>383</v>
      </c>
      <c r="G387" s="117">
        <v>45672</v>
      </c>
      <c r="H387" s="3">
        <v>10</v>
      </c>
      <c r="I387" s="195">
        <v>6</v>
      </c>
      <c r="J387" s="181" t="s">
        <v>24</v>
      </c>
      <c r="K387" s="185"/>
    </row>
    <row r="388" spans="6:11" x14ac:dyDescent="0.3">
      <c r="F388" s="244">
        <f>ROW()-ROW(APORTACIONESOCIOS[[#Headers],[SECUENCIA]])</f>
        <v>384</v>
      </c>
      <c r="G388" s="117">
        <v>45672</v>
      </c>
      <c r="H388" s="3">
        <v>10</v>
      </c>
      <c r="I388" s="195">
        <v>7</v>
      </c>
      <c r="J388" s="181" t="s">
        <v>15</v>
      </c>
      <c r="K388" s="185"/>
    </row>
    <row r="389" spans="6:11" x14ac:dyDescent="0.3">
      <c r="F389" s="244">
        <f>ROW()-ROW(APORTACIONESOCIOS[[#Headers],[SECUENCIA]])</f>
        <v>385</v>
      </c>
      <c r="G389" s="117">
        <v>45672</v>
      </c>
      <c r="H389" s="3">
        <v>10</v>
      </c>
      <c r="I389" s="195">
        <v>8</v>
      </c>
      <c r="J389" s="181" t="s">
        <v>16</v>
      </c>
      <c r="K389" s="185"/>
    </row>
    <row r="390" spans="6:11" x14ac:dyDescent="0.3">
      <c r="F390" s="244">
        <f>ROW()-ROW(APORTACIONESOCIOS[[#Headers],[SECUENCIA]])</f>
        <v>386</v>
      </c>
      <c r="G390" s="117">
        <v>45672</v>
      </c>
      <c r="H390" s="3">
        <v>10</v>
      </c>
      <c r="I390" s="195">
        <v>9</v>
      </c>
      <c r="J390" s="181" t="s">
        <v>17</v>
      </c>
      <c r="K390" s="185"/>
    </row>
    <row r="391" spans="6:11" x14ac:dyDescent="0.3">
      <c r="F391" s="244">
        <f>ROW()-ROW(APORTACIONESOCIOS[[#Headers],[SECUENCIA]])</f>
        <v>387</v>
      </c>
      <c r="G391" s="117">
        <v>45672</v>
      </c>
      <c r="H391" s="3">
        <v>10</v>
      </c>
      <c r="I391" s="195">
        <v>10</v>
      </c>
      <c r="J391" s="181" t="s">
        <v>18</v>
      </c>
      <c r="K391" s="185"/>
    </row>
    <row r="392" spans="6:11" x14ac:dyDescent="0.3">
      <c r="F392" s="244">
        <f>ROW()-ROW(APORTACIONESOCIOS[[#Headers],[SECUENCIA]])</f>
        <v>388</v>
      </c>
      <c r="G392" s="117">
        <v>45672</v>
      </c>
      <c r="H392" s="3">
        <v>10</v>
      </c>
      <c r="I392" s="195">
        <v>11</v>
      </c>
      <c r="J392" s="181" t="s">
        <v>19</v>
      </c>
      <c r="K392" s="185"/>
    </row>
    <row r="393" spans="6:11" x14ac:dyDescent="0.3">
      <c r="F393" s="244">
        <f>ROW()-ROW(APORTACIONESOCIOS[[#Headers],[SECUENCIA]])</f>
        <v>389</v>
      </c>
      <c r="G393" s="117">
        <v>45672</v>
      </c>
      <c r="H393" s="3">
        <v>10</v>
      </c>
      <c r="I393" s="195">
        <v>12</v>
      </c>
      <c r="J393" s="181" t="s">
        <v>20</v>
      </c>
      <c r="K393" s="185"/>
    </row>
    <row r="394" spans="6:11" x14ac:dyDescent="0.3">
      <c r="F394" s="244">
        <f>ROW()-ROW(APORTACIONESOCIOS[[#Headers],[SECUENCIA]])</f>
        <v>390</v>
      </c>
      <c r="G394" s="117">
        <v>45672</v>
      </c>
      <c r="H394" s="3">
        <v>10</v>
      </c>
      <c r="I394" s="195">
        <v>14</v>
      </c>
      <c r="J394" s="181" t="s">
        <v>21</v>
      </c>
      <c r="K394" s="185"/>
    </row>
    <row r="395" spans="6:11" x14ac:dyDescent="0.3">
      <c r="F395" s="244">
        <f>ROW()-ROW(APORTACIONESOCIOS[[#Headers],[SECUENCIA]])</f>
        <v>391</v>
      </c>
      <c r="G395" s="117">
        <v>45672</v>
      </c>
      <c r="H395" s="3">
        <v>10</v>
      </c>
      <c r="I395" s="195">
        <v>15</v>
      </c>
      <c r="J395" s="181" t="s">
        <v>22</v>
      </c>
      <c r="K395" s="185"/>
    </row>
    <row r="396" spans="6:11" x14ac:dyDescent="0.3">
      <c r="F396" s="244">
        <f>ROW()-ROW(APORTACIONESOCIOS[[#Headers],[SECUENCIA]])</f>
        <v>392</v>
      </c>
      <c r="G396" s="117">
        <v>45672</v>
      </c>
      <c r="H396" s="3">
        <v>10</v>
      </c>
      <c r="I396" s="195">
        <v>16</v>
      </c>
      <c r="J396" s="181" t="s">
        <v>23</v>
      </c>
      <c r="K396" s="185"/>
    </row>
    <row r="397" spans="6:11" x14ac:dyDescent="0.3">
      <c r="F397" s="244">
        <f>ROW()-ROW(APORTACIONESOCIOS[[#Headers],[SECUENCIA]])</f>
        <v>393</v>
      </c>
      <c r="G397" s="117">
        <v>45703</v>
      </c>
      <c r="H397" s="3">
        <v>10</v>
      </c>
      <c r="I397" s="195">
        <v>3</v>
      </c>
      <c r="J397" s="181" t="s">
        <v>13</v>
      </c>
      <c r="K397" s="185"/>
    </row>
    <row r="398" spans="6:11" x14ac:dyDescent="0.3">
      <c r="F398" s="244">
        <f>ROW()-ROW(APORTACIONESOCIOS[[#Headers],[SECUENCIA]])</f>
        <v>394</v>
      </c>
      <c r="G398" s="117">
        <v>45703</v>
      </c>
      <c r="H398" s="3">
        <v>10</v>
      </c>
      <c r="I398" s="195">
        <v>4</v>
      </c>
      <c r="J398" s="181" t="s">
        <v>12</v>
      </c>
      <c r="K398" s="185"/>
    </row>
    <row r="399" spans="6:11" x14ac:dyDescent="0.3">
      <c r="F399" s="244">
        <f>ROW()-ROW(APORTACIONESOCIOS[[#Headers],[SECUENCIA]])</f>
        <v>395</v>
      </c>
      <c r="G399" s="117">
        <v>45703</v>
      </c>
      <c r="H399" s="3">
        <v>10</v>
      </c>
      <c r="I399" s="195">
        <v>5</v>
      </c>
      <c r="J399" s="181" t="s">
        <v>14</v>
      </c>
      <c r="K399" s="185"/>
    </row>
    <row r="400" spans="6:11" x14ac:dyDescent="0.3">
      <c r="F400" s="244">
        <f>ROW()-ROW(APORTACIONESOCIOS[[#Headers],[SECUENCIA]])</f>
        <v>396</v>
      </c>
      <c r="G400" s="117">
        <v>45703</v>
      </c>
      <c r="H400" s="3">
        <v>10</v>
      </c>
      <c r="I400" s="195">
        <v>6</v>
      </c>
      <c r="J400" s="181" t="s">
        <v>24</v>
      </c>
      <c r="K400" s="185"/>
    </row>
    <row r="401" spans="6:11" x14ac:dyDescent="0.3">
      <c r="F401" s="244">
        <f>ROW()-ROW(APORTACIONESOCIOS[[#Headers],[SECUENCIA]])</f>
        <v>397</v>
      </c>
      <c r="G401" s="117">
        <v>45703</v>
      </c>
      <c r="H401" s="3">
        <v>10</v>
      </c>
      <c r="I401" s="195">
        <v>7</v>
      </c>
      <c r="J401" s="181" t="s">
        <v>15</v>
      </c>
      <c r="K401" s="185"/>
    </row>
    <row r="402" spans="6:11" x14ac:dyDescent="0.3">
      <c r="F402" s="244">
        <f>ROW()-ROW(APORTACIONESOCIOS[[#Headers],[SECUENCIA]])</f>
        <v>398</v>
      </c>
      <c r="G402" s="117">
        <v>45703</v>
      </c>
      <c r="H402" s="3">
        <v>10</v>
      </c>
      <c r="I402" s="195">
        <v>8</v>
      </c>
      <c r="J402" s="181" t="s">
        <v>16</v>
      </c>
      <c r="K402" s="185"/>
    </row>
    <row r="403" spans="6:11" x14ac:dyDescent="0.3">
      <c r="F403" s="244">
        <f>ROW()-ROW(APORTACIONESOCIOS[[#Headers],[SECUENCIA]])</f>
        <v>399</v>
      </c>
      <c r="G403" s="117">
        <v>45703</v>
      </c>
      <c r="H403" s="3">
        <v>10</v>
      </c>
      <c r="I403" s="195">
        <v>9</v>
      </c>
      <c r="J403" s="181" t="s">
        <v>17</v>
      </c>
      <c r="K403" s="185"/>
    </row>
    <row r="404" spans="6:11" x14ac:dyDescent="0.3">
      <c r="F404" s="244">
        <f>ROW()-ROW(APORTACIONESOCIOS[[#Headers],[SECUENCIA]])</f>
        <v>400</v>
      </c>
      <c r="G404" s="117">
        <v>45703</v>
      </c>
      <c r="H404" s="3">
        <v>10</v>
      </c>
      <c r="I404" s="195">
        <v>10</v>
      </c>
      <c r="J404" s="181" t="s">
        <v>18</v>
      </c>
      <c r="K404" s="185"/>
    </row>
    <row r="405" spans="6:11" x14ac:dyDescent="0.3">
      <c r="F405" s="244">
        <f>ROW()-ROW(APORTACIONESOCIOS[[#Headers],[SECUENCIA]])</f>
        <v>401</v>
      </c>
      <c r="G405" s="117">
        <v>45703</v>
      </c>
      <c r="H405" s="3">
        <v>10</v>
      </c>
      <c r="I405" s="195">
        <v>11</v>
      </c>
      <c r="J405" s="181" t="s">
        <v>19</v>
      </c>
      <c r="K405" s="185"/>
    </row>
    <row r="406" spans="6:11" x14ac:dyDescent="0.3">
      <c r="F406" s="244">
        <f>ROW()-ROW(APORTACIONESOCIOS[[#Headers],[SECUENCIA]])</f>
        <v>402</v>
      </c>
      <c r="G406" s="117">
        <v>45703</v>
      </c>
      <c r="H406" s="3">
        <v>10</v>
      </c>
      <c r="I406" s="195">
        <v>12</v>
      </c>
      <c r="J406" s="181" t="s">
        <v>20</v>
      </c>
      <c r="K406" s="185"/>
    </row>
    <row r="407" spans="6:11" x14ac:dyDescent="0.3">
      <c r="F407" s="244">
        <f>ROW()-ROW(APORTACIONESOCIOS[[#Headers],[SECUENCIA]])</f>
        <v>403</v>
      </c>
      <c r="G407" s="117">
        <v>45703</v>
      </c>
      <c r="H407" s="3">
        <v>10</v>
      </c>
      <c r="I407" s="195">
        <v>14</v>
      </c>
      <c r="J407" s="181" t="s">
        <v>21</v>
      </c>
      <c r="K407" s="185"/>
    </row>
    <row r="408" spans="6:11" x14ac:dyDescent="0.3">
      <c r="F408" s="244">
        <f>ROW()-ROW(APORTACIONESOCIOS[[#Headers],[SECUENCIA]])</f>
        <v>404</v>
      </c>
      <c r="G408" s="117">
        <v>45703</v>
      </c>
      <c r="H408" s="3">
        <v>10</v>
      </c>
      <c r="I408" s="195">
        <v>15</v>
      </c>
      <c r="J408" s="181" t="s">
        <v>22</v>
      </c>
      <c r="K408" s="185"/>
    </row>
    <row r="409" spans="6:11" x14ac:dyDescent="0.3">
      <c r="F409" s="244">
        <f>ROW()-ROW(APORTACIONESOCIOS[[#Headers],[SECUENCIA]])</f>
        <v>405</v>
      </c>
      <c r="G409" s="117">
        <v>45703</v>
      </c>
      <c r="H409" s="3">
        <v>10</v>
      </c>
      <c r="I409" s="195">
        <v>16</v>
      </c>
      <c r="J409" s="181" t="s">
        <v>23</v>
      </c>
      <c r="K409" s="185"/>
    </row>
    <row r="410" spans="6:11" x14ac:dyDescent="0.3">
      <c r="F410" s="244">
        <f>ROW()-ROW(APORTACIONESOCIOS[[#Headers],[SECUENCIA]])</f>
        <v>406</v>
      </c>
      <c r="G410" s="130">
        <v>45731</v>
      </c>
      <c r="H410" s="3">
        <v>10</v>
      </c>
      <c r="I410" s="195">
        <v>3</v>
      </c>
      <c r="J410" s="181" t="s">
        <v>13</v>
      </c>
      <c r="K410" s="185"/>
    </row>
    <row r="411" spans="6:11" x14ac:dyDescent="0.3">
      <c r="F411" s="244">
        <f>ROW()-ROW(APORTACIONESOCIOS[[#Headers],[SECUENCIA]])</f>
        <v>407</v>
      </c>
      <c r="G411" s="117">
        <v>45731</v>
      </c>
      <c r="H411" s="3">
        <v>10</v>
      </c>
      <c r="I411" s="195">
        <v>4</v>
      </c>
      <c r="J411" s="181" t="s">
        <v>12</v>
      </c>
      <c r="K411" s="185"/>
    </row>
    <row r="412" spans="6:11" x14ac:dyDescent="0.3">
      <c r="F412" s="244">
        <f>ROW()-ROW(APORTACIONESOCIOS[[#Headers],[SECUENCIA]])</f>
        <v>408</v>
      </c>
      <c r="G412" s="117">
        <v>45731</v>
      </c>
      <c r="H412" s="3">
        <v>10</v>
      </c>
      <c r="I412" s="195">
        <v>5</v>
      </c>
      <c r="J412" s="181" t="s">
        <v>14</v>
      </c>
      <c r="K412" s="185"/>
    </row>
    <row r="413" spans="6:11" x14ac:dyDescent="0.3">
      <c r="F413" s="244">
        <f>ROW()-ROW(APORTACIONESOCIOS[[#Headers],[SECUENCIA]])</f>
        <v>409</v>
      </c>
      <c r="G413" s="117">
        <v>45731</v>
      </c>
      <c r="H413" s="3">
        <v>10</v>
      </c>
      <c r="I413" s="195">
        <v>6</v>
      </c>
      <c r="J413" s="181" t="s">
        <v>24</v>
      </c>
      <c r="K413" s="185"/>
    </row>
    <row r="414" spans="6:11" x14ac:dyDescent="0.3">
      <c r="F414" s="244">
        <f>ROW()-ROW(APORTACIONESOCIOS[[#Headers],[SECUENCIA]])</f>
        <v>410</v>
      </c>
      <c r="G414" s="117">
        <v>45731</v>
      </c>
      <c r="H414" s="3">
        <v>10</v>
      </c>
      <c r="I414" s="195">
        <v>7</v>
      </c>
      <c r="J414" s="181" t="s">
        <v>15</v>
      </c>
      <c r="K414" s="185"/>
    </row>
    <row r="415" spans="6:11" x14ac:dyDescent="0.3">
      <c r="F415" s="244">
        <f>ROW()-ROW(APORTACIONESOCIOS[[#Headers],[SECUENCIA]])</f>
        <v>411</v>
      </c>
      <c r="G415" s="117">
        <v>45731</v>
      </c>
      <c r="H415" s="3">
        <v>10</v>
      </c>
      <c r="I415" s="195">
        <v>8</v>
      </c>
      <c r="J415" s="181" t="s">
        <v>16</v>
      </c>
      <c r="K415" s="185"/>
    </row>
    <row r="416" spans="6:11" x14ac:dyDescent="0.3">
      <c r="F416" s="244">
        <f>ROW()-ROW(APORTACIONESOCIOS[[#Headers],[SECUENCIA]])</f>
        <v>412</v>
      </c>
      <c r="G416" s="117">
        <v>45731</v>
      </c>
      <c r="H416" s="3">
        <v>10</v>
      </c>
      <c r="I416" s="195">
        <v>9</v>
      </c>
      <c r="J416" s="181" t="s">
        <v>17</v>
      </c>
      <c r="K416" s="185"/>
    </row>
    <row r="417" spans="6:11" x14ac:dyDescent="0.3">
      <c r="F417" s="244">
        <f>ROW()-ROW(APORTACIONESOCIOS[[#Headers],[SECUENCIA]])</f>
        <v>413</v>
      </c>
      <c r="G417" s="117">
        <v>45731</v>
      </c>
      <c r="H417" s="3">
        <v>10</v>
      </c>
      <c r="I417" s="195">
        <v>10</v>
      </c>
      <c r="J417" s="181" t="s">
        <v>18</v>
      </c>
      <c r="K417" s="185"/>
    </row>
    <row r="418" spans="6:11" x14ac:dyDescent="0.3">
      <c r="F418" s="244">
        <f>ROW()-ROW(APORTACIONESOCIOS[[#Headers],[SECUENCIA]])</f>
        <v>414</v>
      </c>
      <c r="G418" s="117">
        <v>45731</v>
      </c>
      <c r="H418" s="3">
        <v>10</v>
      </c>
      <c r="I418" s="195">
        <v>11</v>
      </c>
      <c r="J418" s="181" t="s">
        <v>19</v>
      </c>
      <c r="K418" s="185"/>
    </row>
    <row r="419" spans="6:11" x14ac:dyDescent="0.3">
      <c r="F419" s="244">
        <f>ROW()-ROW(APORTACIONESOCIOS[[#Headers],[SECUENCIA]])</f>
        <v>415</v>
      </c>
      <c r="G419" s="117">
        <v>45731</v>
      </c>
      <c r="H419" s="3">
        <v>10</v>
      </c>
      <c r="I419" s="195">
        <v>12</v>
      </c>
      <c r="J419" s="181" t="s">
        <v>20</v>
      </c>
      <c r="K419" s="185"/>
    </row>
    <row r="420" spans="6:11" x14ac:dyDescent="0.3">
      <c r="F420" s="244">
        <f>ROW()-ROW(APORTACIONESOCIOS[[#Headers],[SECUENCIA]])</f>
        <v>416</v>
      </c>
      <c r="G420" s="117">
        <v>45731</v>
      </c>
      <c r="H420" s="3">
        <v>10</v>
      </c>
      <c r="I420" s="195">
        <v>14</v>
      </c>
      <c r="J420" s="181" t="s">
        <v>21</v>
      </c>
      <c r="K420" s="185"/>
    </row>
    <row r="421" spans="6:11" x14ac:dyDescent="0.3">
      <c r="F421" s="244">
        <f>ROW()-ROW(APORTACIONESOCIOS[[#Headers],[SECUENCIA]])</f>
        <v>417</v>
      </c>
      <c r="G421" s="117">
        <v>45731</v>
      </c>
      <c r="H421" s="3">
        <v>10</v>
      </c>
      <c r="I421" s="195">
        <v>15</v>
      </c>
      <c r="J421" s="181" t="s">
        <v>22</v>
      </c>
      <c r="K421" s="185"/>
    </row>
    <row r="422" spans="6:11" x14ac:dyDescent="0.3">
      <c r="F422" s="244">
        <f>ROW()-ROW(APORTACIONESOCIOS[[#Headers],[SECUENCIA]])</f>
        <v>418</v>
      </c>
      <c r="G422" s="117">
        <v>45731</v>
      </c>
      <c r="H422" s="3">
        <v>10</v>
      </c>
      <c r="I422" s="195">
        <v>16</v>
      </c>
      <c r="J422" s="181" t="s">
        <v>23</v>
      </c>
      <c r="K422" s="185"/>
    </row>
    <row r="423" spans="6:11" x14ac:dyDescent="0.3">
      <c r="F423" s="244">
        <f>ROW()-ROW(APORTACIONESOCIOS[[#Headers],[SECUENCIA]])</f>
        <v>419</v>
      </c>
      <c r="G423" s="117">
        <v>45762</v>
      </c>
      <c r="H423" s="3">
        <v>10</v>
      </c>
      <c r="I423" s="195">
        <v>3</v>
      </c>
      <c r="J423" s="181" t="s">
        <v>13</v>
      </c>
      <c r="K423" s="185"/>
    </row>
    <row r="424" spans="6:11" x14ac:dyDescent="0.3">
      <c r="F424" s="244">
        <f>ROW()-ROW(APORTACIONESOCIOS[[#Headers],[SECUENCIA]])</f>
        <v>420</v>
      </c>
      <c r="G424" s="117">
        <v>45762</v>
      </c>
      <c r="H424" s="3">
        <v>10</v>
      </c>
      <c r="I424" s="195">
        <v>4</v>
      </c>
      <c r="J424" s="181" t="s">
        <v>12</v>
      </c>
      <c r="K424" s="185"/>
    </row>
    <row r="425" spans="6:11" x14ac:dyDescent="0.3">
      <c r="F425" s="244">
        <f>ROW()-ROW(APORTACIONESOCIOS[[#Headers],[SECUENCIA]])</f>
        <v>421</v>
      </c>
      <c r="G425" s="117">
        <v>45762</v>
      </c>
      <c r="H425" s="3">
        <v>10</v>
      </c>
      <c r="I425" s="195">
        <v>5</v>
      </c>
      <c r="J425" s="181" t="s">
        <v>14</v>
      </c>
      <c r="K425" s="185"/>
    </row>
    <row r="426" spans="6:11" x14ac:dyDescent="0.3">
      <c r="F426" s="244">
        <f>ROW()-ROW(APORTACIONESOCIOS[[#Headers],[SECUENCIA]])</f>
        <v>422</v>
      </c>
      <c r="G426" s="117">
        <v>45762</v>
      </c>
      <c r="H426" s="3">
        <v>10</v>
      </c>
      <c r="I426" s="195">
        <v>6</v>
      </c>
      <c r="J426" s="181" t="s">
        <v>24</v>
      </c>
      <c r="K426" s="185"/>
    </row>
    <row r="427" spans="6:11" x14ac:dyDescent="0.3">
      <c r="F427" s="244">
        <f>ROW()-ROW(APORTACIONESOCIOS[[#Headers],[SECUENCIA]])</f>
        <v>423</v>
      </c>
      <c r="G427" s="117">
        <v>45762</v>
      </c>
      <c r="H427" s="3">
        <v>10</v>
      </c>
      <c r="I427" s="195">
        <v>7</v>
      </c>
      <c r="J427" s="181" t="s">
        <v>15</v>
      </c>
      <c r="K427" s="185"/>
    </row>
    <row r="428" spans="6:11" x14ac:dyDescent="0.3">
      <c r="F428" s="244">
        <f>ROW()-ROW(APORTACIONESOCIOS[[#Headers],[SECUENCIA]])</f>
        <v>424</v>
      </c>
      <c r="G428" s="117">
        <v>45762</v>
      </c>
      <c r="H428" s="3">
        <v>10</v>
      </c>
      <c r="I428" s="195">
        <v>8</v>
      </c>
      <c r="J428" s="181" t="s">
        <v>16</v>
      </c>
      <c r="K428" s="185"/>
    </row>
    <row r="429" spans="6:11" x14ac:dyDescent="0.3">
      <c r="F429" s="244">
        <f>ROW()-ROW(APORTACIONESOCIOS[[#Headers],[SECUENCIA]])</f>
        <v>425</v>
      </c>
      <c r="G429" s="117">
        <v>45762</v>
      </c>
      <c r="H429" s="3">
        <v>10</v>
      </c>
      <c r="I429" s="195">
        <v>9</v>
      </c>
      <c r="J429" s="181" t="s">
        <v>17</v>
      </c>
      <c r="K429" s="185"/>
    </row>
    <row r="430" spans="6:11" x14ac:dyDescent="0.3">
      <c r="F430" s="244">
        <f>ROW()-ROW(APORTACIONESOCIOS[[#Headers],[SECUENCIA]])</f>
        <v>426</v>
      </c>
      <c r="G430" s="117">
        <v>45762</v>
      </c>
      <c r="H430" s="3">
        <v>10</v>
      </c>
      <c r="I430" s="195">
        <v>10</v>
      </c>
      <c r="J430" s="181" t="s">
        <v>18</v>
      </c>
      <c r="K430" s="185"/>
    </row>
    <row r="431" spans="6:11" x14ac:dyDescent="0.3">
      <c r="F431" s="244">
        <f>ROW()-ROW(APORTACIONESOCIOS[[#Headers],[SECUENCIA]])</f>
        <v>427</v>
      </c>
      <c r="G431" s="117">
        <v>45762</v>
      </c>
      <c r="H431" s="3">
        <v>10</v>
      </c>
      <c r="I431" s="195">
        <v>11</v>
      </c>
      <c r="J431" s="181" t="s">
        <v>19</v>
      </c>
      <c r="K431" s="185"/>
    </row>
    <row r="432" spans="6:11" x14ac:dyDescent="0.3">
      <c r="F432" s="244">
        <f>ROW()-ROW(APORTACIONESOCIOS[[#Headers],[SECUENCIA]])</f>
        <v>428</v>
      </c>
      <c r="G432" s="117">
        <v>45762</v>
      </c>
      <c r="H432" s="3">
        <v>10</v>
      </c>
      <c r="I432" s="195">
        <v>12</v>
      </c>
      <c r="J432" s="181" t="s">
        <v>20</v>
      </c>
      <c r="K432" s="185"/>
    </row>
    <row r="433" spans="6:11" x14ac:dyDescent="0.3">
      <c r="F433" s="244">
        <f>ROW()-ROW(APORTACIONESOCIOS[[#Headers],[SECUENCIA]])</f>
        <v>429</v>
      </c>
      <c r="G433" s="117">
        <v>45762</v>
      </c>
      <c r="H433" s="3">
        <v>110</v>
      </c>
      <c r="I433" s="195">
        <v>13</v>
      </c>
      <c r="J433" s="181" t="s">
        <v>301</v>
      </c>
      <c r="K433" s="185"/>
    </row>
    <row r="434" spans="6:11" x14ac:dyDescent="0.3">
      <c r="F434" s="244">
        <f>ROW()-ROW(APORTACIONESOCIOS[[#Headers],[SECUENCIA]])</f>
        <v>430</v>
      </c>
      <c r="G434" s="117">
        <v>45762</v>
      </c>
      <c r="H434" s="3">
        <v>10</v>
      </c>
      <c r="I434" s="195">
        <v>14</v>
      </c>
      <c r="J434" s="181" t="s">
        <v>21</v>
      </c>
      <c r="K434" s="185"/>
    </row>
    <row r="435" spans="6:11" x14ac:dyDescent="0.3">
      <c r="F435" s="244">
        <f>ROW()-ROW(APORTACIONESOCIOS[[#Headers],[SECUENCIA]])</f>
        <v>431</v>
      </c>
      <c r="G435" s="117">
        <v>45762</v>
      </c>
      <c r="H435" s="3">
        <v>10</v>
      </c>
      <c r="I435" s="195">
        <v>15</v>
      </c>
      <c r="J435" s="181" t="s">
        <v>22</v>
      </c>
      <c r="K435" s="185"/>
    </row>
    <row r="436" spans="6:11" x14ac:dyDescent="0.3">
      <c r="F436" s="244">
        <f>ROW()-ROW(APORTACIONESOCIOS[[#Headers],[SECUENCIA]])</f>
        <v>432</v>
      </c>
      <c r="G436" s="117">
        <v>45762</v>
      </c>
      <c r="H436" s="3">
        <v>10</v>
      </c>
      <c r="I436" s="195">
        <v>16</v>
      </c>
      <c r="J436" s="181" t="s">
        <v>23</v>
      </c>
      <c r="K436" s="185"/>
    </row>
    <row r="437" spans="6:11" x14ac:dyDescent="0.3">
      <c r="F437" s="244">
        <f>ROW()-ROW(APORTACIONESOCIOS[[#Headers],[SECUENCIA]])</f>
        <v>433</v>
      </c>
      <c r="G437" s="117">
        <v>45762</v>
      </c>
      <c r="H437" s="3">
        <v>330</v>
      </c>
      <c r="I437" s="195">
        <v>17</v>
      </c>
      <c r="J437" s="181" t="s">
        <v>299</v>
      </c>
      <c r="K437" s="185"/>
    </row>
    <row r="438" spans="6:11" x14ac:dyDescent="0.3">
      <c r="F438" s="245">
        <f>ROW()-ROW(APORTACIONESOCIOS[[#Headers],[SECUENCIA]])</f>
        <v>434</v>
      </c>
      <c r="G438" s="117">
        <v>45762</v>
      </c>
      <c r="H438" s="3">
        <v>80</v>
      </c>
      <c r="I438" s="196">
        <v>18</v>
      </c>
      <c r="J438" s="186" t="s">
        <v>300</v>
      </c>
      <c r="K438" s="187"/>
    </row>
    <row r="439" spans="6:11" x14ac:dyDescent="0.3">
      <c r="F439" s="244">
        <f>ROW()-ROW(APORTACIONESOCIOS[[#Headers],[SECUENCIA]])</f>
        <v>435</v>
      </c>
      <c r="G439" s="117">
        <v>45792</v>
      </c>
      <c r="H439" s="3">
        <v>10</v>
      </c>
      <c r="I439" s="195">
        <v>3</v>
      </c>
      <c r="J439" s="181" t="s">
        <v>13</v>
      </c>
      <c r="K439" s="185"/>
    </row>
    <row r="440" spans="6:11" x14ac:dyDescent="0.3">
      <c r="F440" s="244">
        <f>ROW()-ROW(APORTACIONESOCIOS[[#Headers],[SECUENCIA]])</f>
        <v>436</v>
      </c>
      <c r="G440" s="117">
        <v>45792</v>
      </c>
      <c r="H440" s="3">
        <v>10</v>
      </c>
      <c r="I440" s="195">
        <v>4</v>
      </c>
      <c r="J440" s="181" t="s">
        <v>12</v>
      </c>
      <c r="K440" s="185"/>
    </row>
    <row r="441" spans="6:11" x14ac:dyDescent="0.3">
      <c r="F441" s="244">
        <f>ROW()-ROW(APORTACIONESOCIOS[[#Headers],[SECUENCIA]])</f>
        <v>437</v>
      </c>
      <c r="G441" s="117">
        <v>45792</v>
      </c>
      <c r="H441" s="3">
        <v>10</v>
      </c>
      <c r="I441" s="195">
        <v>5</v>
      </c>
      <c r="J441" s="181" t="s">
        <v>14</v>
      </c>
      <c r="K441" s="185"/>
    </row>
    <row r="442" spans="6:11" x14ac:dyDescent="0.3">
      <c r="F442" s="244">
        <f>ROW()-ROW(APORTACIONESOCIOS[[#Headers],[SECUENCIA]])</f>
        <v>438</v>
      </c>
      <c r="G442" s="117">
        <v>45792</v>
      </c>
      <c r="H442" s="3">
        <v>10</v>
      </c>
      <c r="I442" s="195">
        <v>6</v>
      </c>
      <c r="J442" s="181" t="s">
        <v>24</v>
      </c>
      <c r="K442" s="185"/>
    </row>
    <row r="443" spans="6:11" x14ac:dyDescent="0.3">
      <c r="F443" s="244">
        <f>ROW()-ROW(APORTACIONESOCIOS[[#Headers],[SECUENCIA]])</f>
        <v>439</v>
      </c>
      <c r="G443" s="117">
        <v>45792</v>
      </c>
      <c r="H443" s="3">
        <v>10</v>
      </c>
      <c r="I443" s="195">
        <v>7</v>
      </c>
      <c r="J443" s="181" t="s">
        <v>15</v>
      </c>
      <c r="K443" s="185"/>
    </row>
    <row r="444" spans="6:11" x14ac:dyDescent="0.3">
      <c r="F444" s="244">
        <f>ROW()-ROW(APORTACIONESOCIOS[[#Headers],[SECUENCIA]])</f>
        <v>440</v>
      </c>
      <c r="G444" s="117">
        <v>45792</v>
      </c>
      <c r="H444" s="3">
        <v>10</v>
      </c>
      <c r="I444" s="195">
        <v>8</v>
      </c>
      <c r="J444" s="181" t="s">
        <v>16</v>
      </c>
      <c r="K444" s="185"/>
    </row>
    <row r="445" spans="6:11" x14ac:dyDescent="0.3">
      <c r="F445" s="244">
        <f>ROW()-ROW(APORTACIONESOCIOS[[#Headers],[SECUENCIA]])</f>
        <v>441</v>
      </c>
      <c r="G445" s="117">
        <v>45792</v>
      </c>
      <c r="H445" s="3">
        <v>10</v>
      </c>
      <c r="I445" s="195">
        <v>9</v>
      </c>
      <c r="J445" s="181" t="s">
        <v>17</v>
      </c>
      <c r="K445" s="185"/>
    </row>
    <row r="446" spans="6:11" x14ac:dyDescent="0.3">
      <c r="F446" s="244">
        <f>ROW()-ROW(APORTACIONESOCIOS[[#Headers],[SECUENCIA]])</f>
        <v>442</v>
      </c>
      <c r="G446" s="117">
        <v>45792</v>
      </c>
      <c r="H446" s="3">
        <v>10</v>
      </c>
      <c r="I446" s="195">
        <v>10</v>
      </c>
      <c r="J446" s="181" t="s">
        <v>18</v>
      </c>
      <c r="K446" s="185"/>
    </row>
    <row r="447" spans="6:11" x14ac:dyDescent="0.3">
      <c r="F447" s="244">
        <f>ROW()-ROW(APORTACIONESOCIOS[[#Headers],[SECUENCIA]])</f>
        <v>443</v>
      </c>
      <c r="G447" s="117">
        <v>45792</v>
      </c>
      <c r="H447" s="3">
        <v>10</v>
      </c>
      <c r="I447" s="195">
        <v>11</v>
      </c>
      <c r="J447" s="181" t="s">
        <v>19</v>
      </c>
      <c r="K447" s="185"/>
    </row>
    <row r="448" spans="6:11" x14ac:dyDescent="0.3">
      <c r="F448" s="244">
        <f>ROW()-ROW(APORTACIONESOCIOS[[#Headers],[SECUENCIA]])</f>
        <v>444</v>
      </c>
      <c r="G448" s="117">
        <v>45792</v>
      </c>
      <c r="H448" s="3">
        <v>10</v>
      </c>
      <c r="I448" s="195">
        <v>12</v>
      </c>
      <c r="J448" s="181" t="s">
        <v>20</v>
      </c>
      <c r="K448" s="185"/>
    </row>
    <row r="449" spans="6:11" x14ac:dyDescent="0.3">
      <c r="F449" s="244">
        <f>ROW()-ROW(APORTACIONESOCIOS[[#Headers],[SECUENCIA]])</f>
        <v>445</v>
      </c>
      <c r="G449" s="117">
        <v>45792</v>
      </c>
      <c r="H449" s="3">
        <v>120</v>
      </c>
      <c r="I449" s="195">
        <v>13</v>
      </c>
      <c r="J449" s="181" t="s">
        <v>301</v>
      </c>
      <c r="K449" s="185"/>
    </row>
    <row r="450" spans="6:11" x14ac:dyDescent="0.3">
      <c r="F450" s="244">
        <f>ROW()-ROW(APORTACIONESOCIOS[[#Headers],[SECUENCIA]])</f>
        <v>446</v>
      </c>
      <c r="G450" s="117">
        <v>45792</v>
      </c>
      <c r="H450" s="3">
        <v>10</v>
      </c>
      <c r="I450" s="195">
        <v>14</v>
      </c>
      <c r="J450" s="181" t="s">
        <v>21</v>
      </c>
      <c r="K450" s="185"/>
    </row>
    <row r="451" spans="6:11" x14ac:dyDescent="0.3">
      <c r="F451" s="244">
        <f>ROW()-ROW(APORTACIONESOCIOS[[#Headers],[SECUENCIA]])</f>
        <v>447</v>
      </c>
      <c r="G451" s="117">
        <v>45792</v>
      </c>
      <c r="H451" s="3">
        <v>10</v>
      </c>
      <c r="I451" s="195">
        <v>15</v>
      </c>
      <c r="J451" s="181" t="s">
        <v>22</v>
      </c>
      <c r="K451" s="185"/>
    </row>
    <row r="452" spans="6:11" x14ac:dyDescent="0.3">
      <c r="F452" s="244">
        <f>ROW()-ROW(APORTACIONESOCIOS[[#Headers],[SECUENCIA]])</f>
        <v>448</v>
      </c>
      <c r="G452" s="117">
        <v>45792</v>
      </c>
      <c r="H452" s="3">
        <v>10</v>
      </c>
      <c r="I452" s="195">
        <v>16</v>
      </c>
      <c r="J452" s="181" t="s">
        <v>23</v>
      </c>
      <c r="K452" s="185"/>
    </row>
    <row r="453" spans="6:11" x14ac:dyDescent="0.3">
      <c r="F453" s="244">
        <f>ROW()-ROW(APORTACIONESOCIOS[[#Headers],[SECUENCIA]])</f>
        <v>449</v>
      </c>
      <c r="G453" s="117">
        <v>45792</v>
      </c>
      <c r="H453" s="3">
        <v>10</v>
      </c>
      <c r="I453" s="195">
        <v>17</v>
      </c>
      <c r="J453" s="181" t="s">
        <v>299</v>
      </c>
      <c r="K453" s="185"/>
    </row>
    <row r="454" spans="6:11" x14ac:dyDescent="0.3">
      <c r="F454" s="245">
        <f>ROW()-ROW(APORTACIONESOCIOS[[#Headers],[SECUENCIA]])</f>
        <v>450</v>
      </c>
      <c r="G454" s="117">
        <v>45792</v>
      </c>
      <c r="H454" s="3">
        <v>220</v>
      </c>
      <c r="I454" s="196">
        <v>18</v>
      </c>
      <c r="J454" s="186" t="s">
        <v>300</v>
      </c>
      <c r="K454" s="187"/>
    </row>
    <row r="455" spans="6:11" x14ac:dyDescent="0.3">
      <c r="F455" s="244">
        <f>ROW()-ROW(APORTACIONESOCIOS[[#Headers],[SECUENCIA]])</f>
        <v>451</v>
      </c>
      <c r="G455" s="117">
        <v>45823</v>
      </c>
      <c r="H455" s="3">
        <v>10</v>
      </c>
      <c r="I455" s="195">
        <v>3</v>
      </c>
      <c r="J455" s="181" t="s">
        <v>13</v>
      </c>
      <c r="K455" s="185"/>
    </row>
    <row r="456" spans="6:11" x14ac:dyDescent="0.3">
      <c r="F456" s="244">
        <f>ROW()-ROW(APORTACIONESOCIOS[[#Headers],[SECUENCIA]])</f>
        <v>452</v>
      </c>
      <c r="G456" s="117">
        <v>45823</v>
      </c>
      <c r="H456" s="3">
        <v>10</v>
      </c>
      <c r="I456" s="195">
        <v>4</v>
      </c>
      <c r="J456" s="181" t="s">
        <v>12</v>
      </c>
      <c r="K456" s="185"/>
    </row>
    <row r="457" spans="6:11" x14ac:dyDescent="0.3">
      <c r="F457" s="244">
        <f>ROW()-ROW(APORTACIONESOCIOS[[#Headers],[SECUENCIA]])</f>
        <v>453</v>
      </c>
      <c r="G457" s="117">
        <v>45823</v>
      </c>
      <c r="H457" s="3">
        <v>10</v>
      </c>
      <c r="I457" s="195">
        <v>5</v>
      </c>
      <c r="J457" s="181" t="s">
        <v>14</v>
      </c>
      <c r="K457" s="185"/>
    </row>
    <row r="458" spans="6:11" x14ac:dyDescent="0.3">
      <c r="F458" s="244">
        <f>ROW()-ROW(APORTACIONESOCIOS[[#Headers],[SECUENCIA]])</f>
        <v>454</v>
      </c>
      <c r="G458" s="117">
        <v>45823</v>
      </c>
      <c r="H458" s="3">
        <v>10</v>
      </c>
      <c r="I458" s="195">
        <v>6</v>
      </c>
      <c r="J458" s="181" t="s">
        <v>24</v>
      </c>
      <c r="K458" s="185"/>
    </row>
    <row r="459" spans="6:11" x14ac:dyDescent="0.3">
      <c r="F459" s="244">
        <f>ROW()-ROW(APORTACIONESOCIOS[[#Headers],[SECUENCIA]])</f>
        <v>455</v>
      </c>
      <c r="G459" s="117">
        <v>45823</v>
      </c>
      <c r="H459" s="3">
        <v>10</v>
      </c>
      <c r="I459" s="195">
        <v>7</v>
      </c>
      <c r="J459" s="181" t="s">
        <v>15</v>
      </c>
      <c r="K459" s="185"/>
    </row>
    <row r="460" spans="6:11" x14ac:dyDescent="0.3">
      <c r="F460" s="244">
        <f>ROW()-ROW(APORTACIONESOCIOS[[#Headers],[SECUENCIA]])</f>
        <v>456</v>
      </c>
      <c r="G460" s="117">
        <v>45823</v>
      </c>
      <c r="H460" s="3">
        <v>10</v>
      </c>
      <c r="I460" s="195">
        <v>8</v>
      </c>
      <c r="J460" s="181" t="s">
        <v>16</v>
      </c>
      <c r="K460" s="185"/>
    </row>
    <row r="461" spans="6:11" x14ac:dyDescent="0.3">
      <c r="F461" s="244">
        <f>ROW()-ROW(APORTACIONESOCIOS[[#Headers],[SECUENCIA]])</f>
        <v>457</v>
      </c>
      <c r="G461" s="117">
        <v>45823</v>
      </c>
      <c r="H461" s="3">
        <v>10</v>
      </c>
      <c r="I461" s="195">
        <v>9</v>
      </c>
      <c r="J461" s="181" t="s">
        <v>17</v>
      </c>
      <c r="K461" s="185"/>
    </row>
    <row r="462" spans="6:11" x14ac:dyDescent="0.3">
      <c r="F462" s="244">
        <f>ROW()-ROW(APORTACIONESOCIOS[[#Headers],[SECUENCIA]])</f>
        <v>458</v>
      </c>
      <c r="G462" s="117">
        <v>45823</v>
      </c>
      <c r="H462" s="3">
        <v>10</v>
      </c>
      <c r="I462" s="195">
        <v>10</v>
      </c>
      <c r="J462" s="181" t="s">
        <v>18</v>
      </c>
      <c r="K462" s="185"/>
    </row>
    <row r="463" spans="6:11" x14ac:dyDescent="0.3">
      <c r="F463" s="244">
        <f>ROW()-ROW(APORTACIONESOCIOS[[#Headers],[SECUENCIA]])</f>
        <v>459</v>
      </c>
      <c r="G463" s="117">
        <v>45823</v>
      </c>
      <c r="H463" s="3">
        <v>10</v>
      </c>
      <c r="I463" s="195">
        <v>11</v>
      </c>
      <c r="J463" s="181" t="s">
        <v>19</v>
      </c>
      <c r="K463" s="185"/>
    </row>
    <row r="464" spans="6:11" x14ac:dyDescent="0.3">
      <c r="F464" s="244">
        <f>ROW()-ROW(APORTACIONESOCIOS[[#Headers],[SECUENCIA]])</f>
        <v>460</v>
      </c>
      <c r="G464" s="117">
        <v>45823</v>
      </c>
      <c r="H464" s="3">
        <v>10</v>
      </c>
      <c r="I464" s="195">
        <v>12</v>
      </c>
      <c r="J464" s="181" t="s">
        <v>20</v>
      </c>
      <c r="K464" s="185"/>
    </row>
    <row r="465" spans="6:11" x14ac:dyDescent="0.3">
      <c r="F465" s="244">
        <f>ROW()-ROW(APORTACIONESOCIOS[[#Headers],[SECUENCIA]])</f>
        <v>461</v>
      </c>
      <c r="G465" s="117">
        <v>45823</v>
      </c>
      <c r="H465" s="3">
        <v>10</v>
      </c>
      <c r="I465" s="195">
        <v>13</v>
      </c>
      <c r="J465" s="181" t="s">
        <v>301</v>
      </c>
      <c r="K465" s="185"/>
    </row>
    <row r="466" spans="6:11" x14ac:dyDescent="0.3">
      <c r="F466" s="244">
        <f>ROW()-ROW(APORTACIONESOCIOS[[#Headers],[SECUENCIA]])</f>
        <v>462</v>
      </c>
      <c r="G466" s="117">
        <v>45823</v>
      </c>
      <c r="H466" s="3">
        <v>10</v>
      </c>
      <c r="I466" s="195">
        <v>14</v>
      </c>
      <c r="J466" s="181" t="s">
        <v>21</v>
      </c>
      <c r="K466" s="185"/>
    </row>
    <row r="467" spans="6:11" x14ac:dyDescent="0.3">
      <c r="F467" s="244">
        <f>ROW()-ROW(APORTACIONESOCIOS[[#Headers],[SECUENCIA]])</f>
        <v>463</v>
      </c>
      <c r="G467" s="117">
        <v>45823</v>
      </c>
      <c r="H467" s="3">
        <v>10</v>
      </c>
      <c r="I467" s="195">
        <v>15</v>
      </c>
      <c r="J467" s="181" t="s">
        <v>22</v>
      </c>
      <c r="K467" s="185"/>
    </row>
    <row r="468" spans="6:11" x14ac:dyDescent="0.3">
      <c r="F468" s="244">
        <f>ROW()-ROW(APORTACIONESOCIOS[[#Headers],[SECUENCIA]])</f>
        <v>464</v>
      </c>
      <c r="G468" s="117">
        <v>45823</v>
      </c>
      <c r="H468" s="3">
        <v>10</v>
      </c>
      <c r="I468" s="195">
        <v>16</v>
      </c>
      <c r="J468" s="181" t="s">
        <v>23</v>
      </c>
      <c r="K468" s="185"/>
    </row>
    <row r="469" spans="6:11" x14ac:dyDescent="0.3">
      <c r="F469" s="244">
        <f>ROW()-ROW(APORTACIONESOCIOS[[#Headers],[SECUENCIA]])</f>
        <v>465</v>
      </c>
      <c r="G469" s="117">
        <v>45823</v>
      </c>
      <c r="H469" s="3">
        <v>10</v>
      </c>
      <c r="I469" s="195">
        <v>17</v>
      </c>
      <c r="J469" s="181" t="s">
        <v>299</v>
      </c>
      <c r="K469" s="185"/>
    </row>
    <row r="470" spans="6:11" x14ac:dyDescent="0.3">
      <c r="F470" s="245">
        <f>ROW()-ROW(APORTACIONESOCIOS[[#Headers],[SECUENCIA]])</f>
        <v>466</v>
      </c>
      <c r="G470" s="117">
        <v>45823</v>
      </c>
      <c r="H470" s="3">
        <v>10</v>
      </c>
      <c r="I470" s="196">
        <v>18</v>
      </c>
      <c r="J470" s="186" t="s">
        <v>300</v>
      </c>
      <c r="K470" s="187"/>
    </row>
    <row r="471" spans="6:11" x14ac:dyDescent="0.3">
      <c r="F471" s="244">
        <f>ROW()-ROW(APORTACIONESOCIOS[[#Headers],[SECUENCIA]])</f>
        <v>467</v>
      </c>
      <c r="G471" s="117">
        <v>45853</v>
      </c>
      <c r="H471" s="3">
        <v>10</v>
      </c>
      <c r="I471" s="195">
        <v>3</v>
      </c>
      <c r="J471" s="181" t="s">
        <v>13</v>
      </c>
      <c r="K471" s="185"/>
    </row>
    <row r="472" spans="6:11" x14ac:dyDescent="0.3">
      <c r="F472" s="244">
        <f>ROW()-ROW(APORTACIONESOCIOS[[#Headers],[SECUENCIA]])</f>
        <v>468</v>
      </c>
      <c r="G472" s="117">
        <v>45853</v>
      </c>
      <c r="H472" s="3">
        <v>10</v>
      </c>
      <c r="I472" s="195">
        <v>4</v>
      </c>
      <c r="J472" s="181" t="s">
        <v>12</v>
      </c>
      <c r="K472" s="185"/>
    </row>
    <row r="473" spans="6:11" x14ac:dyDescent="0.3">
      <c r="F473" s="244">
        <f>ROW()-ROW(APORTACIONESOCIOS[[#Headers],[SECUENCIA]])</f>
        <v>469</v>
      </c>
      <c r="G473" s="117">
        <v>45853</v>
      </c>
      <c r="H473" s="3">
        <v>10</v>
      </c>
      <c r="I473" s="195">
        <v>5</v>
      </c>
      <c r="J473" s="181" t="s">
        <v>14</v>
      </c>
      <c r="K473" s="185"/>
    </row>
    <row r="474" spans="6:11" x14ac:dyDescent="0.3">
      <c r="F474" s="244">
        <f>ROW()-ROW(APORTACIONESOCIOS[[#Headers],[SECUENCIA]])</f>
        <v>470</v>
      </c>
      <c r="G474" s="117">
        <v>45853</v>
      </c>
      <c r="H474" s="3">
        <v>10</v>
      </c>
      <c r="I474" s="195">
        <v>6</v>
      </c>
      <c r="J474" s="181" t="s">
        <v>24</v>
      </c>
      <c r="K474" s="185"/>
    </row>
    <row r="475" spans="6:11" x14ac:dyDescent="0.3">
      <c r="F475" s="244">
        <f>ROW()-ROW(APORTACIONESOCIOS[[#Headers],[SECUENCIA]])</f>
        <v>471</v>
      </c>
      <c r="G475" s="117">
        <v>45853</v>
      </c>
      <c r="H475" s="3">
        <v>10</v>
      </c>
      <c r="I475" s="195">
        <v>7</v>
      </c>
      <c r="J475" s="181" t="s">
        <v>15</v>
      </c>
      <c r="K475" s="185"/>
    </row>
    <row r="476" spans="6:11" x14ac:dyDescent="0.3">
      <c r="F476" s="244">
        <f>ROW()-ROW(APORTACIONESOCIOS[[#Headers],[SECUENCIA]])</f>
        <v>472</v>
      </c>
      <c r="G476" s="117">
        <v>45853</v>
      </c>
      <c r="H476" s="3">
        <v>10</v>
      </c>
      <c r="I476" s="195">
        <v>8</v>
      </c>
      <c r="J476" s="181" t="s">
        <v>16</v>
      </c>
      <c r="K476" s="185"/>
    </row>
    <row r="477" spans="6:11" x14ac:dyDescent="0.3">
      <c r="F477" s="244">
        <f>ROW()-ROW(APORTACIONESOCIOS[[#Headers],[SECUENCIA]])</f>
        <v>473</v>
      </c>
      <c r="G477" s="117">
        <v>45853</v>
      </c>
      <c r="H477" s="3">
        <v>10</v>
      </c>
      <c r="I477" s="195">
        <v>9</v>
      </c>
      <c r="J477" s="181" t="s">
        <v>17</v>
      </c>
      <c r="K477" s="185"/>
    </row>
    <row r="478" spans="6:11" x14ac:dyDescent="0.3">
      <c r="F478" s="244">
        <f>ROW()-ROW(APORTACIONESOCIOS[[#Headers],[SECUENCIA]])</f>
        <v>474</v>
      </c>
      <c r="G478" s="117">
        <v>45853</v>
      </c>
      <c r="H478" s="3">
        <v>10</v>
      </c>
      <c r="I478" s="195">
        <v>10</v>
      </c>
      <c r="J478" s="181" t="s">
        <v>18</v>
      </c>
      <c r="K478" s="185"/>
    </row>
    <row r="479" spans="6:11" x14ac:dyDescent="0.3">
      <c r="F479" s="244">
        <f>ROW()-ROW(APORTACIONESOCIOS[[#Headers],[SECUENCIA]])</f>
        <v>475</v>
      </c>
      <c r="G479" s="117">
        <v>45853</v>
      </c>
      <c r="H479" s="3">
        <v>10</v>
      </c>
      <c r="I479" s="195">
        <v>11</v>
      </c>
      <c r="J479" s="181" t="s">
        <v>19</v>
      </c>
      <c r="K479" s="185"/>
    </row>
    <row r="480" spans="6:11" x14ac:dyDescent="0.3">
      <c r="F480" s="244">
        <f>ROW()-ROW(APORTACIONESOCIOS[[#Headers],[SECUENCIA]])</f>
        <v>476</v>
      </c>
      <c r="G480" s="117">
        <v>45853</v>
      </c>
      <c r="H480" s="3">
        <v>10</v>
      </c>
      <c r="I480" s="195">
        <v>12</v>
      </c>
      <c r="J480" s="181" t="s">
        <v>20</v>
      </c>
      <c r="K480" s="185"/>
    </row>
    <row r="481" spans="6:11" x14ac:dyDescent="0.3">
      <c r="F481" s="244">
        <f>ROW()-ROW(APORTACIONESOCIOS[[#Headers],[SECUENCIA]])</f>
        <v>477</v>
      </c>
      <c r="G481" s="117">
        <v>45853</v>
      </c>
      <c r="H481" s="3">
        <v>120</v>
      </c>
      <c r="I481" s="195">
        <v>13</v>
      </c>
      <c r="J481" s="181" t="s">
        <v>301</v>
      </c>
      <c r="K481" s="185"/>
    </row>
    <row r="482" spans="6:11" x14ac:dyDescent="0.3">
      <c r="F482" s="244">
        <f>ROW()-ROW(APORTACIONESOCIOS[[#Headers],[SECUENCIA]])</f>
        <v>478</v>
      </c>
      <c r="G482" s="117">
        <v>45853</v>
      </c>
      <c r="H482" s="3">
        <v>10</v>
      </c>
      <c r="I482" s="195">
        <v>14</v>
      </c>
      <c r="J482" s="181" t="s">
        <v>21</v>
      </c>
      <c r="K482" s="185"/>
    </row>
    <row r="483" spans="6:11" x14ac:dyDescent="0.3">
      <c r="F483" s="244">
        <f>ROW()-ROW(APORTACIONESOCIOS[[#Headers],[SECUENCIA]])</f>
        <v>479</v>
      </c>
      <c r="G483" s="117">
        <v>45853</v>
      </c>
      <c r="H483" s="3">
        <v>10</v>
      </c>
      <c r="I483" s="195">
        <v>15</v>
      </c>
      <c r="J483" s="181" t="s">
        <v>22</v>
      </c>
      <c r="K483" s="185"/>
    </row>
    <row r="484" spans="6:11" x14ac:dyDescent="0.3">
      <c r="F484" s="244">
        <f>ROW()-ROW(APORTACIONESOCIOS[[#Headers],[SECUENCIA]])</f>
        <v>480</v>
      </c>
      <c r="G484" s="117">
        <v>45853</v>
      </c>
      <c r="H484" s="3">
        <v>10</v>
      </c>
      <c r="I484" s="195">
        <v>16</v>
      </c>
      <c r="J484" s="181" t="s">
        <v>23</v>
      </c>
      <c r="K484" s="185"/>
    </row>
    <row r="485" spans="6:11" x14ac:dyDescent="0.3">
      <c r="F485" s="244">
        <f>ROW()-ROW(APORTACIONESOCIOS[[#Headers],[SECUENCIA]])</f>
        <v>481</v>
      </c>
      <c r="G485" s="117">
        <v>45853</v>
      </c>
      <c r="H485" s="3">
        <v>10</v>
      </c>
      <c r="I485" s="195">
        <v>17</v>
      </c>
      <c r="J485" s="181" t="s">
        <v>299</v>
      </c>
      <c r="K485" s="185"/>
    </row>
    <row r="486" spans="6:11" x14ac:dyDescent="0.3">
      <c r="F486" s="245">
        <f>ROW()-ROW(APORTACIONESOCIOS[[#Headers],[SECUENCIA]])</f>
        <v>482</v>
      </c>
      <c r="G486" s="117">
        <v>45854</v>
      </c>
      <c r="H486" s="3">
        <v>50</v>
      </c>
      <c r="I486" s="196">
        <v>18</v>
      </c>
      <c r="J486" s="186" t="s">
        <v>300</v>
      </c>
      <c r="K486" s="187"/>
    </row>
    <row r="487" spans="6:11" x14ac:dyDescent="0.3">
      <c r="F487" s="244">
        <f>ROW()-ROW(APORTACIONESOCIOS[[#Headers],[SECUENCIA]])</f>
        <v>483</v>
      </c>
      <c r="G487" s="117">
        <v>45884</v>
      </c>
      <c r="H487" s="3">
        <v>10</v>
      </c>
      <c r="I487" s="195">
        <v>3</v>
      </c>
      <c r="J487" s="181" t="s">
        <v>13</v>
      </c>
      <c r="K487" s="185"/>
    </row>
    <row r="488" spans="6:11" x14ac:dyDescent="0.3">
      <c r="F488" s="244">
        <f>ROW()-ROW(APORTACIONESOCIOS[[#Headers],[SECUENCIA]])</f>
        <v>484</v>
      </c>
      <c r="G488" s="117">
        <v>45884</v>
      </c>
      <c r="H488" s="3">
        <v>10</v>
      </c>
      <c r="I488" s="195">
        <v>4</v>
      </c>
      <c r="J488" s="181" t="s">
        <v>12</v>
      </c>
      <c r="K488" s="185"/>
    </row>
    <row r="489" spans="6:11" x14ac:dyDescent="0.3">
      <c r="F489" s="244">
        <f>ROW()-ROW(APORTACIONESOCIOS[[#Headers],[SECUENCIA]])</f>
        <v>485</v>
      </c>
      <c r="G489" s="117">
        <v>45884</v>
      </c>
      <c r="H489" s="3">
        <v>10</v>
      </c>
      <c r="I489" s="195">
        <v>5</v>
      </c>
      <c r="J489" s="181" t="s">
        <v>14</v>
      </c>
      <c r="K489" s="185"/>
    </row>
    <row r="490" spans="6:11" x14ac:dyDescent="0.3">
      <c r="F490" s="244">
        <f>ROW()-ROW(APORTACIONESOCIOS[[#Headers],[SECUENCIA]])</f>
        <v>486</v>
      </c>
      <c r="G490" s="117">
        <v>45884</v>
      </c>
      <c r="H490" s="3">
        <v>10</v>
      </c>
      <c r="I490" s="195">
        <v>6</v>
      </c>
      <c r="J490" s="181" t="s">
        <v>24</v>
      </c>
      <c r="K490" s="185" t="s">
        <v>389</v>
      </c>
    </row>
    <row r="491" spans="6:11" x14ac:dyDescent="0.3">
      <c r="F491" s="244">
        <f>ROW()-ROW(APORTACIONESOCIOS[[#Headers],[SECUENCIA]])</f>
        <v>487</v>
      </c>
      <c r="G491" s="117">
        <v>45884</v>
      </c>
      <c r="H491" s="3">
        <v>10</v>
      </c>
      <c r="I491" s="195">
        <v>7</v>
      </c>
      <c r="J491" s="181" t="s">
        <v>15</v>
      </c>
      <c r="K491" s="185"/>
    </row>
    <row r="492" spans="6:11" x14ac:dyDescent="0.3">
      <c r="F492" s="244">
        <f>ROW()-ROW(APORTACIONESOCIOS[[#Headers],[SECUENCIA]])</f>
        <v>488</v>
      </c>
      <c r="G492" s="117">
        <v>45884</v>
      </c>
      <c r="H492" s="3">
        <v>10</v>
      </c>
      <c r="I492" s="195">
        <v>8</v>
      </c>
      <c r="J492" s="181" t="s">
        <v>16</v>
      </c>
      <c r="K492" s="185"/>
    </row>
    <row r="493" spans="6:11" x14ac:dyDescent="0.3">
      <c r="F493" s="244">
        <f>ROW()-ROW(APORTACIONESOCIOS[[#Headers],[SECUENCIA]])</f>
        <v>489</v>
      </c>
      <c r="G493" s="117">
        <v>45884</v>
      </c>
      <c r="H493" s="3">
        <v>10</v>
      </c>
      <c r="I493" s="195">
        <v>9</v>
      </c>
      <c r="J493" s="181" t="s">
        <v>17</v>
      </c>
      <c r="K493" s="185"/>
    </row>
    <row r="494" spans="6:11" x14ac:dyDescent="0.3">
      <c r="F494" s="244">
        <f>ROW()-ROW(APORTACIONESOCIOS[[#Headers],[SECUENCIA]])</f>
        <v>490</v>
      </c>
      <c r="G494" s="117">
        <v>45884</v>
      </c>
      <c r="H494" s="3">
        <v>10</v>
      </c>
      <c r="I494" s="195">
        <v>10</v>
      </c>
      <c r="J494" s="181" t="s">
        <v>18</v>
      </c>
      <c r="K494" s="185"/>
    </row>
    <row r="495" spans="6:11" x14ac:dyDescent="0.3">
      <c r="F495" s="244">
        <f>ROW()-ROW(APORTACIONESOCIOS[[#Headers],[SECUENCIA]])</f>
        <v>491</v>
      </c>
      <c r="G495" s="117">
        <v>45884</v>
      </c>
      <c r="H495" s="3">
        <v>10</v>
      </c>
      <c r="I495" s="195">
        <v>11</v>
      </c>
      <c r="J495" s="181" t="s">
        <v>19</v>
      </c>
      <c r="K495" s="185"/>
    </row>
    <row r="496" spans="6:11" x14ac:dyDescent="0.3">
      <c r="F496" s="244">
        <f>ROW()-ROW(APORTACIONESOCIOS[[#Headers],[SECUENCIA]])</f>
        <v>492</v>
      </c>
      <c r="G496" s="117">
        <v>45884</v>
      </c>
      <c r="H496" s="3">
        <v>10</v>
      </c>
      <c r="I496" s="195">
        <v>12</v>
      </c>
      <c r="J496" s="181" t="s">
        <v>20</v>
      </c>
      <c r="K496" s="185"/>
    </row>
    <row r="497" spans="6:11" x14ac:dyDescent="0.3">
      <c r="F497" s="244">
        <f>ROW()-ROW(APORTACIONESOCIOS[[#Headers],[SECUENCIA]])</f>
        <v>493</v>
      </c>
      <c r="G497" s="117">
        <v>45884</v>
      </c>
      <c r="H497" s="3">
        <v>10</v>
      </c>
      <c r="I497" s="195">
        <v>13</v>
      </c>
      <c r="J497" s="181" t="s">
        <v>301</v>
      </c>
      <c r="K497" s="185"/>
    </row>
    <row r="498" spans="6:11" x14ac:dyDescent="0.3">
      <c r="F498" s="244">
        <f>ROW()-ROW(APORTACIONESOCIOS[[#Headers],[SECUENCIA]])</f>
        <v>494</v>
      </c>
      <c r="G498" s="117">
        <v>45884</v>
      </c>
      <c r="H498" s="3">
        <v>10</v>
      </c>
      <c r="I498" s="195">
        <v>14</v>
      </c>
      <c r="J498" s="181" t="s">
        <v>21</v>
      </c>
      <c r="K498" s="185" t="s">
        <v>374</v>
      </c>
    </row>
    <row r="499" spans="6:11" x14ac:dyDescent="0.3">
      <c r="F499" s="244">
        <f>ROW()-ROW(APORTACIONESOCIOS[[#Headers],[SECUENCIA]])</f>
        <v>495</v>
      </c>
      <c r="G499" s="117">
        <v>45884</v>
      </c>
      <c r="H499" s="3">
        <v>10</v>
      </c>
      <c r="I499" s="195">
        <v>15</v>
      </c>
      <c r="J499" s="181" t="s">
        <v>22</v>
      </c>
      <c r="K499" s="185" t="s">
        <v>374</v>
      </c>
    </row>
    <row r="500" spans="6:11" x14ac:dyDescent="0.3">
      <c r="F500" s="244">
        <f>ROW()-ROW(APORTACIONESOCIOS[[#Headers],[SECUENCIA]])</f>
        <v>496</v>
      </c>
      <c r="G500" s="117">
        <v>45884</v>
      </c>
      <c r="H500" s="3">
        <v>10</v>
      </c>
      <c r="I500" s="195">
        <v>16</v>
      </c>
      <c r="J500" s="181" t="s">
        <v>23</v>
      </c>
      <c r="K500" s="185"/>
    </row>
    <row r="501" spans="6:11" x14ac:dyDescent="0.3">
      <c r="F501" s="244">
        <f>ROW()-ROW(APORTACIONESOCIOS[[#Headers],[SECUENCIA]])</f>
        <v>497</v>
      </c>
      <c r="G501" s="117">
        <v>45884</v>
      </c>
      <c r="H501" s="3">
        <v>10</v>
      </c>
      <c r="I501" s="195">
        <v>17</v>
      </c>
      <c r="J501" s="181" t="s">
        <v>299</v>
      </c>
      <c r="K501" s="185"/>
    </row>
    <row r="502" spans="6:11" x14ac:dyDescent="0.3">
      <c r="F502" s="245">
        <f>ROW()-ROW(APORTACIONESOCIOS[[#Headers],[SECUENCIA]])</f>
        <v>498</v>
      </c>
      <c r="G502" s="117">
        <v>45884</v>
      </c>
      <c r="H502" s="234">
        <v>10</v>
      </c>
      <c r="I502" s="196">
        <v>18</v>
      </c>
      <c r="J502" s="186" t="s">
        <v>300</v>
      </c>
      <c r="K502" s="187"/>
    </row>
    <row r="503" spans="6:11" x14ac:dyDescent="0.3">
      <c r="F503" s="246">
        <v>499</v>
      </c>
      <c r="G503" s="117">
        <v>45915</v>
      </c>
      <c r="H503" s="3">
        <v>10</v>
      </c>
      <c r="I503" s="195">
        <v>3</v>
      </c>
      <c r="J503" s="181" t="s">
        <v>13</v>
      </c>
      <c r="K503" s="185" t="s">
        <v>427</v>
      </c>
    </row>
    <row r="504" spans="6:11" x14ac:dyDescent="0.3">
      <c r="F504" s="246">
        <v>500</v>
      </c>
      <c r="G504" s="117">
        <v>45915</v>
      </c>
      <c r="H504" s="3">
        <v>10</v>
      </c>
      <c r="I504" s="195">
        <v>4</v>
      </c>
      <c r="J504" s="181" t="s">
        <v>12</v>
      </c>
      <c r="K504" s="185" t="s">
        <v>427</v>
      </c>
    </row>
    <row r="505" spans="6:11" x14ac:dyDescent="0.3">
      <c r="F505" s="246">
        <v>501</v>
      </c>
      <c r="G505" s="117">
        <v>45915</v>
      </c>
      <c r="H505" s="3">
        <v>10</v>
      </c>
      <c r="I505" s="195">
        <v>11</v>
      </c>
      <c r="J505" s="181" t="s">
        <v>19</v>
      </c>
      <c r="K505" s="185" t="s">
        <v>427</v>
      </c>
    </row>
    <row r="506" spans="6:11" x14ac:dyDescent="0.3">
      <c r="F506" s="246">
        <v>502</v>
      </c>
      <c r="G506" s="117">
        <v>45915</v>
      </c>
      <c r="H506" s="3">
        <v>10</v>
      </c>
      <c r="I506" s="195">
        <v>5</v>
      </c>
      <c r="J506" s="181" t="s">
        <v>14</v>
      </c>
      <c r="K506" s="185" t="s">
        <v>427</v>
      </c>
    </row>
    <row r="507" spans="6:11" x14ac:dyDescent="0.3">
      <c r="F507" s="246">
        <v>503</v>
      </c>
      <c r="G507" s="117">
        <v>45915</v>
      </c>
      <c r="H507" s="3">
        <v>10</v>
      </c>
      <c r="I507" s="195">
        <v>6</v>
      </c>
      <c r="J507" s="181" t="s">
        <v>24</v>
      </c>
      <c r="K507" s="185" t="s">
        <v>427</v>
      </c>
    </row>
    <row r="508" spans="6:11" x14ac:dyDescent="0.3">
      <c r="F508" s="246">
        <v>504</v>
      </c>
      <c r="G508" s="117">
        <v>45915</v>
      </c>
      <c r="H508" s="3">
        <v>10</v>
      </c>
      <c r="I508" s="195">
        <v>7</v>
      </c>
      <c r="J508" s="181" t="s">
        <v>355</v>
      </c>
      <c r="K508" s="185" t="s">
        <v>427</v>
      </c>
    </row>
    <row r="509" spans="6:11" x14ac:dyDescent="0.3">
      <c r="F509" s="246">
        <v>505</v>
      </c>
      <c r="G509" s="117">
        <v>45915</v>
      </c>
      <c r="H509" s="3">
        <v>10</v>
      </c>
      <c r="I509" s="195">
        <v>8</v>
      </c>
      <c r="J509" s="181" t="s">
        <v>356</v>
      </c>
      <c r="K509" s="185" t="s">
        <v>427</v>
      </c>
    </row>
    <row r="510" spans="6:11" x14ac:dyDescent="0.3">
      <c r="F510" s="246">
        <v>506</v>
      </c>
      <c r="G510" s="117">
        <v>45915</v>
      </c>
      <c r="H510" s="3">
        <v>10</v>
      </c>
      <c r="I510" s="195">
        <v>16</v>
      </c>
      <c r="J510" s="181" t="s">
        <v>23</v>
      </c>
      <c r="K510" s="185" t="s">
        <v>427</v>
      </c>
    </row>
    <row r="511" spans="6:11" x14ac:dyDescent="0.3">
      <c r="F511" s="246">
        <v>507</v>
      </c>
      <c r="G511" s="117">
        <v>45915</v>
      </c>
      <c r="H511" s="3">
        <v>0</v>
      </c>
      <c r="I511" s="195">
        <v>9</v>
      </c>
      <c r="J511" s="181" t="s">
        <v>17</v>
      </c>
      <c r="K511" s="185" t="s">
        <v>364</v>
      </c>
    </row>
    <row r="512" spans="6:11" x14ac:dyDescent="0.3">
      <c r="F512" s="246">
        <v>508</v>
      </c>
      <c r="G512" s="117">
        <v>45915</v>
      </c>
      <c r="H512" s="3">
        <v>0</v>
      </c>
      <c r="I512" s="195">
        <v>10</v>
      </c>
      <c r="J512" s="181" t="s">
        <v>18</v>
      </c>
      <c r="K512" s="185" t="s">
        <v>364</v>
      </c>
    </row>
    <row r="513" spans="6:11" x14ac:dyDescent="0.3">
      <c r="F513" s="246">
        <v>509</v>
      </c>
      <c r="G513" s="117">
        <v>45915</v>
      </c>
      <c r="H513" s="3">
        <v>10</v>
      </c>
      <c r="I513" s="195">
        <v>12</v>
      </c>
      <c r="J513" s="181" t="s">
        <v>20</v>
      </c>
      <c r="K513" s="185" t="s">
        <v>427</v>
      </c>
    </row>
    <row r="514" spans="6:11" x14ac:dyDescent="0.3">
      <c r="F514" s="246">
        <v>510</v>
      </c>
      <c r="G514" s="117">
        <v>45915</v>
      </c>
      <c r="H514" s="3">
        <v>10</v>
      </c>
      <c r="I514" s="195">
        <v>13</v>
      </c>
      <c r="J514" s="181" t="s">
        <v>301</v>
      </c>
      <c r="K514" s="185" t="s">
        <v>427</v>
      </c>
    </row>
    <row r="515" spans="6:11" x14ac:dyDescent="0.3">
      <c r="F515" s="246">
        <v>511</v>
      </c>
      <c r="G515" s="117">
        <v>45915</v>
      </c>
      <c r="H515" s="3">
        <v>10</v>
      </c>
      <c r="I515" s="195">
        <v>14</v>
      </c>
      <c r="J515" s="181" t="s">
        <v>21</v>
      </c>
      <c r="K515" s="185" t="s">
        <v>427</v>
      </c>
    </row>
    <row r="516" spans="6:11" x14ac:dyDescent="0.3">
      <c r="F516" s="246">
        <v>512</v>
      </c>
      <c r="G516" s="117">
        <v>45915</v>
      </c>
      <c r="H516" s="3">
        <v>10</v>
      </c>
      <c r="I516" s="195">
        <v>15</v>
      </c>
      <c r="J516" s="181" t="s">
        <v>22</v>
      </c>
      <c r="K516" s="185" t="s">
        <v>427</v>
      </c>
    </row>
    <row r="517" spans="6:11" x14ac:dyDescent="0.3">
      <c r="F517" s="246">
        <v>513</v>
      </c>
      <c r="G517" s="117">
        <v>45915</v>
      </c>
      <c r="H517" s="3">
        <v>10</v>
      </c>
      <c r="I517" s="195">
        <v>17</v>
      </c>
      <c r="J517" s="181" t="s">
        <v>299</v>
      </c>
      <c r="K517" s="185" t="s">
        <v>427</v>
      </c>
    </row>
    <row r="518" spans="6:11" x14ac:dyDescent="0.3">
      <c r="F518" s="246">
        <v>514</v>
      </c>
      <c r="G518" s="117">
        <v>45915</v>
      </c>
      <c r="H518" s="3">
        <v>10</v>
      </c>
      <c r="I518" s="195">
        <v>18</v>
      </c>
      <c r="J518" s="181" t="s">
        <v>300</v>
      </c>
      <c r="K518" s="185" t="s">
        <v>427</v>
      </c>
    </row>
    <row r="519" spans="6:11" x14ac:dyDescent="0.3">
      <c r="F519" s="246">
        <v>515</v>
      </c>
      <c r="G519" s="117">
        <v>45930</v>
      </c>
      <c r="H519" s="3">
        <v>10</v>
      </c>
      <c r="I519" s="195">
        <v>10</v>
      </c>
      <c r="J519" s="181" t="s">
        <v>18</v>
      </c>
      <c r="K519" s="185" t="s">
        <v>167</v>
      </c>
    </row>
    <row r="520" spans="6:11" x14ac:dyDescent="0.3">
      <c r="F520" s="246">
        <v>516</v>
      </c>
      <c r="G520" s="117">
        <v>45930</v>
      </c>
      <c r="H520" s="3">
        <v>10</v>
      </c>
      <c r="I520" s="195">
        <v>9</v>
      </c>
      <c r="J520" s="181" t="s">
        <v>17</v>
      </c>
      <c r="K520" s="185" t="s">
        <v>167</v>
      </c>
    </row>
    <row r="521" spans="6:11" x14ac:dyDescent="0.3">
      <c r="F521" s="246">
        <v>517</v>
      </c>
      <c r="G521" s="117">
        <v>45945</v>
      </c>
      <c r="H521" s="3">
        <v>10</v>
      </c>
      <c r="I521" s="195">
        <v>3</v>
      </c>
      <c r="J521" s="181" t="s">
        <v>13</v>
      </c>
      <c r="K521" s="185" t="s">
        <v>167</v>
      </c>
    </row>
    <row r="522" spans="6:11" x14ac:dyDescent="0.3">
      <c r="F522" s="246">
        <v>518</v>
      </c>
      <c r="G522" s="117">
        <v>45945</v>
      </c>
      <c r="H522" s="3">
        <v>10</v>
      </c>
      <c r="I522" s="195">
        <v>4</v>
      </c>
      <c r="J522" s="181" t="s">
        <v>12</v>
      </c>
      <c r="K522" s="185" t="s">
        <v>167</v>
      </c>
    </row>
    <row r="523" spans="6:11" x14ac:dyDescent="0.3">
      <c r="F523" s="246">
        <v>519</v>
      </c>
      <c r="G523" s="117">
        <v>45945</v>
      </c>
      <c r="H523" s="3">
        <v>10</v>
      </c>
      <c r="I523" s="195">
        <v>11</v>
      </c>
      <c r="J523" s="181" t="s">
        <v>19</v>
      </c>
      <c r="K523" s="185" t="s">
        <v>167</v>
      </c>
    </row>
    <row r="524" spans="6:11" x14ac:dyDescent="0.3">
      <c r="F524" s="246">
        <v>520</v>
      </c>
      <c r="G524" s="117">
        <v>45945</v>
      </c>
      <c r="H524" s="3">
        <v>10</v>
      </c>
      <c r="I524" s="195">
        <v>5</v>
      </c>
      <c r="J524" s="181" t="s">
        <v>14</v>
      </c>
      <c r="K524" s="185" t="s">
        <v>167</v>
      </c>
    </row>
    <row r="525" spans="6:11" x14ac:dyDescent="0.3">
      <c r="F525" s="246">
        <v>521</v>
      </c>
      <c r="G525" s="117">
        <v>45945</v>
      </c>
      <c r="H525" s="3">
        <v>10</v>
      </c>
      <c r="I525" s="195">
        <v>6</v>
      </c>
      <c r="J525" s="181" t="s">
        <v>24</v>
      </c>
      <c r="K525" s="185" t="s">
        <v>167</v>
      </c>
    </row>
    <row r="526" spans="6:11" x14ac:dyDescent="0.3">
      <c r="F526" s="246">
        <v>522</v>
      </c>
      <c r="G526" s="117">
        <v>45945</v>
      </c>
      <c r="H526" s="3">
        <v>10</v>
      </c>
      <c r="I526" s="195">
        <v>7</v>
      </c>
      <c r="J526" s="181" t="s">
        <v>355</v>
      </c>
      <c r="K526" s="185" t="s">
        <v>167</v>
      </c>
    </row>
    <row r="527" spans="6:11" x14ac:dyDescent="0.3">
      <c r="F527" s="246">
        <v>523</v>
      </c>
      <c r="G527" s="117">
        <v>45945</v>
      </c>
      <c r="H527" s="3">
        <v>10</v>
      </c>
      <c r="I527" s="195">
        <v>8</v>
      </c>
      <c r="J527" s="181" t="s">
        <v>356</v>
      </c>
      <c r="K527" s="185" t="s">
        <v>167</v>
      </c>
    </row>
    <row r="528" spans="6:11" x14ac:dyDescent="0.3">
      <c r="F528" s="246">
        <v>524</v>
      </c>
      <c r="G528" s="117">
        <v>45945</v>
      </c>
      <c r="H528" s="3">
        <v>10</v>
      </c>
      <c r="I528" s="195">
        <v>16</v>
      </c>
      <c r="J528" s="181" t="s">
        <v>440</v>
      </c>
      <c r="K528" s="185" t="s">
        <v>167</v>
      </c>
    </row>
    <row r="529" spans="6:11" x14ac:dyDescent="0.3">
      <c r="F529" s="246">
        <v>525</v>
      </c>
      <c r="G529" s="117">
        <v>45945</v>
      </c>
      <c r="H529" s="3">
        <v>10</v>
      </c>
      <c r="I529" s="195">
        <v>12</v>
      </c>
      <c r="J529" s="181" t="s">
        <v>20</v>
      </c>
      <c r="K529" s="185" t="s">
        <v>167</v>
      </c>
    </row>
    <row r="530" spans="6:11" x14ac:dyDescent="0.3">
      <c r="F530" s="246">
        <v>526</v>
      </c>
      <c r="G530" s="117">
        <v>45945</v>
      </c>
      <c r="H530" s="3">
        <v>10</v>
      </c>
      <c r="I530" s="195">
        <v>13</v>
      </c>
      <c r="J530" s="181" t="s">
        <v>301</v>
      </c>
      <c r="K530" s="185" t="s">
        <v>167</v>
      </c>
    </row>
    <row r="531" spans="6:11" x14ac:dyDescent="0.3">
      <c r="F531" s="246">
        <v>527</v>
      </c>
      <c r="G531" s="117">
        <v>45945</v>
      </c>
      <c r="H531" s="3">
        <v>10</v>
      </c>
      <c r="I531" s="195">
        <v>14</v>
      </c>
      <c r="J531" s="181" t="s">
        <v>21</v>
      </c>
      <c r="K531" s="185" t="s">
        <v>167</v>
      </c>
    </row>
    <row r="532" spans="6:11" x14ac:dyDescent="0.3">
      <c r="F532" s="246">
        <v>528</v>
      </c>
      <c r="G532" s="117">
        <v>45945</v>
      </c>
      <c r="H532" s="3">
        <v>10</v>
      </c>
      <c r="I532" s="195">
        <v>15</v>
      </c>
      <c r="J532" s="181" t="s">
        <v>22</v>
      </c>
      <c r="K532" s="185" t="s">
        <v>167</v>
      </c>
    </row>
    <row r="533" spans="6:11" x14ac:dyDescent="0.3">
      <c r="F533" s="246">
        <v>529</v>
      </c>
      <c r="G533" s="117">
        <v>45945</v>
      </c>
      <c r="H533" s="3">
        <v>10</v>
      </c>
      <c r="I533" s="195">
        <v>17</v>
      </c>
      <c r="J533" s="181" t="s">
        <v>299</v>
      </c>
      <c r="K533" s="185"/>
    </row>
    <row r="534" spans="6:11" x14ac:dyDescent="0.3">
      <c r="F534" s="246">
        <v>530</v>
      </c>
      <c r="G534" s="117">
        <v>45945</v>
      </c>
      <c r="H534" s="3">
        <v>10</v>
      </c>
      <c r="I534" s="195">
        <v>18</v>
      </c>
      <c r="J534" s="181" t="s">
        <v>300</v>
      </c>
      <c r="K534" s="185" t="s">
        <v>167</v>
      </c>
    </row>
    <row r="535" spans="6:11" x14ac:dyDescent="0.3">
      <c r="F535" s="246">
        <v>531</v>
      </c>
      <c r="G535" s="117">
        <v>45945</v>
      </c>
      <c r="H535" s="3">
        <v>10</v>
      </c>
      <c r="I535" s="195">
        <v>9</v>
      </c>
      <c r="J535" s="181" t="s">
        <v>17</v>
      </c>
      <c r="K535" s="185" t="s">
        <v>374</v>
      </c>
    </row>
    <row r="536" spans="6:11" x14ac:dyDescent="0.3">
      <c r="F536" s="246">
        <v>532</v>
      </c>
      <c r="G536" s="117">
        <v>45945</v>
      </c>
      <c r="H536" s="3">
        <v>10</v>
      </c>
      <c r="I536" s="195">
        <v>10</v>
      </c>
      <c r="J536" s="181" t="s">
        <v>18</v>
      </c>
      <c r="K536" s="185" t="s">
        <v>374</v>
      </c>
    </row>
    <row r="537" spans="6:11" x14ac:dyDescent="0.3">
      <c r="F537" s="246">
        <v>533</v>
      </c>
      <c r="G537" s="117">
        <v>45976</v>
      </c>
      <c r="H537" s="3">
        <v>10</v>
      </c>
      <c r="I537" s="195">
        <v>4</v>
      </c>
      <c r="J537" s="181" t="s">
        <v>12</v>
      </c>
      <c r="K537" s="185" t="s">
        <v>167</v>
      </c>
    </row>
    <row r="538" spans="6:11" x14ac:dyDescent="0.3">
      <c r="F538" s="246">
        <v>534</v>
      </c>
      <c r="G538" s="117">
        <v>45976</v>
      </c>
      <c r="H538" s="3">
        <v>10</v>
      </c>
      <c r="I538" s="195">
        <v>5</v>
      </c>
      <c r="J538" s="181" t="s">
        <v>14</v>
      </c>
      <c r="K538" s="185" t="s">
        <v>167</v>
      </c>
    </row>
    <row r="539" spans="6:11" x14ac:dyDescent="0.3">
      <c r="F539" s="246">
        <v>535</v>
      </c>
      <c r="G539" s="117">
        <v>45976</v>
      </c>
      <c r="H539" s="3">
        <v>10</v>
      </c>
      <c r="I539" s="195">
        <v>6</v>
      </c>
      <c r="J539" s="181" t="s">
        <v>24</v>
      </c>
      <c r="K539" s="185" t="s">
        <v>167</v>
      </c>
    </row>
    <row r="540" spans="6:11" x14ac:dyDescent="0.3">
      <c r="F540" s="246">
        <v>536</v>
      </c>
      <c r="G540" s="117">
        <v>45976</v>
      </c>
      <c r="H540" s="3">
        <v>10</v>
      </c>
      <c r="I540" s="195">
        <v>3</v>
      </c>
      <c r="J540" s="181" t="s">
        <v>13</v>
      </c>
      <c r="K540" s="185" t="s">
        <v>167</v>
      </c>
    </row>
    <row r="541" spans="6:11" x14ac:dyDescent="0.3">
      <c r="F541" s="246">
        <v>537</v>
      </c>
      <c r="G541" s="117">
        <v>45976</v>
      </c>
      <c r="H541" s="3">
        <v>10</v>
      </c>
      <c r="I541" s="195">
        <v>11</v>
      </c>
      <c r="J541" s="181" t="s">
        <v>19</v>
      </c>
      <c r="K541" s="185" t="s">
        <v>167</v>
      </c>
    </row>
    <row r="542" spans="6:11" x14ac:dyDescent="0.3">
      <c r="F542" s="246">
        <v>538</v>
      </c>
      <c r="G542" s="117">
        <v>45976</v>
      </c>
      <c r="H542" s="3">
        <v>10</v>
      </c>
      <c r="I542" s="195">
        <v>7</v>
      </c>
      <c r="J542" s="181" t="s">
        <v>355</v>
      </c>
      <c r="K542" s="185" t="s">
        <v>167</v>
      </c>
    </row>
    <row r="543" spans="6:11" x14ac:dyDescent="0.3">
      <c r="F543" s="246">
        <v>539</v>
      </c>
      <c r="G543" s="117">
        <v>45976</v>
      </c>
      <c r="H543" s="3">
        <v>10</v>
      </c>
      <c r="I543" s="195">
        <v>8</v>
      </c>
      <c r="J543" s="181" t="s">
        <v>356</v>
      </c>
      <c r="K543" s="185" t="s">
        <v>167</v>
      </c>
    </row>
    <row r="544" spans="6:11" x14ac:dyDescent="0.3">
      <c r="F544" s="246">
        <v>540</v>
      </c>
      <c r="G544" s="117">
        <v>45976</v>
      </c>
      <c r="H544" s="3">
        <v>10</v>
      </c>
      <c r="I544" s="195">
        <v>16</v>
      </c>
      <c r="J544" s="181" t="s">
        <v>23</v>
      </c>
      <c r="K544" s="185" t="s">
        <v>167</v>
      </c>
    </row>
    <row r="545" spans="6:11" x14ac:dyDescent="0.3">
      <c r="F545" s="246">
        <v>541</v>
      </c>
      <c r="G545" s="117">
        <v>45976</v>
      </c>
      <c r="H545" s="3">
        <v>10</v>
      </c>
      <c r="I545" s="195">
        <v>12</v>
      </c>
      <c r="J545" s="181" t="s">
        <v>20</v>
      </c>
      <c r="K545" s="185" t="s">
        <v>167</v>
      </c>
    </row>
    <row r="546" spans="6:11" x14ac:dyDescent="0.3">
      <c r="F546" s="246">
        <v>542</v>
      </c>
      <c r="G546" s="117">
        <v>45976</v>
      </c>
      <c r="H546" s="3">
        <v>10</v>
      </c>
      <c r="I546" s="195">
        <v>13</v>
      </c>
      <c r="J546" s="181" t="s">
        <v>301</v>
      </c>
      <c r="K546" s="185" t="s">
        <v>167</v>
      </c>
    </row>
    <row r="547" spans="6:11" x14ac:dyDescent="0.3">
      <c r="F547" s="246">
        <v>543</v>
      </c>
      <c r="G547" s="117">
        <v>45976</v>
      </c>
      <c r="H547" s="3">
        <v>10</v>
      </c>
      <c r="I547" s="195">
        <v>14</v>
      </c>
      <c r="J547" s="181" t="s">
        <v>21</v>
      </c>
      <c r="K547" s="185" t="s">
        <v>167</v>
      </c>
    </row>
    <row r="548" spans="6:11" x14ac:dyDescent="0.3">
      <c r="F548" s="246">
        <v>544</v>
      </c>
      <c r="G548" s="117">
        <v>45976</v>
      </c>
      <c r="H548" s="3">
        <v>10</v>
      </c>
      <c r="I548" s="195">
        <v>15</v>
      </c>
      <c r="J548" s="181" t="s">
        <v>22</v>
      </c>
      <c r="K548" s="185" t="s">
        <v>167</v>
      </c>
    </row>
    <row r="549" spans="6:11" x14ac:dyDescent="0.3">
      <c r="F549" s="246">
        <v>545</v>
      </c>
      <c r="G549" s="117">
        <v>45976</v>
      </c>
      <c r="H549" s="3">
        <v>10</v>
      </c>
      <c r="I549" s="195">
        <v>17</v>
      </c>
      <c r="J549" s="181" t="s">
        <v>299</v>
      </c>
      <c r="K549" s="185" t="s">
        <v>167</v>
      </c>
    </row>
    <row r="550" spans="6:11" x14ac:dyDescent="0.3">
      <c r="F550" s="246">
        <v>546</v>
      </c>
      <c r="G550" s="117">
        <v>45976</v>
      </c>
      <c r="H550" s="3">
        <v>10</v>
      </c>
      <c r="I550" s="195">
        <v>18</v>
      </c>
      <c r="J550" s="181" t="s">
        <v>300</v>
      </c>
      <c r="K550" s="185" t="s">
        <v>167</v>
      </c>
    </row>
    <row r="551" spans="6:11" x14ac:dyDescent="0.3">
      <c r="F551" s="246">
        <v>547</v>
      </c>
      <c r="G551" s="117">
        <v>45978</v>
      </c>
      <c r="H551" s="3">
        <v>10</v>
      </c>
      <c r="I551" s="195">
        <v>9</v>
      </c>
      <c r="J551" s="181" t="s">
        <v>17</v>
      </c>
      <c r="K551" s="185" t="s">
        <v>167</v>
      </c>
    </row>
    <row r="552" spans="6:11" x14ac:dyDescent="0.3">
      <c r="F552" s="246">
        <v>548</v>
      </c>
      <c r="G552" s="117">
        <v>45978</v>
      </c>
      <c r="H552" s="3">
        <v>10</v>
      </c>
      <c r="I552" s="195">
        <v>10</v>
      </c>
      <c r="J552" s="181" t="s">
        <v>18</v>
      </c>
      <c r="K552" s="185" t="s">
        <v>167</v>
      </c>
    </row>
    <row r="553" spans="6:11" x14ac:dyDescent="0.3">
      <c r="F553" s="246">
        <v>549</v>
      </c>
      <c r="G553" s="117">
        <v>46008</v>
      </c>
      <c r="H553" s="3">
        <v>10</v>
      </c>
      <c r="I553" s="195">
        <v>3</v>
      </c>
      <c r="J553" s="181" t="s">
        <v>13</v>
      </c>
      <c r="K553" s="185" t="s">
        <v>167</v>
      </c>
    </row>
    <row r="554" spans="6:11" x14ac:dyDescent="0.3">
      <c r="F554" s="246">
        <v>550</v>
      </c>
      <c r="G554" s="117">
        <v>46008</v>
      </c>
      <c r="H554" s="3">
        <v>10</v>
      </c>
      <c r="I554" s="195">
        <v>11</v>
      </c>
      <c r="J554" s="181" t="s">
        <v>19</v>
      </c>
      <c r="K554" s="185" t="s">
        <v>167</v>
      </c>
    </row>
    <row r="555" spans="6:11" x14ac:dyDescent="0.3">
      <c r="F555" s="246">
        <v>551</v>
      </c>
      <c r="G555" s="117">
        <v>46008</v>
      </c>
      <c r="H555" s="3">
        <v>10</v>
      </c>
      <c r="I555" s="195">
        <v>4</v>
      </c>
      <c r="J555" s="181" t="s">
        <v>12</v>
      </c>
      <c r="K555" s="185" t="s">
        <v>167</v>
      </c>
    </row>
    <row r="556" spans="6:11" x14ac:dyDescent="0.3">
      <c r="F556" s="246">
        <v>552</v>
      </c>
      <c r="G556" s="117">
        <v>46008</v>
      </c>
      <c r="H556" s="3">
        <v>10</v>
      </c>
      <c r="I556" s="195">
        <v>5</v>
      </c>
      <c r="J556" s="181" t="s">
        <v>14</v>
      </c>
      <c r="K556" s="185" t="s">
        <v>167</v>
      </c>
    </row>
    <row r="557" spans="6:11" x14ac:dyDescent="0.3">
      <c r="F557" s="246">
        <v>553</v>
      </c>
      <c r="G557" s="117">
        <v>46008</v>
      </c>
      <c r="H557" s="3">
        <v>10</v>
      </c>
      <c r="I557" s="195">
        <v>6</v>
      </c>
      <c r="J557" s="181" t="s">
        <v>24</v>
      </c>
      <c r="K557" s="185" t="s">
        <v>167</v>
      </c>
    </row>
    <row r="558" spans="6:11" x14ac:dyDescent="0.3">
      <c r="F558" s="246">
        <v>554</v>
      </c>
      <c r="G558" s="117">
        <v>46008</v>
      </c>
      <c r="H558" s="3">
        <v>10</v>
      </c>
      <c r="I558" s="195">
        <v>7</v>
      </c>
      <c r="J558" s="181" t="s">
        <v>355</v>
      </c>
      <c r="K558" s="185" t="s">
        <v>167</v>
      </c>
    </row>
    <row r="559" spans="6:11" x14ac:dyDescent="0.3">
      <c r="F559" s="246">
        <v>555</v>
      </c>
      <c r="G559" s="117">
        <v>46008</v>
      </c>
      <c r="H559" s="3">
        <v>10</v>
      </c>
      <c r="I559" s="195">
        <v>8</v>
      </c>
      <c r="J559" s="181" t="s">
        <v>356</v>
      </c>
      <c r="K559" s="185" t="s">
        <v>167</v>
      </c>
    </row>
    <row r="560" spans="6:11" x14ac:dyDescent="0.3">
      <c r="F560" s="246">
        <v>556</v>
      </c>
      <c r="G560" s="117">
        <v>46008</v>
      </c>
      <c r="H560" s="3">
        <v>10</v>
      </c>
      <c r="I560" s="195">
        <v>16</v>
      </c>
      <c r="J560" s="181" t="s">
        <v>23</v>
      </c>
      <c r="K560" s="185" t="s">
        <v>167</v>
      </c>
    </row>
    <row r="561" spans="6:11" x14ac:dyDescent="0.3">
      <c r="F561" s="246">
        <v>557</v>
      </c>
      <c r="G561" s="117">
        <v>46008</v>
      </c>
      <c r="H561" s="3">
        <v>10</v>
      </c>
      <c r="I561" s="195">
        <v>9</v>
      </c>
      <c r="J561" s="181" t="s">
        <v>17</v>
      </c>
      <c r="K561" s="185" t="s">
        <v>167</v>
      </c>
    </row>
    <row r="562" spans="6:11" x14ac:dyDescent="0.3">
      <c r="F562" s="246">
        <v>558</v>
      </c>
      <c r="G562" s="117">
        <v>46008</v>
      </c>
      <c r="H562" s="3">
        <v>10</v>
      </c>
      <c r="I562" s="195">
        <v>10</v>
      </c>
      <c r="J562" s="181" t="s">
        <v>18</v>
      </c>
      <c r="K562" s="185" t="s">
        <v>167</v>
      </c>
    </row>
    <row r="563" spans="6:11" x14ac:dyDescent="0.3">
      <c r="F563" s="246">
        <v>559</v>
      </c>
      <c r="G563" s="117">
        <v>46008</v>
      </c>
      <c r="H563" s="3">
        <v>10</v>
      </c>
      <c r="I563" s="195">
        <v>12</v>
      </c>
      <c r="J563" s="181" t="s">
        <v>20</v>
      </c>
      <c r="K563" s="185" t="s">
        <v>167</v>
      </c>
    </row>
    <row r="564" spans="6:11" x14ac:dyDescent="0.3">
      <c r="F564" s="246">
        <v>560</v>
      </c>
      <c r="G564" s="117">
        <v>46008</v>
      </c>
      <c r="H564" s="3">
        <v>10</v>
      </c>
      <c r="I564" s="195">
        <v>13</v>
      </c>
      <c r="J564" s="181" t="s">
        <v>301</v>
      </c>
      <c r="K564" s="185" t="s">
        <v>167</v>
      </c>
    </row>
    <row r="565" spans="6:11" x14ac:dyDescent="0.3">
      <c r="F565" s="246">
        <v>561</v>
      </c>
      <c r="G565" s="117">
        <v>46008</v>
      </c>
      <c r="H565" s="3">
        <v>10</v>
      </c>
      <c r="I565" s="195">
        <v>14</v>
      </c>
      <c r="J565" s="181" t="s">
        <v>21</v>
      </c>
      <c r="K565" s="185" t="s">
        <v>167</v>
      </c>
    </row>
    <row r="566" spans="6:11" x14ac:dyDescent="0.3">
      <c r="F566" s="246">
        <v>562</v>
      </c>
      <c r="G566" s="117">
        <v>46008</v>
      </c>
      <c r="H566" s="3">
        <v>10</v>
      </c>
      <c r="I566" s="195">
        <v>15</v>
      </c>
      <c r="J566" s="181" t="s">
        <v>22</v>
      </c>
      <c r="K566" s="185" t="s">
        <v>167</v>
      </c>
    </row>
    <row r="567" spans="6:11" x14ac:dyDescent="0.3">
      <c r="F567" s="246">
        <v>563</v>
      </c>
      <c r="G567" s="117">
        <v>46008</v>
      </c>
      <c r="H567" s="3">
        <v>10</v>
      </c>
      <c r="I567" s="195">
        <v>17</v>
      </c>
      <c r="J567" s="181" t="s">
        <v>299</v>
      </c>
      <c r="K567" s="185" t="s">
        <v>167</v>
      </c>
    </row>
    <row r="568" spans="6:11" x14ac:dyDescent="0.3">
      <c r="F568" s="246">
        <v>564</v>
      </c>
      <c r="G568" s="117">
        <v>46008</v>
      </c>
      <c r="H568" s="3">
        <v>10</v>
      </c>
      <c r="I568" s="195">
        <v>18</v>
      </c>
      <c r="J568" s="181" t="s">
        <v>300</v>
      </c>
      <c r="K568" s="185" t="s">
        <v>167</v>
      </c>
    </row>
    <row r="569" spans="6:11" x14ac:dyDescent="0.3">
      <c r="F569" s="246">
        <v>565</v>
      </c>
      <c r="G569" s="117">
        <v>46037</v>
      </c>
      <c r="H569" s="3">
        <v>20</v>
      </c>
      <c r="I569" s="195">
        <v>3</v>
      </c>
      <c r="J569" s="181" t="s">
        <v>13</v>
      </c>
      <c r="K569" s="185" t="s">
        <v>167</v>
      </c>
    </row>
    <row r="570" spans="6:11" x14ac:dyDescent="0.3">
      <c r="F570" s="246">
        <v>566</v>
      </c>
      <c r="G570" s="117">
        <v>46037</v>
      </c>
      <c r="H570" s="3">
        <v>20</v>
      </c>
      <c r="I570" s="195">
        <v>11</v>
      </c>
      <c r="J570" s="181" t="s">
        <v>19</v>
      </c>
      <c r="K570" s="185" t="s">
        <v>167</v>
      </c>
    </row>
    <row r="571" spans="6:11" x14ac:dyDescent="0.3">
      <c r="F571" s="246">
        <v>567</v>
      </c>
      <c r="G571" s="117">
        <v>46037</v>
      </c>
      <c r="H571" s="3">
        <v>20</v>
      </c>
      <c r="I571" s="195">
        <v>4</v>
      </c>
      <c r="J571" s="181" t="s">
        <v>12</v>
      </c>
      <c r="K571" s="185" t="s">
        <v>167</v>
      </c>
    </row>
    <row r="572" spans="6:11" x14ac:dyDescent="0.3">
      <c r="F572" s="246">
        <v>568</v>
      </c>
      <c r="G572" s="117">
        <v>46037</v>
      </c>
      <c r="H572" s="3">
        <v>20</v>
      </c>
      <c r="I572" s="195">
        <v>5</v>
      </c>
      <c r="J572" s="181" t="s">
        <v>14</v>
      </c>
      <c r="K572" s="185" t="s">
        <v>167</v>
      </c>
    </row>
    <row r="573" spans="6:11" x14ac:dyDescent="0.3">
      <c r="F573" s="246">
        <v>569</v>
      </c>
      <c r="G573" s="117">
        <v>46037</v>
      </c>
      <c r="H573" s="3">
        <v>20</v>
      </c>
      <c r="I573" s="195">
        <v>6</v>
      </c>
      <c r="J573" s="181" t="s">
        <v>24</v>
      </c>
      <c r="K573" s="185" t="s">
        <v>167</v>
      </c>
    </row>
    <row r="574" spans="6:11" x14ac:dyDescent="0.3">
      <c r="F574" s="246">
        <v>570</v>
      </c>
      <c r="G574" s="117">
        <v>46037</v>
      </c>
      <c r="H574" s="3">
        <v>20</v>
      </c>
      <c r="I574" s="195">
        <v>7</v>
      </c>
      <c r="J574" s="181" t="s">
        <v>355</v>
      </c>
      <c r="K574" s="185" t="s">
        <v>167</v>
      </c>
    </row>
    <row r="575" spans="6:11" x14ac:dyDescent="0.3">
      <c r="F575" s="246">
        <v>571</v>
      </c>
      <c r="G575" s="117">
        <v>46037</v>
      </c>
      <c r="H575" s="3">
        <v>20</v>
      </c>
      <c r="I575" s="195">
        <v>8</v>
      </c>
      <c r="J575" s="181" t="s">
        <v>356</v>
      </c>
      <c r="K575" s="185" t="s">
        <v>167</v>
      </c>
    </row>
    <row r="576" spans="6:11" x14ac:dyDescent="0.3">
      <c r="F576" s="246">
        <v>572</v>
      </c>
      <c r="G576" s="117">
        <v>46037</v>
      </c>
      <c r="H576" s="3">
        <v>20</v>
      </c>
      <c r="I576" s="195">
        <v>16</v>
      </c>
      <c r="J576" s="181" t="s">
        <v>23</v>
      </c>
      <c r="K576" s="185" t="s">
        <v>167</v>
      </c>
    </row>
    <row r="577" spans="6:11" x14ac:dyDescent="0.3">
      <c r="F577" s="246">
        <v>573</v>
      </c>
      <c r="G577" s="117">
        <v>46037</v>
      </c>
      <c r="H577" s="3">
        <v>20</v>
      </c>
      <c r="I577" s="195">
        <v>9</v>
      </c>
      <c r="J577" s="181" t="s">
        <v>17</v>
      </c>
      <c r="K577" s="185" t="s">
        <v>167</v>
      </c>
    </row>
    <row r="578" spans="6:11" x14ac:dyDescent="0.3">
      <c r="F578" s="246">
        <v>574</v>
      </c>
      <c r="G578" s="117">
        <v>46037</v>
      </c>
      <c r="H578" s="3">
        <v>20</v>
      </c>
      <c r="I578" s="195">
        <v>10</v>
      </c>
      <c r="J578" s="181" t="s">
        <v>18</v>
      </c>
      <c r="K578" s="185" t="s">
        <v>167</v>
      </c>
    </row>
    <row r="579" spans="6:11" x14ac:dyDescent="0.3">
      <c r="F579" s="246">
        <v>575</v>
      </c>
      <c r="G579" s="117">
        <v>46037</v>
      </c>
      <c r="H579" s="3">
        <v>20</v>
      </c>
      <c r="I579" s="195">
        <v>12</v>
      </c>
      <c r="J579" s="181" t="s">
        <v>20</v>
      </c>
      <c r="K579" s="185"/>
    </row>
    <row r="580" spans="6:11" x14ac:dyDescent="0.3">
      <c r="F580" s="246">
        <v>576</v>
      </c>
      <c r="G580" s="117">
        <v>46037</v>
      </c>
      <c r="H580" s="3">
        <v>20</v>
      </c>
      <c r="I580" s="195">
        <v>13</v>
      </c>
      <c r="J580" s="181" t="s">
        <v>301</v>
      </c>
      <c r="K580" s="185" t="s">
        <v>167</v>
      </c>
    </row>
    <row r="581" spans="6:11" x14ac:dyDescent="0.3">
      <c r="F581" s="246">
        <v>577</v>
      </c>
      <c r="G581" s="117">
        <v>46037</v>
      </c>
      <c r="H581" s="3">
        <v>20</v>
      </c>
      <c r="I581" s="195">
        <v>14</v>
      </c>
      <c r="J581" s="181" t="s">
        <v>21</v>
      </c>
      <c r="K581" s="185"/>
    </row>
    <row r="582" spans="6:11" x14ac:dyDescent="0.3">
      <c r="F582" s="246">
        <v>578</v>
      </c>
      <c r="G582" s="117">
        <v>46037</v>
      </c>
      <c r="H582" s="3">
        <v>20</v>
      </c>
      <c r="I582" s="195">
        <v>15</v>
      </c>
      <c r="J582" s="181" t="s">
        <v>22</v>
      </c>
      <c r="K582" s="185"/>
    </row>
    <row r="583" spans="6:11" x14ac:dyDescent="0.3">
      <c r="F583" s="246">
        <v>579</v>
      </c>
      <c r="G583" s="117">
        <v>46037</v>
      </c>
      <c r="H583" s="3">
        <v>20</v>
      </c>
      <c r="I583" s="195">
        <v>17</v>
      </c>
      <c r="J583" s="181" t="s">
        <v>299</v>
      </c>
      <c r="K583" s="185"/>
    </row>
    <row r="584" spans="6:11" x14ac:dyDescent="0.3">
      <c r="F584" s="246">
        <v>580</v>
      </c>
      <c r="G584" s="117">
        <v>46037</v>
      </c>
      <c r="H584" s="3">
        <v>20</v>
      </c>
      <c r="I584" s="195">
        <v>18</v>
      </c>
      <c r="J584" s="181" t="s">
        <v>300</v>
      </c>
      <c r="K584" s="185" t="s">
        <v>167</v>
      </c>
    </row>
    <row r="585" spans="6:11" x14ac:dyDescent="0.3">
      <c r="F585" s="246">
        <v>581</v>
      </c>
      <c r="G585" s="117">
        <v>46068</v>
      </c>
      <c r="H585" s="3">
        <v>20</v>
      </c>
      <c r="I585" s="195">
        <v>3</v>
      </c>
      <c r="J585" s="181" t="s">
        <v>13</v>
      </c>
      <c r="K585" s="185" t="s">
        <v>167</v>
      </c>
    </row>
    <row r="586" spans="6:11" x14ac:dyDescent="0.3">
      <c r="F586" s="246">
        <v>582</v>
      </c>
      <c r="G586" s="117">
        <v>46068</v>
      </c>
      <c r="H586" s="3">
        <v>20</v>
      </c>
      <c r="I586" s="195">
        <v>11</v>
      </c>
      <c r="J586" s="181" t="s">
        <v>19</v>
      </c>
      <c r="K586" s="185" t="s">
        <v>167</v>
      </c>
    </row>
    <row r="587" spans="6:11" x14ac:dyDescent="0.3">
      <c r="F587" s="246">
        <v>583</v>
      </c>
      <c r="G587" s="117">
        <v>46068</v>
      </c>
      <c r="H587" s="3">
        <v>20</v>
      </c>
      <c r="I587" s="195">
        <v>4</v>
      </c>
      <c r="J587" s="181" t="s">
        <v>12</v>
      </c>
      <c r="K587" s="185" t="s">
        <v>167</v>
      </c>
    </row>
    <row r="588" spans="6:11" x14ac:dyDescent="0.3">
      <c r="F588" s="246">
        <v>584</v>
      </c>
      <c r="G588" s="117">
        <v>46068</v>
      </c>
      <c r="H588" s="3">
        <v>20</v>
      </c>
      <c r="I588" s="195">
        <v>5</v>
      </c>
      <c r="J588" s="181" t="s">
        <v>14</v>
      </c>
      <c r="K588" s="185" t="s">
        <v>167</v>
      </c>
    </row>
    <row r="589" spans="6:11" x14ac:dyDescent="0.3">
      <c r="F589" s="246">
        <v>585</v>
      </c>
      <c r="G589" s="117">
        <v>46068</v>
      </c>
      <c r="H589" s="3">
        <v>20</v>
      </c>
      <c r="I589" s="195">
        <v>6</v>
      </c>
      <c r="J589" s="181" t="s">
        <v>24</v>
      </c>
      <c r="K589" s="185" t="s">
        <v>167</v>
      </c>
    </row>
    <row r="590" spans="6:11" x14ac:dyDescent="0.3">
      <c r="F590" s="246">
        <v>586</v>
      </c>
      <c r="G590" s="117">
        <v>46068</v>
      </c>
      <c r="H590" s="3">
        <v>20</v>
      </c>
      <c r="I590" s="195">
        <v>7</v>
      </c>
      <c r="J590" s="181" t="s">
        <v>355</v>
      </c>
      <c r="K590" s="185"/>
    </row>
    <row r="591" spans="6:11" x14ac:dyDescent="0.3">
      <c r="F591" s="246">
        <v>587</v>
      </c>
      <c r="G591" s="117">
        <v>46068</v>
      </c>
      <c r="H591" s="3">
        <v>20</v>
      </c>
      <c r="I591" s="195">
        <v>8</v>
      </c>
      <c r="J591" s="181" t="s">
        <v>356</v>
      </c>
      <c r="K591" s="185" t="s">
        <v>167</v>
      </c>
    </row>
    <row r="592" spans="6:11" x14ac:dyDescent="0.3">
      <c r="F592" s="246">
        <v>588</v>
      </c>
      <c r="G592" s="117">
        <v>46068</v>
      </c>
      <c r="H592" s="3">
        <v>20</v>
      </c>
      <c r="I592" s="195">
        <v>16</v>
      </c>
      <c r="J592" s="181" t="s">
        <v>502</v>
      </c>
      <c r="K592" s="185" t="s">
        <v>167</v>
      </c>
    </row>
    <row r="593" spans="6:11" x14ac:dyDescent="0.3">
      <c r="F593" s="246">
        <v>589</v>
      </c>
      <c r="G593" s="117">
        <v>46068</v>
      </c>
      <c r="H593" s="3">
        <v>20</v>
      </c>
      <c r="I593" s="195">
        <v>9</v>
      </c>
      <c r="J593" s="181" t="s">
        <v>17</v>
      </c>
      <c r="K593" s="185"/>
    </row>
    <row r="594" spans="6:11" x14ac:dyDescent="0.3">
      <c r="F594" s="246">
        <v>590</v>
      </c>
      <c r="G594" s="117">
        <v>46068</v>
      </c>
      <c r="H594" s="3">
        <v>20</v>
      </c>
      <c r="I594" s="195">
        <v>10</v>
      </c>
      <c r="J594" s="181" t="s">
        <v>18</v>
      </c>
      <c r="K594" s="185" t="s">
        <v>167</v>
      </c>
    </row>
    <row r="595" spans="6:11" x14ac:dyDescent="0.3">
      <c r="F595" s="246">
        <v>591</v>
      </c>
      <c r="G595" s="117">
        <v>46068</v>
      </c>
      <c r="H595" s="3">
        <v>20</v>
      </c>
      <c r="I595" s="195">
        <v>12</v>
      </c>
      <c r="J595" s="181" t="s">
        <v>20</v>
      </c>
      <c r="K595" s="185" t="s">
        <v>167</v>
      </c>
    </row>
    <row r="596" spans="6:11" x14ac:dyDescent="0.3">
      <c r="F596" s="246">
        <v>592</v>
      </c>
      <c r="G596" s="117">
        <v>46068</v>
      </c>
      <c r="H596" s="3">
        <v>20</v>
      </c>
      <c r="I596" s="195">
        <v>13</v>
      </c>
      <c r="J596" s="181" t="s">
        <v>301</v>
      </c>
      <c r="K596" s="185" t="s">
        <v>167</v>
      </c>
    </row>
    <row r="597" spans="6:11" x14ac:dyDescent="0.3">
      <c r="F597" s="246">
        <v>593</v>
      </c>
      <c r="G597" s="117">
        <v>46068</v>
      </c>
      <c r="H597" s="3">
        <v>20</v>
      </c>
      <c r="I597" s="195">
        <v>14</v>
      </c>
      <c r="J597" s="181" t="s">
        <v>21</v>
      </c>
      <c r="K597" s="185" t="s">
        <v>167</v>
      </c>
    </row>
    <row r="598" spans="6:11" x14ac:dyDescent="0.3">
      <c r="F598" s="246">
        <v>594</v>
      </c>
      <c r="G598" s="117">
        <v>46068</v>
      </c>
      <c r="H598" s="3">
        <v>20</v>
      </c>
      <c r="I598" s="195">
        <v>15</v>
      </c>
      <c r="J598" s="181" t="s">
        <v>22</v>
      </c>
      <c r="K598" s="185" t="s">
        <v>167</v>
      </c>
    </row>
    <row r="599" spans="6:11" x14ac:dyDescent="0.3">
      <c r="F599" s="246">
        <v>595</v>
      </c>
      <c r="G599" s="117">
        <v>46068</v>
      </c>
      <c r="H599" s="3">
        <v>20</v>
      </c>
      <c r="I599" s="195">
        <v>17</v>
      </c>
      <c r="J599" s="181" t="s">
        <v>299</v>
      </c>
      <c r="K599" s="185" t="s">
        <v>167</v>
      </c>
    </row>
    <row r="600" spans="6:11" x14ac:dyDescent="0.3">
      <c r="F600" s="246">
        <v>596</v>
      </c>
      <c r="G600" s="117">
        <v>46068</v>
      </c>
      <c r="H600" s="3">
        <v>20</v>
      </c>
      <c r="I600" s="195">
        <v>18</v>
      </c>
      <c r="J600" s="181" t="s">
        <v>300</v>
      </c>
      <c r="K600" s="185" t="s">
        <v>167</v>
      </c>
    </row>
    <row r="601" spans="6:11" x14ac:dyDescent="0.3">
      <c r="F601" s="246">
        <v>597</v>
      </c>
      <c r="G601" s="117">
        <v>46096</v>
      </c>
      <c r="H601" s="3">
        <v>20</v>
      </c>
      <c r="I601" s="195">
        <v>3</v>
      </c>
      <c r="J601" s="181" t="s">
        <v>13</v>
      </c>
      <c r="K601" s="185" t="s">
        <v>167</v>
      </c>
    </row>
    <row r="602" spans="6:11" x14ac:dyDescent="0.3">
      <c r="F602" s="246">
        <v>598</v>
      </c>
      <c r="G602" s="117">
        <v>46096</v>
      </c>
      <c r="H602" s="3">
        <v>20</v>
      </c>
      <c r="I602" s="195">
        <v>4</v>
      </c>
      <c r="J602" s="181" t="s">
        <v>12</v>
      </c>
      <c r="K602" s="185" t="s">
        <v>167</v>
      </c>
    </row>
    <row r="603" spans="6:11" x14ac:dyDescent="0.3">
      <c r="F603" s="246">
        <v>599</v>
      </c>
      <c r="G603" s="117">
        <v>46096</v>
      </c>
      <c r="H603" s="3">
        <v>20</v>
      </c>
      <c r="I603" s="195">
        <v>11</v>
      </c>
      <c r="J603" s="181" t="s">
        <v>19</v>
      </c>
      <c r="K603" s="185" t="s">
        <v>167</v>
      </c>
    </row>
    <row r="604" spans="6:11" x14ac:dyDescent="0.3">
      <c r="F604" s="246">
        <v>600</v>
      </c>
      <c r="G604" s="117">
        <v>46096</v>
      </c>
      <c r="H604" s="3">
        <v>20</v>
      </c>
      <c r="I604" s="195">
        <v>5</v>
      </c>
      <c r="J604" s="181" t="s">
        <v>14</v>
      </c>
      <c r="K604" s="185" t="s">
        <v>167</v>
      </c>
    </row>
    <row r="605" spans="6:11" x14ac:dyDescent="0.3">
      <c r="F605" s="246">
        <v>601</v>
      </c>
      <c r="G605" s="117">
        <v>46096</v>
      </c>
      <c r="H605" s="3">
        <v>20</v>
      </c>
      <c r="I605" s="195">
        <v>6</v>
      </c>
      <c r="J605" s="181" t="s">
        <v>24</v>
      </c>
      <c r="K605" s="185" t="s">
        <v>167</v>
      </c>
    </row>
    <row r="606" spans="6:11" x14ac:dyDescent="0.3">
      <c r="F606" s="246">
        <v>602</v>
      </c>
      <c r="G606" s="117">
        <v>46096</v>
      </c>
      <c r="H606" s="3">
        <v>20</v>
      </c>
      <c r="I606" s="195">
        <v>7</v>
      </c>
      <c r="J606" s="181" t="s">
        <v>355</v>
      </c>
      <c r="K606" s="185" t="s">
        <v>167</v>
      </c>
    </row>
    <row r="607" spans="6:11" x14ac:dyDescent="0.3">
      <c r="F607" s="246">
        <v>603</v>
      </c>
      <c r="G607" s="117">
        <v>46096</v>
      </c>
      <c r="H607" s="3">
        <v>20</v>
      </c>
      <c r="I607" s="195">
        <v>8</v>
      </c>
      <c r="J607" s="181" t="s">
        <v>356</v>
      </c>
      <c r="K607" s="185" t="s">
        <v>167</v>
      </c>
    </row>
    <row r="608" spans="6:11" x14ac:dyDescent="0.3">
      <c r="F608" s="246">
        <v>604</v>
      </c>
      <c r="G608" s="117">
        <v>46096</v>
      </c>
      <c r="H608" s="3">
        <v>20</v>
      </c>
      <c r="I608" s="195">
        <v>16</v>
      </c>
      <c r="J608" s="181" t="s">
        <v>23</v>
      </c>
      <c r="K608" s="185" t="s">
        <v>167</v>
      </c>
    </row>
    <row r="609" spans="6:11" x14ac:dyDescent="0.3">
      <c r="F609" s="246">
        <v>605</v>
      </c>
      <c r="G609" s="117">
        <v>46096</v>
      </c>
      <c r="H609" s="3">
        <v>20</v>
      </c>
      <c r="I609" s="195">
        <v>9</v>
      </c>
      <c r="J609" s="181" t="s">
        <v>17</v>
      </c>
      <c r="K609" s="185" t="s">
        <v>167</v>
      </c>
    </row>
    <row r="610" spans="6:11" x14ac:dyDescent="0.3">
      <c r="F610" s="246">
        <v>606</v>
      </c>
      <c r="G610" s="117">
        <v>46096</v>
      </c>
      <c r="H610" s="3">
        <v>20</v>
      </c>
      <c r="I610" s="195">
        <v>10</v>
      </c>
      <c r="J610" s="181" t="s">
        <v>18</v>
      </c>
      <c r="K610" s="185" t="s">
        <v>167</v>
      </c>
    </row>
    <row r="611" spans="6:11" x14ac:dyDescent="0.3">
      <c r="F611" s="246">
        <v>607</v>
      </c>
      <c r="G611" s="117">
        <v>46096</v>
      </c>
      <c r="H611" s="3">
        <v>20</v>
      </c>
      <c r="I611" s="195">
        <v>12</v>
      </c>
      <c r="J611" s="181" t="s">
        <v>20</v>
      </c>
      <c r="K611" s="185" t="s">
        <v>167</v>
      </c>
    </row>
    <row r="612" spans="6:11" x14ac:dyDescent="0.3">
      <c r="F612" s="246">
        <v>608</v>
      </c>
      <c r="G612" s="117">
        <v>46096</v>
      </c>
      <c r="H612" s="3">
        <v>20</v>
      </c>
      <c r="I612" s="195">
        <v>13</v>
      </c>
      <c r="J612" s="181" t="s">
        <v>301</v>
      </c>
      <c r="K612" s="185" t="s">
        <v>167</v>
      </c>
    </row>
    <row r="613" spans="6:11" x14ac:dyDescent="0.3">
      <c r="F613" s="246">
        <v>609</v>
      </c>
      <c r="G613" s="117">
        <v>46096</v>
      </c>
      <c r="H613" s="3">
        <v>20</v>
      </c>
      <c r="I613" s="195">
        <v>14</v>
      </c>
      <c r="J613" s="181" t="s">
        <v>21</v>
      </c>
      <c r="K613" s="185" t="s">
        <v>167</v>
      </c>
    </row>
    <row r="614" spans="6:11" x14ac:dyDescent="0.3">
      <c r="F614" s="246">
        <v>610</v>
      </c>
      <c r="G614" s="117">
        <v>46096</v>
      </c>
      <c r="H614" s="3">
        <v>20</v>
      </c>
      <c r="I614" s="195">
        <v>15</v>
      </c>
      <c r="J614" s="181" t="s">
        <v>22</v>
      </c>
      <c r="K614" s="185" t="s">
        <v>167</v>
      </c>
    </row>
    <row r="615" spans="6:11" x14ac:dyDescent="0.3">
      <c r="F615" s="246">
        <v>611</v>
      </c>
      <c r="G615" s="117">
        <v>46096</v>
      </c>
      <c r="H615" s="3">
        <v>20</v>
      </c>
      <c r="I615" s="195">
        <v>17</v>
      </c>
      <c r="J615" s="181" t="s">
        <v>299</v>
      </c>
      <c r="K615" s="185" t="s">
        <v>167</v>
      </c>
    </row>
    <row r="616" spans="6:11" x14ac:dyDescent="0.3">
      <c r="F616" s="246">
        <v>612</v>
      </c>
      <c r="G616" s="117">
        <v>46096</v>
      </c>
      <c r="H616" s="3">
        <v>20</v>
      </c>
      <c r="I616" s="195">
        <v>18</v>
      </c>
      <c r="J616" s="181" t="s">
        <v>300</v>
      </c>
      <c r="K616" s="185" t="s">
        <v>167</v>
      </c>
    </row>
    <row r="617" spans="6:11" x14ac:dyDescent="0.3">
      <c r="F617" s="246">
        <v>613</v>
      </c>
      <c r="G617" s="117">
        <v>46127</v>
      </c>
      <c r="H617" s="3">
        <v>20</v>
      </c>
      <c r="I617" s="195">
        <v>3</v>
      </c>
      <c r="J617" s="181" t="s">
        <v>13</v>
      </c>
      <c r="K617" s="185" t="s">
        <v>167</v>
      </c>
    </row>
    <row r="618" spans="6:11" x14ac:dyDescent="0.3">
      <c r="F618" s="246">
        <v>614</v>
      </c>
      <c r="G618" s="117">
        <v>46127</v>
      </c>
      <c r="H618" s="3">
        <v>20</v>
      </c>
      <c r="I618" s="195">
        <v>11</v>
      </c>
      <c r="J618" s="181" t="s">
        <v>19</v>
      </c>
      <c r="K618" s="185" t="s">
        <v>167</v>
      </c>
    </row>
    <row r="619" spans="6:11" x14ac:dyDescent="0.3">
      <c r="F619" s="246">
        <v>615</v>
      </c>
      <c r="G619" s="117">
        <v>46127</v>
      </c>
      <c r="H619" s="3">
        <v>20</v>
      </c>
      <c r="I619" s="195">
        <v>4</v>
      </c>
      <c r="J619" s="181" t="s">
        <v>12</v>
      </c>
      <c r="K619" s="185" t="s">
        <v>167</v>
      </c>
    </row>
    <row r="620" spans="6:11" x14ac:dyDescent="0.3">
      <c r="F620" s="246">
        <v>616</v>
      </c>
      <c r="G620" s="117">
        <v>46127</v>
      </c>
      <c r="H620" s="3">
        <v>20</v>
      </c>
      <c r="I620" s="195">
        <v>5</v>
      </c>
      <c r="J620" s="181" t="s">
        <v>14</v>
      </c>
      <c r="K620" s="185" t="s">
        <v>167</v>
      </c>
    </row>
    <row r="621" spans="6:11" x14ac:dyDescent="0.3">
      <c r="F621" s="246">
        <v>617</v>
      </c>
      <c r="G621" s="117">
        <v>46127</v>
      </c>
      <c r="H621" s="3">
        <v>20</v>
      </c>
      <c r="I621" s="195">
        <v>6</v>
      </c>
      <c r="J621" s="181" t="s">
        <v>24</v>
      </c>
      <c r="K621" s="185"/>
    </row>
    <row r="622" spans="6:11" x14ac:dyDescent="0.3">
      <c r="F622" s="246">
        <v>618</v>
      </c>
      <c r="G622" s="117">
        <v>46127</v>
      </c>
      <c r="H622" s="3">
        <v>20</v>
      </c>
      <c r="I622" s="195">
        <v>7</v>
      </c>
      <c r="J622" s="181" t="s">
        <v>355</v>
      </c>
      <c r="K622" s="185" t="s">
        <v>167</v>
      </c>
    </row>
    <row r="623" spans="6:11" x14ac:dyDescent="0.3">
      <c r="F623" s="246">
        <v>619</v>
      </c>
      <c r="G623" s="117">
        <v>46127</v>
      </c>
      <c r="H623" s="3">
        <v>20</v>
      </c>
      <c r="I623" s="195">
        <v>8</v>
      </c>
      <c r="J623" s="181" t="s">
        <v>356</v>
      </c>
      <c r="K623" s="185" t="s">
        <v>167</v>
      </c>
    </row>
    <row r="624" spans="6:11" x14ac:dyDescent="0.3">
      <c r="F624" s="246">
        <v>620</v>
      </c>
      <c r="G624" s="117">
        <v>46127</v>
      </c>
      <c r="H624" s="3">
        <v>20</v>
      </c>
      <c r="I624" s="195">
        <v>16</v>
      </c>
      <c r="J624" s="181" t="s">
        <v>23</v>
      </c>
      <c r="K624" s="185" t="s">
        <v>167</v>
      </c>
    </row>
    <row r="625" spans="6:11" x14ac:dyDescent="0.3">
      <c r="F625" s="246">
        <v>621</v>
      </c>
      <c r="G625" s="117">
        <v>46127</v>
      </c>
      <c r="H625" s="3">
        <v>20</v>
      </c>
      <c r="I625" s="195">
        <v>12</v>
      </c>
      <c r="J625" s="181" t="s">
        <v>20</v>
      </c>
      <c r="K625" s="185" t="s">
        <v>167</v>
      </c>
    </row>
    <row r="626" spans="6:11" x14ac:dyDescent="0.3">
      <c r="F626" s="246">
        <v>622</v>
      </c>
      <c r="G626" s="117">
        <v>46127</v>
      </c>
      <c r="H626" s="3">
        <v>20</v>
      </c>
      <c r="I626" s="195">
        <v>13</v>
      </c>
      <c r="J626" s="181" t="s">
        <v>301</v>
      </c>
      <c r="K626" s="185" t="s">
        <v>167</v>
      </c>
    </row>
    <row r="627" spans="6:11" x14ac:dyDescent="0.3">
      <c r="F627" s="246">
        <v>623</v>
      </c>
      <c r="G627" s="117">
        <v>46127</v>
      </c>
      <c r="H627" s="3">
        <v>20</v>
      </c>
      <c r="I627" s="195">
        <v>14</v>
      </c>
      <c r="J627" s="181" t="s">
        <v>21</v>
      </c>
      <c r="K627" s="185" t="s">
        <v>557</v>
      </c>
    </row>
    <row r="628" spans="6:11" x14ac:dyDescent="0.3">
      <c r="F628" s="246">
        <v>624</v>
      </c>
      <c r="G628" s="117">
        <v>46127</v>
      </c>
      <c r="H628" s="3">
        <v>20</v>
      </c>
      <c r="I628" s="195">
        <v>15</v>
      </c>
      <c r="J628" s="181" t="s">
        <v>22</v>
      </c>
      <c r="K628" s="185" t="s">
        <v>557</v>
      </c>
    </row>
    <row r="629" spans="6:11" x14ac:dyDescent="0.3">
      <c r="F629" s="246">
        <v>625</v>
      </c>
      <c r="G629" s="117">
        <v>46127</v>
      </c>
      <c r="H629" s="3">
        <v>20</v>
      </c>
      <c r="I629" s="195">
        <v>17</v>
      </c>
      <c r="J629" s="181" t="s">
        <v>299</v>
      </c>
      <c r="K629" s="185" t="s">
        <v>167</v>
      </c>
    </row>
    <row r="630" spans="6:11" x14ac:dyDescent="0.3">
      <c r="F630" s="246">
        <v>626</v>
      </c>
      <c r="G630" s="117">
        <v>46127</v>
      </c>
      <c r="H630" s="3">
        <v>20</v>
      </c>
      <c r="I630" s="195">
        <v>18</v>
      </c>
      <c r="J630" s="181" t="s">
        <v>300</v>
      </c>
      <c r="K630" s="185" t="s">
        <v>167</v>
      </c>
    </row>
  </sheetData>
  <sheetProtection algorithmName="SHA-512" hashValue="92a4gfv1EIrGLVDmLEB86KGZ2QMv7JtHQ7VcZ5Ge2nrupJaZJBpxpdsNyTF+tjgQlMvT+7R3tpwTdzCWOoIWHw==" saltValue="ZLpj/RU+4Sv+eNkq/SQrEw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8"/>
  <sheetViews>
    <sheetView workbookViewId="0">
      <selection activeCell="M4" sqref="M4"/>
    </sheetView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77" t="s">
        <v>38</v>
      </c>
      <c r="C2" s="378"/>
      <c r="D2" s="378"/>
      <c r="E2" s="378"/>
      <c r="F2" s="378"/>
      <c r="G2" s="378"/>
      <c r="H2" s="379"/>
      <c r="I2" s="205"/>
      <c r="J2" s="380" t="s">
        <v>39</v>
      </c>
      <c r="K2" s="381"/>
      <c r="L2" s="381"/>
      <c r="M2" s="381"/>
      <c r="N2" s="381"/>
      <c r="O2" s="381"/>
      <c r="P2" s="381"/>
      <c r="Q2" s="382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08"/>
      <c r="C3" s="109"/>
      <c r="D3" s="109"/>
      <c r="E3" s="204"/>
      <c r="F3" s="109"/>
      <c r="G3" s="109"/>
      <c r="H3" s="110"/>
      <c r="J3" s="108"/>
      <c r="K3" s="109"/>
      <c r="L3" s="109"/>
      <c r="M3" s="109"/>
      <c r="N3" s="109"/>
      <c r="O3" s="109"/>
      <c r="P3" s="109"/>
      <c r="Q3" s="110"/>
      <c r="XEZ3" s="207" t="str">
        <f>IF($E$13&lt;&gt;"",MAX(0,MIN(DATEDIF($E$13,$E$12,"m"), $C$16)),"")</f>
        <v/>
      </c>
    </row>
    <row r="4" spans="2:19 16380:16380" ht="15" thickBot="1" x14ac:dyDescent="0.35">
      <c r="B4" s="108"/>
      <c r="C4" s="109" t="s">
        <v>66</v>
      </c>
      <c r="D4" s="109"/>
      <c r="E4" s="26"/>
      <c r="F4" s="109"/>
      <c r="G4" s="109"/>
      <c r="H4" s="110"/>
      <c r="J4" s="108"/>
      <c r="K4" s="109" t="s">
        <v>67</v>
      </c>
      <c r="L4" s="109"/>
      <c r="M4" s="27"/>
      <c r="N4" s="146"/>
      <c r="O4" s="109"/>
      <c r="P4" s="109"/>
      <c r="Q4" s="110"/>
    </row>
    <row r="5" spans="2:19 16380:16380" x14ac:dyDescent="0.3">
      <c r="B5" s="206"/>
      <c r="C5" s="207"/>
      <c r="D5" s="207"/>
      <c r="E5" s="207"/>
      <c r="F5" s="207"/>
      <c r="G5" s="207"/>
      <c r="H5" s="208"/>
      <c r="J5" s="206"/>
      <c r="K5" s="207"/>
      <c r="L5" s="207"/>
      <c r="M5" s="207"/>
      <c r="N5" s="207"/>
      <c r="O5" s="207"/>
      <c r="P5" s="207"/>
      <c r="Q5" s="208"/>
    </row>
    <row r="6" spans="2:19 16380:16380" x14ac:dyDescent="0.3">
      <c r="B6" s="206"/>
      <c r="C6" s="209" t="s">
        <v>33</v>
      </c>
      <c r="D6" s="209"/>
      <c r="E6" s="209" t="s">
        <v>50</v>
      </c>
      <c r="F6" s="207"/>
      <c r="G6" s="207"/>
      <c r="H6" s="208"/>
      <c r="J6" s="206"/>
      <c r="K6" s="209" t="s">
        <v>33</v>
      </c>
      <c r="L6" s="209"/>
      <c r="M6" s="210" t="s">
        <v>50</v>
      </c>
      <c r="N6" s="207"/>
      <c r="O6" s="209" t="s">
        <v>229</v>
      </c>
      <c r="P6" s="207"/>
      <c r="Q6" s="208"/>
    </row>
    <row r="7" spans="2:19 16380:16380" ht="15" thickBot="1" x14ac:dyDescent="0.35">
      <c r="B7" s="206"/>
      <c r="C7" s="209"/>
      <c r="D7" s="207"/>
      <c r="E7" s="209"/>
      <c r="F7" s="207"/>
      <c r="H7" s="208"/>
      <c r="J7" s="206"/>
      <c r="K7" s="207"/>
      <c r="L7" s="207"/>
      <c r="M7" s="207"/>
      <c r="N7" s="207"/>
      <c r="O7" s="207"/>
      <c r="P7" s="207"/>
      <c r="Q7" s="208"/>
    </row>
    <row r="8" spans="2:19 16380:16380" ht="15" thickBot="1" x14ac:dyDescent="0.35">
      <c r="B8" s="206"/>
      <c r="C8" s="198" t="str">
        <f>_xlfn.IFNA(IF(ISNUMBER(SEARCH("AYUDA",E4)),2,_xlfn.XLOOKUP(E8,LINEAMIENTOS!$B$3:$B$20,LINEAMIENTOS!$A$3:$A$20)),"")</f>
        <v/>
      </c>
      <c r="D8" s="207"/>
      <c r="E8" s="14"/>
      <c r="F8" s="207"/>
      <c r="G8" s="207"/>
      <c r="H8" s="208"/>
      <c r="J8" s="206"/>
      <c r="K8" s="198" t="str">
        <f>_xlfn.IFNA(IF(ISNUMBER(SEARCH("INGRESO",M4)),1,_xlfn.XLOOKUP(M8,LINEAMIENTOS!$B$3:$B$20,LINEAMIENTOS!$A$3:$A$20)),"")</f>
        <v/>
      </c>
      <c r="L8" s="207"/>
      <c r="M8" s="14"/>
      <c r="N8" s="207"/>
      <c r="O8" s="132"/>
      <c r="P8" s="207"/>
      <c r="Q8" s="208"/>
    </row>
    <row r="9" spans="2:19 16380:16380" x14ac:dyDescent="0.3">
      <c r="B9" s="206"/>
      <c r="C9" s="211"/>
      <c r="D9" s="207"/>
      <c r="E9" s="207"/>
      <c r="F9" s="207"/>
      <c r="G9" s="207"/>
      <c r="H9" s="208"/>
      <c r="J9" s="206"/>
      <c r="K9" s="211"/>
      <c r="L9" s="207"/>
      <c r="M9" s="207"/>
      <c r="N9" s="207"/>
      <c r="O9" s="207"/>
      <c r="P9" s="207"/>
      <c r="Q9" s="208"/>
    </row>
    <row r="10" spans="2:19 16380:16380" x14ac:dyDescent="0.3">
      <c r="B10" s="206"/>
      <c r="C10" s="212" t="s">
        <v>69</v>
      </c>
      <c r="D10" s="207"/>
      <c r="E10" s="212" t="s">
        <v>30</v>
      </c>
      <c r="F10" s="207"/>
      <c r="G10" s="207"/>
      <c r="H10" s="208"/>
      <c r="J10" s="206"/>
      <c r="K10" s="209" t="s">
        <v>28</v>
      </c>
      <c r="L10" s="207"/>
      <c r="M10" s="209" t="s">
        <v>35</v>
      </c>
      <c r="N10" s="207"/>
      <c r="O10" s="209" t="s">
        <v>41</v>
      </c>
      <c r="P10" s="209"/>
      <c r="Q10" s="208"/>
    </row>
    <row r="11" spans="2:19 16380:16380" ht="15" thickBot="1" x14ac:dyDescent="0.35">
      <c r="B11" s="206"/>
      <c r="C11" s="213" t="str">
        <f>IFERROR(C15*C16,"")</f>
        <v/>
      </c>
      <c r="D11" s="207"/>
      <c r="E11" s="212"/>
      <c r="F11" s="207"/>
      <c r="G11" s="207"/>
      <c r="H11" s="208"/>
      <c r="J11" s="206"/>
      <c r="K11" s="207"/>
      <c r="L11" s="207"/>
      <c r="M11" s="207"/>
      <c r="N11" s="207"/>
      <c r="O11" s="207"/>
      <c r="P11" s="207"/>
      <c r="Q11" s="208"/>
    </row>
    <row r="12" spans="2:19 16380:16380" ht="15" thickBot="1" x14ac:dyDescent="0.35">
      <c r="B12" s="206"/>
      <c r="C12" s="31"/>
      <c r="D12" s="207"/>
      <c r="E12" s="15">
        <f ca="1">+TODAY()</f>
        <v>46138</v>
      </c>
      <c r="F12" s="207"/>
      <c r="G12" s="207"/>
      <c r="H12" s="208"/>
      <c r="J12" s="206"/>
      <c r="K12" s="30"/>
      <c r="L12" s="207"/>
      <c r="M12" s="15">
        <f ca="1">+TODAY()</f>
        <v>46138</v>
      </c>
      <c r="N12" s="207"/>
      <c r="O12" s="28"/>
      <c r="P12" s="207"/>
      <c r="Q12" s="208"/>
    </row>
    <row r="13" spans="2:19 16380:16380" x14ac:dyDescent="0.3">
      <c r="B13" s="206"/>
      <c r="C13" s="214" t="str">
        <f>IFERROR(C12/C16,"")</f>
        <v/>
      </c>
      <c r="D13" s="207"/>
      <c r="E13" s="215"/>
      <c r="F13" s="207"/>
      <c r="G13" s="207"/>
      <c r="H13" s="208"/>
      <c r="J13" s="206"/>
      <c r="K13" s="207"/>
      <c r="L13" s="207"/>
      <c r="M13" s="215"/>
      <c r="N13" s="207"/>
      <c r="O13" s="207"/>
      <c r="P13" s="207"/>
      <c r="Q13" s="208"/>
      <c r="S13" s="216"/>
    </row>
    <row r="14" spans="2:19 16380:16380" x14ac:dyDescent="0.3">
      <c r="B14" s="206"/>
      <c r="C14" s="209" t="s">
        <v>55</v>
      </c>
      <c r="D14" s="207"/>
      <c r="E14" s="209" t="s">
        <v>32</v>
      </c>
      <c r="F14" s="207"/>
      <c r="G14" s="207"/>
      <c r="H14" s="208"/>
      <c r="J14" s="206"/>
      <c r="K14" s="209" t="s">
        <v>29</v>
      </c>
      <c r="L14" s="207"/>
      <c r="M14" s="209" t="s">
        <v>36</v>
      </c>
      <c r="N14" s="207"/>
      <c r="O14" s="209" t="s">
        <v>40</v>
      </c>
      <c r="P14" s="209"/>
      <c r="Q14" s="208"/>
    </row>
    <row r="15" spans="2:19 16380:16380" ht="15" thickBot="1" x14ac:dyDescent="0.35">
      <c r="B15" s="206"/>
      <c r="C15" s="214" t="str">
        <f>IFERROR(C13+E17,"")</f>
        <v/>
      </c>
      <c r="D15" s="207"/>
      <c r="E15" s="209"/>
      <c r="F15" s="207"/>
      <c r="G15" s="207"/>
      <c r="H15" s="208"/>
      <c r="J15" s="206"/>
      <c r="K15" s="209"/>
      <c r="L15" s="207"/>
      <c r="M15" s="209"/>
      <c r="N15" s="207"/>
      <c r="O15" s="207"/>
      <c r="P15" s="207"/>
      <c r="Q15" s="208"/>
    </row>
    <row r="16" spans="2:19 16380:16380" ht="15" thickBot="1" x14ac:dyDescent="0.35">
      <c r="B16" s="206"/>
      <c r="C16" s="32"/>
      <c r="D16" s="207"/>
      <c r="E16" s="112"/>
      <c r="F16" s="207"/>
      <c r="G16" s="207"/>
      <c r="H16" s="208"/>
      <c r="J16" s="206"/>
      <c r="K16" s="30"/>
      <c r="L16" s="207"/>
      <c r="M16" s="15">
        <f ca="1">+TODAY()</f>
        <v>46138</v>
      </c>
      <c r="N16" s="207"/>
      <c r="O16" s="29"/>
      <c r="P16" s="207"/>
      <c r="Q16" s="208"/>
    </row>
    <row r="17" spans="2:17" x14ac:dyDescent="0.3">
      <c r="B17" s="206"/>
      <c r="C17" s="217"/>
      <c r="D17" s="207"/>
      <c r="E17" s="214" t="str">
        <f>IF(C12="","",C12*E16)</f>
        <v/>
      </c>
      <c r="F17" s="207"/>
      <c r="G17" s="207"/>
      <c r="H17" s="208"/>
      <c r="J17" s="206"/>
      <c r="K17" s="207"/>
      <c r="L17" s="207"/>
      <c r="M17" s="215"/>
      <c r="N17" s="207"/>
      <c r="O17" s="207"/>
      <c r="P17" s="207"/>
      <c r="Q17" s="208"/>
    </row>
    <row r="18" spans="2:17" x14ac:dyDescent="0.3">
      <c r="B18" s="206"/>
      <c r="C18" s="209" t="s">
        <v>37</v>
      </c>
      <c r="D18" s="207"/>
      <c r="E18" s="207" t="str">
        <f>IF($E$13&lt;&gt;"","LETRA NUMERO: "&amp;MAX(0,MIN(DATEDIF($E$13,$E$12,"m"), $C$16)),"")</f>
        <v/>
      </c>
      <c r="F18" s="207"/>
      <c r="G18" s="207"/>
      <c r="H18" s="208"/>
      <c r="I18" s="218"/>
      <c r="J18" s="206"/>
      <c r="K18" s="209" t="s">
        <v>37</v>
      </c>
      <c r="L18" s="207"/>
      <c r="M18" s="207"/>
      <c r="N18" s="207"/>
      <c r="O18" s="207"/>
      <c r="P18" s="207"/>
      <c r="Q18" s="208"/>
    </row>
    <row r="19" spans="2:17" ht="15" thickBot="1" x14ac:dyDescent="0.35">
      <c r="B19" s="206"/>
      <c r="C19" s="207"/>
      <c r="D19" s="207"/>
      <c r="E19" s="207" t="str">
        <f>IF($E$13&lt;&gt;"","LETRAS FALTANTES: "&amp;$C$16-MAX(0,MIN(DATEDIF($E$13,$E$12,"m"), $C$16)),"")</f>
        <v/>
      </c>
      <c r="F19" s="207"/>
      <c r="G19" s="207"/>
      <c r="H19" s="208"/>
      <c r="I19" s="218"/>
      <c r="J19" s="206"/>
      <c r="K19" s="207"/>
      <c r="L19" s="207"/>
      <c r="M19" s="207"/>
      <c r="N19" s="207"/>
      <c r="O19" s="207"/>
      <c r="P19" s="207"/>
      <c r="Q19" s="208"/>
    </row>
    <row r="20" spans="2:17" x14ac:dyDescent="0.3">
      <c r="B20" s="206"/>
      <c r="C20" s="383"/>
      <c r="D20" s="384"/>
      <c r="E20" s="385"/>
      <c r="F20" s="206"/>
      <c r="G20" s="207"/>
      <c r="H20" s="208"/>
      <c r="J20" s="206"/>
      <c r="K20" s="389"/>
      <c r="L20" s="390"/>
      <c r="M20" s="390"/>
      <c r="N20" s="390"/>
      <c r="O20" s="391"/>
      <c r="P20" s="206"/>
      <c r="Q20" s="208"/>
    </row>
    <row r="21" spans="2:17" ht="15" thickBot="1" x14ac:dyDescent="0.35">
      <c r="B21" s="206"/>
      <c r="C21" s="386"/>
      <c r="D21" s="387"/>
      <c r="E21" s="388"/>
      <c r="F21" s="206"/>
      <c r="G21" s="207"/>
      <c r="H21" s="208"/>
      <c r="J21" s="206"/>
      <c r="K21" s="392"/>
      <c r="L21" s="393"/>
      <c r="M21" s="393"/>
      <c r="N21" s="393"/>
      <c r="O21" s="394"/>
      <c r="P21" s="206"/>
      <c r="Q21" s="208"/>
    </row>
    <row r="22" spans="2:17" ht="15" thickBot="1" x14ac:dyDescent="0.35">
      <c r="B22" s="219"/>
      <c r="C22" s="220"/>
      <c r="D22" s="220"/>
      <c r="E22" s="220"/>
      <c r="F22" s="220"/>
      <c r="G22" s="220"/>
      <c r="H22" s="221"/>
      <c r="J22" s="219"/>
      <c r="K22" s="220"/>
      <c r="L22" s="220"/>
      <c r="M22" s="220"/>
      <c r="N22" s="220"/>
      <c r="O22" s="220"/>
      <c r="P22" s="220"/>
      <c r="Q22" s="221"/>
    </row>
    <row r="23" spans="2:17" ht="15" thickBot="1" x14ac:dyDescent="0.35"/>
    <row r="24" spans="2:17" x14ac:dyDescent="0.3">
      <c r="B24" s="247"/>
      <c r="C24" s="248"/>
      <c r="D24" s="248"/>
      <c r="E24" s="248"/>
      <c r="F24" s="248"/>
      <c r="G24" s="248"/>
      <c r="H24" s="248"/>
      <c r="I24" s="248"/>
      <c r="J24" s="248"/>
      <c r="K24" s="248"/>
      <c r="L24" s="248"/>
      <c r="M24" s="248"/>
      <c r="N24" s="248"/>
      <c r="O24" s="248"/>
      <c r="P24" s="248"/>
      <c r="Q24" s="249"/>
    </row>
    <row r="25" spans="2:17" x14ac:dyDescent="0.3">
      <c r="B25" s="250"/>
      <c r="C25" s="251"/>
      <c r="D25" s="251"/>
      <c r="E25" s="251"/>
      <c r="F25" s="251"/>
      <c r="G25" s="251"/>
      <c r="H25" s="251"/>
      <c r="I25" s="251"/>
      <c r="J25" s="251"/>
      <c r="K25" s="251"/>
      <c r="L25" s="251"/>
      <c r="M25" s="251"/>
      <c r="N25" s="251"/>
      <c r="O25" s="251"/>
      <c r="P25" s="251"/>
      <c r="Q25" s="252"/>
    </row>
    <row r="26" spans="2:17" ht="15" thickBot="1" x14ac:dyDescent="0.35">
      <c r="B26" s="253"/>
      <c r="C26" s="254"/>
      <c r="D26" s="254"/>
      <c r="E26" s="254"/>
      <c r="F26" s="254"/>
      <c r="G26" s="254"/>
      <c r="H26" s="254"/>
      <c r="I26" s="254"/>
      <c r="J26" s="254"/>
      <c r="K26" s="254"/>
      <c r="L26" s="254"/>
      <c r="M26" s="254"/>
      <c r="N26" s="254"/>
      <c r="O26" s="254"/>
      <c r="P26" s="254"/>
      <c r="Q26" s="255"/>
    </row>
    <row r="28" spans="2:17" x14ac:dyDescent="0.3">
      <c r="B28" s="2" t="s">
        <v>497</v>
      </c>
    </row>
  </sheetData>
  <sheetProtection algorithmName="SHA-512" hashValue="E0sdhkDTBUc1dyBd7nNBiJPz2ty11mPbPhS1omOYhIfNwO3WdUiec5dN6c5rPBxTgTQyBBqhDcK1kzmQHXvSTA==" saltValue="mhMEihh+MN1djFKg6wz4UQ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P127"/>
  <sheetViews>
    <sheetView workbookViewId="0">
      <pane ySplit="2" topLeftCell="A107" activePane="bottomLeft" state="frozen"/>
      <selection pane="bottomLeft" sqref="A1:K1"/>
    </sheetView>
  </sheetViews>
  <sheetFormatPr baseColWidth="10" defaultColWidth="10.88671875" defaultRowHeight="14.4" x14ac:dyDescent="0.3"/>
  <cols>
    <col min="1" max="1" width="9.6640625" bestFit="1" customWidth="1"/>
    <col min="2" max="2" width="10.6640625" style="239" bestFit="1" customWidth="1"/>
    <col min="3" max="3" width="8.33203125" style="194" customWidth="1"/>
    <col min="4" max="4" width="24.6640625" customWidth="1"/>
    <col min="5" max="5" width="15.44140625" style="48" customWidth="1"/>
    <col min="6" max="6" width="14" customWidth="1"/>
    <col min="7" max="8" width="9.88671875" bestFit="1" customWidth="1"/>
    <col min="9" max="9" width="10.5546875" bestFit="1" customWidth="1"/>
    <col min="10" max="10" width="11.88671875" bestFit="1" customWidth="1"/>
    <col min="11" max="11" width="66.6640625" style="159" customWidth="1"/>
    <col min="12" max="12" width="12.6640625" style="2" customWidth="1"/>
    <col min="13" max="13" width="21" bestFit="1" customWidth="1"/>
    <col min="14" max="14" width="10.88671875" style="139"/>
    <col min="15" max="15" width="23.109375" style="155" bestFit="1" customWidth="1"/>
    <col min="16" max="16384" width="10.88671875" style="17"/>
  </cols>
  <sheetData>
    <row r="1" spans="1:15" s="18" customFormat="1" x14ac:dyDescent="0.3">
      <c r="A1" s="395" t="s">
        <v>44</v>
      </c>
      <c r="B1" s="395"/>
      <c r="C1" s="395"/>
      <c r="D1" s="395"/>
      <c r="E1" s="395"/>
      <c r="F1" s="395"/>
      <c r="G1" s="395"/>
      <c r="H1" s="395"/>
      <c r="I1" s="395"/>
      <c r="J1" s="395"/>
      <c r="K1" s="395"/>
      <c r="L1" s="134"/>
      <c r="M1" s="16"/>
      <c r="N1" s="138"/>
      <c r="O1" s="154"/>
    </row>
    <row r="2" spans="1:15" s="18" customFormat="1" ht="28.8" x14ac:dyDescent="0.3">
      <c r="A2" s="23" t="s">
        <v>68</v>
      </c>
      <c r="B2" s="147" t="s">
        <v>528</v>
      </c>
      <c r="C2" s="22" t="s">
        <v>33</v>
      </c>
      <c r="D2" s="23" t="s">
        <v>34</v>
      </c>
      <c r="E2" s="23" t="s">
        <v>54</v>
      </c>
      <c r="F2" s="23" t="s">
        <v>30</v>
      </c>
      <c r="G2" s="23" t="s">
        <v>31</v>
      </c>
      <c r="H2" s="23" t="s">
        <v>32</v>
      </c>
      <c r="I2" s="23" t="s">
        <v>51</v>
      </c>
      <c r="J2" s="23" t="s">
        <v>55</v>
      </c>
      <c r="K2" s="135" t="s">
        <v>37</v>
      </c>
      <c r="L2" s="136" t="s">
        <v>238</v>
      </c>
      <c r="M2" s="23" t="s">
        <v>289</v>
      </c>
      <c r="N2" s="138"/>
      <c r="O2" s="154"/>
    </row>
    <row r="3" spans="1:15" x14ac:dyDescent="0.3">
      <c r="A3" s="42">
        <v>1</v>
      </c>
      <c r="B3" s="237" t="s">
        <v>44</v>
      </c>
      <c r="C3" s="35">
        <v>9</v>
      </c>
      <c r="D3" s="36" t="s">
        <v>17</v>
      </c>
      <c r="E3" s="37">
        <v>60</v>
      </c>
      <c r="F3" s="38">
        <v>44819</v>
      </c>
      <c r="G3" s="39">
        <v>2</v>
      </c>
      <c r="H3" s="49">
        <v>0.02</v>
      </c>
      <c r="I3" s="40">
        <f>+PRESTAMOS[[#This Row],[MONTO AMORTIZACION]]*PRESTAMOS[[#This Row],[INTERES]]*PRESTAMOS[[#This Row],[CUOTAS]]</f>
        <v>2.4</v>
      </c>
      <c r="J3" s="40">
        <f>+PRESTAMOS[[#This Row],[MONTO AMORTIZACION]]+PRESTAMOS[[#This Row],[T. INT]]</f>
        <v>62.4</v>
      </c>
      <c r="K3" s="148" t="s">
        <v>336</v>
      </c>
      <c r="L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" s="15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3" s="155" t="s">
        <v>290</v>
      </c>
    </row>
    <row r="4" spans="1:15" x14ac:dyDescent="0.3">
      <c r="A4" s="42">
        <v>2</v>
      </c>
      <c r="B4" s="237" t="s">
        <v>44</v>
      </c>
      <c r="C4" s="35">
        <v>5</v>
      </c>
      <c r="D4" s="36" t="s">
        <v>14</v>
      </c>
      <c r="E4" s="37">
        <v>100</v>
      </c>
      <c r="F4" s="41">
        <v>44819</v>
      </c>
      <c r="G4" s="55">
        <v>2</v>
      </c>
      <c r="H4" s="56">
        <v>0.02</v>
      </c>
      <c r="I4" s="40">
        <f>+PRESTAMOS[[#This Row],[MONTO AMORTIZACION]]*PRESTAMOS[[#This Row],[INTERES]]*PRESTAMOS[[#This Row],[CUOTAS]]</f>
        <v>4</v>
      </c>
      <c r="J4" s="40">
        <f>+PRESTAMOS[[#This Row],[MONTO AMORTIZACION]]+PRESTAMOS[[#This Row],[T. INT]]</f>
        <v>104</v>
      </c>
      <c r="K4" s="148" t="s">
        <v>336</v>
      </c>
      <c r="L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4" s="156" t="str" cm="1">
        <f t="array" ref="O4:O17">_xlfn._xlws.FILTER(PRESTAMOS[REG],PRESTAMOS[ESTATUS]="PENDIENTE")&amp;"-"&amp;_xlfn._xlws.FILTER(PRESTAMOS[NOMBRE CLIENTE],PRESTAMOS[ESTATUS]="PENDIENTE")</f>
        <v>83-DANNY ALMACHI</v>
      </c>
    </row>
    <row r="5" spans="1:15" x14ac:dyDescent="0.3">
      <c r="A5" s="42">
        <v>3</v>
      </c>
      <c r="B5" s="237" t="s">
        <v>44</v>
      </c>
      <c r="C5" s="43">
        <v>7</v>
      </c>
      <c r="D5" s="34" t="s">
        <v>15</v>
      </c>
      <c r="E5" s="44">
        <v>200</v>
      </c>
      <c r="F5" s="45">
        <v>44849</v>
      </c>
      <c r="G5" s="46">
        <v>1</v>
      </c>
      <c r="H5" s="47">
        <v>0.02</v>
      </c>
      <c r="I5" s="40">
        <f>+PRESTAMOS[[#This Row],[MONTO AMORTIZACION]]*PRESTAMOS[[#This Row],[INTERES]]*PRESTAMOS[[#This Row],[CUOTAS]]</f>
        <v>4</v>
      </c>
      <c r="J5" s="40">
        <f>+PRESTAMOS[[#This Row],[MONTO AMORTIZACION]]+PRESTAMOS[[#This Row],[T. INT]]</f>
        <v>204</v>
      </c>
      <c r="K5" s="149" t="s">
        <v>336</v>
      </c>
      <c r="L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5" s="156" t="str">
        <v>103-MARTHA JAQUE</v>
      </c>
    </row>
    <row r="6" spans="1:15" x14ac:dyDescent="0.3">
      <c r="A6" s="42">
        <v>4</v>
      </c>
      <c r="B6" s="237" t="s">
        <v>44</v>
      </c>
      <c r="C6" s="43">
        <v>16</v>
      </c>
      <c r="D6" s="34" t="s">
        <v>23</v>
      </c>
      <c r="E6" s="44">
        <v>200</v>
      </c>
      <c r="F6" s="45">
        <v>44880</v>
      </c>
      <c r="G6" s="46">
        <v>2</v>
      </c>
      <c r="H6" s="47">
        <v>0.02</v>
      </c>
      <c r="I6" s="40">
        <f>+PRESTAMOS[[#This Row],[MONTO AMORTIZACION]]*PRESTAMOS[[#This Row],[INTERES]]*PRESTAMOS[[#This Row],[CUOTAS]]</f>
        <v>8</v>
      </c>
      <c r="J6" s="40">
        <f>+PRESTAMOS[[#This Row],[MONTO AMORTIZACION]]+PRESTAMOS[[#This Row],[T. INT]]</f>
        <v>208</v>
      </c>
      <c r="K6" s="149" t="s">
        <v>336</v>
      </c>
      <c r="L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6" s="156" t="str">
        <v>104-LUIS TOAQUIZA</v>
      </c>
    </row>
    <row r="7" spans="1:15" x14ac:dyDescent="0.3">
      <c r="A7" s="42">
        <v>5</v>
      </c>
      <c r="B7" s="237" t="s">
        <v>44</v>
      </c>
      <c r="C7" s="43">
        <v>11</v>
      </c>
      <c r="D7" s="34" t="s">
        <v>19</v>
      </c>
      <c r="E7" s="44">
        <v>200</v>
      </c>
      <c r="F7" s="45">
        <v>44880</v>
      </c>
      <c r="G7" s="46">
        <v>1</v>
      </c>
      <c r="H7" s="47">
        <v>0.02</v>
      </c>
      <c r="I7" s="40">
        <f>+PRESTAMOS[[#This Row],[MONTO AMORTIZACION]]*PRESTAMOS[[#This Row],[INTERES]]*PRESTAMOS[[#This Row],[CUOTAS]]</f>
        <v>4</v>
      </c>
      <c r="J7" s="40">
        <f>+PRESTAMOS[[#This Row],[MONTO AMORTIZACION]]+PRESTAMOS[[#This Row],[T. INT]]</f>
        <v>204</v>
      </c>
      <c r="K7" s="149" t="s">
        <v>336</v>
      </c>
      <c r="L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7" s="157" t="str">
        <v>105-MAYRA TOAQUIZA</v>
      </c>
    </row>
    <row r="8" spans="1:15" x14ac:dyDescent="0.3">
      <c r="A8" s="42">
        <v>6</v>
      </c>
      <c r="B8" s="238" t="s">
        <v>529</v>
      </c>
      <c r="C8" s="43">
        <v>12</v>
      </c>
      <c r="D8" s="34" t="s">
        <v>20</v>
      </c>
      <c r="E8" s="44">
        <v>100</v>
      </c>
      <c r="F8" s="190">
        <v>44910</v>
      </c>
      <c r="G8" s="46">
        <v>0</v>
      </c>
      <c r="H8" s="47">
        <v>0</v>
      </c>
      <c r="I8" s="40">
        <f>+PRESTAMOS[[#This Row],[MONTO AMORTIZACION]]*PRESTAMOS[[#This Row],[INTERES]]*PRESTAMOS[[#This Row],[CUOTAS]]</f>
        <v>0</v>
      </c>
      <c r="J8" s="40">
        <f>+PRESTAMOS[[#This Row],[MONTO AMORTIZACION]]+PRESTAMOS[[#This Row],[T. INT]]</f>
        <v>100</v>
      </c>
      <c r="K8" s="149" t="s">
        <v>224</v>
      </c>
      <c r="L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8" s="157" t="str">
        <v>106-ROCIO TOAQUIZA</v>
      </c>
    </row>
    <row r="9" spans="1:15" x14ac:dyDescent="0.3">
      <c r="A9" s="42">
        <v>7</v>
      </c>
      <c r="B9" s="237" t="s">
        <v>44</v>
      </c>
      <c r="C9" s="43">
        <v>4</v>
      </c>
      <c r="D9" s="34" t="s">
        <v>12</v>
      </c>
      <c r="E9" s="44">
        <v>100</v>
      </c>
      <c r="F9" s="45">
        <v>44910</v>
      </c>
      <c r="G9" s="46">
        <v>4</v>
      </c>
      <c r="H9" s="47">
        <v>0.02</v>
      </c>
      <c r="I9" s="40">
        <f>+PRESTAMOS[[#This Row],[MONTO AMORTIZACION]]*PRESTAMOS[[#This Row],[INTERES]]*PRESTAMOS[[#This Row],[CUOTAS]]</f>
        <v>8</v>
      </c>
      <c r="J9" s="40">
        <f>+PRESTAMOS[[#This Row],[MONTO AMORTIZACION]]+PRESTAMOS[[#This Row],[T. INT]]</f>
        <v>108</v>
      </c>
      <c r="K9" s="149" t="s">
        <v>336</v>
      </c>
      <c r="L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9" s="157" t="str">
        <v>110-ANA TOAQUIZA</v>
      </c>
    </row>
    <row r="10" spans="1:15" x14ac:dyDescent="0.3">
      <c r="A10" s="42">
        <v>8</v>
      </c>
      <c r="B10" s="237" t="s">
        <v>44</v>
      </c>
      <c r="C10" s="43">
        <v>12</v>
      </c>
      <c r="D10" s="34" t="s">
        <v>20</v>
      </c>
      <c r="E10" s="44">
        <v>100</v>
      </c>
      <c r="F10" s="45">
        <v>44910</v>
      </c>
      <c r="G10" s="46">
        <v>4</v>
      </c>
      <c r="H10" s="47">
        <v>0.02</v>
      </c>
      <c r="I10" s="40">
        <f>+PRESTAMOS[[#This Row],[MONTO AMORTIZACION]]*PRESTAMOS[[#This Row],[INTERES]]*PRESTAMOS[[#This Row],[CUOTAS]]</f>
        <v>8</v>
      </c>
      <c r="J10" s="40">
        <f>+PRESTAMOS[[#This Row],[MONTO AMORTIZACION]]+PRESTAMOS[[#This Row],[T. INT]]</f>
        <v>108</v>
      </c>
      <c r="K10" s="149" t="s">
        <v>336</v>
      </c>
      <c r="L1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0" s="157" t="str">
        <v>115-DIEGO TOAQUIZA</v>
      </c>
    </row>
    <row r="11" spans="1:15" x14ac:dyDescent="0.3">
      <c r="A11" s="42">
        <v>9</v>
      </c>
      <c r="B11" s="237" t="s">
        <v>44</v>
      </c>
      <c r="C11" s="43">
        <v>14</v>
      </c>
      <c r="D11" s="34" t="s">
        <v>21</v>
      </c>
      <c r="E11" s="44">
        <v>170</v>
      </c>
      <c r="F11" s="45">
        <v>44910</v>
      </c>
      <c r="G11" s="46">
        <v>5</v>
      </c>
      <c r="H11" s="47">
        <v>0.02</v>
      </c>
      <c r="I11" s="40">
        <f>+PRESTAMOS[[#This Row],[MONTO AMORTIZACION]]*PRESTAMOS[[#This Row],[INTERES]]*PRESTAMOS[[#This Row],[CUOTAS]]</f>
        <v>17</v>
      </c>
      <c r="J11" s="40">
        <f>+PRESTAMOS[[#This Row],[MONTO AMORTIZACION]]+PRESTAMOS[[#This Row],[T. INT]]</f>
        <v>187</v>
      </c>
      <c r="K11" s="149" t="s">
        <v>336</v>
      </c>
      <c r="L1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1" s="157" t="str">
        <v>116-DANNY ALMACHI</v>
      </c>
    </row>
    <row r="12" spans="1:15" x14ac:dyDescent="0.3">
      <c r="A12" s="42">
        <v>10</v>
      </c>
      <c r="B12" s="237" t="s">
        <v>44</v>
      </c>
      <c r="C12" s="43">
        <v>15</v>
      </c>
      <c r="D12" s="34" t="s">
        <v>22</v>
      </c>
      <c r="E12" s="44">
        <v>200</v>
      </c>
      <c r="F12" s="45">
        <v>44941</v>
      </c>
      <c r="G12" s="46">
        <v>3</v>
      </c>
      <c r="H12" s="47">
        <v>0.02</v>
      </c>
      <c r="I12" s="40">
        <f>+PRESTAMOS[[#This Row],[MONTO AMORTIZACION]]*PRESTAMOS[[#This Row],[INTERES]]*PRESTAMOS[[#This Row],[CUOTAS]]</f>
        <v>12</v>
      </c>
      <c r="J12" s="40">
        <f>+PRESTAMOS[[#This Row],[MONTO AMORTIZACION]]+PRESTAMOS[[#This Row],[T. INT]]</f>
        <v>212</v>
      </c>
      <c r="K12" s="149" t="s">
        <v>336</v>
      </c>
      <c r="L1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2" s="157" t="str">
        <v>119-JEFFERSON TOAQUIZA</v>
      </c>
    </row>
    <row r="13" spans="1:15" x14ac:dyDescent="0.3">
      <c r="A13" s="42">
        <v>11</v>
      </c>
      <c r="B13" s="237" t="s">
        <v>44</v>
      </c>
      <c r="C13" s="35">
        <v>9</v>
      </c>
      <c r="D13" s="34" t="s">
        <v>17</v>
      </c>
      <c r="E13" s="44">
        <v>100</v>
      </c>
      <c r="F13" s="45">
        <v>44941</v>
      </c>
      <c r="G13" s="46">
        <v>4</v>
      </c>
      <c r="H13" s="47">
        <v>0.02</v>
      </c>
      <c r="I13" s="40">
        <f>+PRESTAMOS[[#This Row],[MONTO AMORTIZACION]]*PRESTAMOS[[#This Row],[INTERES]]*PRESTAMOS[[#This Row],[CUOTAS]]</f>
        <v>8</v>
      </c>
      <c r="J13" s="40">
        <f>+PRESTAMOS[[#This Row],[MONTO AMORTIZACION]]+PRESTAMOS[[#This Row],[T. INT]]</f>
        <v>108</v>
      </c>
      <c r="K13" s="149" t="s">
        <v>336</v>
      </c>
      <c r="L1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3" s="157" t="str">
        <v>121-JEFFERSON TOAQUIZA</v>
      </c>
    </row>
    <row r="14" spans="1:15" x14ac:dyDescent="0.3">
      <c r="A14" s="42">
        <v>12</v>
      </c>
      <c r="B14" s="237" t="s">
        <v>44</v>
      </c>
      <c r="C14" s="35">
        <v>5</v>
      </c>
      <c r="D14" s="34" t="s">
        <v>14</v>
      </c>
      <c r="E14" s="44">
        <v>300</v>
      </c>
      <c r="F14" s="45">
        <v>44972</v>
      </c>
      <c r="G14" s="46">
        <v>3</v>
      </c>
      <c r="H14" s="47">
        <v>0.02</v>
      </c>
      <c r="I14" s="40">
        <f>+PRESTAMOS[[#This Row],[MONTO AMORTIZACION]]*PRESTAMOS[[#This Row],[INTERES]]*PRESTAMOS[[#This Row],[CUOTAS]]</f>
        <v>18</v>
      </c>
      <c r="J14" s="40">
        <f>+PRESTAMOS[[#This Row],[MONTO AMORTIZACION]]+PRESTAMOS[[#This Row],[T. INT]]</f>
        <v>318</v>
      </c>
      <c r="K14" s="149" t="s">
        <v>336</v>
      </c>
      <c r="L1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4" s="157" t="str">
        <v>122-MARCIAL CHILIQUINGA</v>
      </c>
    </row>
    <row r="15" spans="1:15" x14ac:dyDescent="0.3">
      <c r="A15" s="42">
        <v>13</v>
      </c>
      <c r="B15" s="237" t="s">
        <v>44</v>
      </c>
      <c r="C15" s="43">
        <v>10</v>
      </c>
      <c r="D15" s="34" t="s">
        <v>18</v>
      </c>
      <c r="E15" s="44">
        <v>100</v>
      </c>
      <c r="F15" s="45">
        <v>44972</v>
      </c>
      <c r="G15" s="46">
        <v>4</v>
      </c>
      <c r="H15" s="47">
        <v>0.02</v>
      </c>
      <c r="I15" s="40">
        <f>+PRESTAMOS[[#This Row],[MONTO AMORTIZACION]]*PRESTAMOS[[#This Row],[INTERES]]*PRESTAMOS[[#This Row],[CUOTAS]]</f>
        <v>8</v>
      </c>
      <c r="J15" s="40">
        <f>+PRESTAMOS[[#This Row],[MONTO AMORTIZACION]]+PRESTAMOS[[#This Row],[T. INT]]</f>
        <v>108</v>
      </c>
      <c r="K15" s="149" t="s">
        <v>336</v>
      </c>
      <c r="L1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5" s="157" t="str">
        <v>123-DIANA TOAQUIZA</v>
      </c>
    </row>
    <row r="16" spans="1:15" x14ac:dyDescent="0.3">
      <c r="A16" s="42">
        <v>14</v>
      </c>
      <c r="B16" s="237" t="s">
        <v>44</v>
      </c>
      <c r="C16" s="43">
        <v>7</v>
      </c>
      <c r="D16" s="34" t="s">
        <v>15</v>
      </c>
      <c r="E16" s="44">
        <v>400</v>
      </c>
      <c r="F16" s="45">
        <v>45000</v>
      </c>
      <c r="G16" s="46">
        <v>4</v>
      </c>
      <c r="H16" s="47">
        <v>0.02</v>
      </c>
      <c r="I16" s="40">
        <f>+PRESTAMOS[[#This Row],[MONTO AMORTIZACION]]*PRESTAMOS[[#This Row],[INTERES]]*PRESTAMOS[[#This Row],[CUOTAS]]</f>
        <v>32</v>
      </c>
      <c r="J16" s="40">
        <f>+PRESTAMOS[[#This Row],[MONTO AMORTIZACION]]+PRESTAMOS[[#This Row],[T. INT]]</f>
        <v>432</v>
      </c>
      <c r="K16" s="149" t="s">
        <v>336</v>
      </c>
      <c r="L1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6" s="157" t="str">
        <v>124-VICTOR CASTRO</v>
      </c>
    </row>
    <row r="17" spans="1:16" x14ac:dyDescent="0.3">
      <c r="A17" s="42">
        <v>15</v>
      </c>
      <c r="B17" s="237" t="s">
        <v>44</v>
      </c>
      <c r="C17" s="43">
        <v>6</v>
      </c>
      <c r="D17" s="34" t="s">
        <v>24</v>
      </c>
      <c r="E17" s="44">
        <v>80</v>
      </c>
      <c r="F17" s="45">
        <v>45000</v>
      </c>
      <c r="G17" s="46">
        <v>1</v>
      </c>
      <c r="H17" s="47">
        <v>0.02</v>
      </c>
      <c r="I17" s="40">
        <f>+PRESTAMOS[[#This Row],[MONTO AMORTIZACION]]*PRESTAMOS[[#This Row],[INTERES]]*PRESTAMOS[[#This Row],[CUOTAS]]</f>
        <v>1.6</v>
      </c>
      <c r="J17" s="40">
        <f>+PRESTAMOS[[#This Row],[MONTO AMORTIZACION]]+PRESTAMOS[[#This Row],[T. INT]]</f>
        <v>81.599999999999994</v>
      </c>
      <c r="K17" s="149" t="s">
        <v>336</v>
      </c>
      <c r="L1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7" s="157" t="str">
        <v>125-MARLENE TOAQUIZA</v>
      </c>
    </row>
    <row r="18" spans="1:16" x14ac:dyDescent="0.3">
      <c r="A18" s="42">
        <v>16</v>
      </c>
      <c r="B18" s="237" t="s">
        <v>44</v>
      </c>
      <c r="C18" s="43">
        <v>12</v>
      </c>
      <c r="D18" s="34" t="s">
        <v>20</v>
      </c>
      <c r="E18" s="44">
        <v>200</v>
      </c>
      <c r="F18" s="45">
        <v>45031</v>
      </c>
      <c r="G18" s="46">
        <v>4</v>
      </c>
      <c r="H18" s="47">
        <v>0.02</v>
      </c>
      <c r="I18" s="40">
        <f>+PRESTAMOS[[#This Row],[MONTO AMORTIZACION]]*PRESTAMOS[[#This Row],[INTERES]]*PRESTAMOS[[#This Row],[CUOTAS]]</f>
        <v>16</v>
      </c>
      <c r="J18" s="40">
        <f>+PRESTAMOS[[#This Row],[MONTO AMORTIZACION]]+PRESTAMOS[[#This Row],[T. INT]]</f>
        <v>216</v>
      </c>
      <c r="K18" s="149" t="s">
        <v>336</v>
      </c>
      <c r="L1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P18" s="139"/>
    </row>
    <row r="19" spans="1:16" x14ac:dyDescent="0.3">
      <c r="A19" s="42">
        <v>17</v>
      </c>
      <c r="B19" s="237" t="s">
        <v>44</v>
      </c>
      <c r="C19" s="43">
        <v>4</v>
      </c>
      <c r="D19" s="34" t="s">
        <v>12</v>
      </c>
      <c r="E19" s="44">
        <v>100</v>
      </c>
      <c r="F19" s="45">
        <v>45031</v>
      </c>
      <c r="G19" s="46">
        <v>4</v>
      </c>
      <c r="H19" s="47">
        <v>0.02</v>
      </c>
      <c r="I19" s="40">
        <f>+PRESTAMOS[[#This Row],[MONTO AMORTIZACION]]*PRESTAMOS[[#This Row],[INTERES]]*PRESTAMOS[[#This Row],[CUOTAS]]</f>
        <v>8</v>
      </c>
      <c r="J19" s="40">
        <f>+PRESTAMOS[[#This Row],[MONTO AMORTIZACION]]+PRESTAMOS[[#This Row],[T. INT]]</f>
        <v>108</v>
      </c>
      <c r="K19" s="149" t="s">
        <v>336</v>
      </c>
      <c r="L1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P19" s="139"/>
    </row>
    <row r="20" spans="1:16" x14ac:dyDescent="0.3">
      <c r="A20" s="42">
        <v>18</v>
      </c>
      <c r="B20" s="237" t="s">
        <v>44</v>
      </c>
      <c r="C20" s="43">
        <v>8</v>
      </c>
      <c r="D20" s="34" t="s">
        <v>16</v>
      </c>
      <c r="E20" s="44">
        <v>200</v>
      </c>
      <c r="F20" s="45">
        <v>45061</v>
      </c>
      <c r="G20" s="46">
        <v>2</v>
      </c>
      <c r="H20" s="47">
        <v>0.02</v>
      </c>
      <c r="I20" s="40">
        <f>+PRESTAMOS[[#This Row],[MONTO AMORTIZACION]]*PRESTAMOS[[#This Row],[INTERES]]*PRESTAMOS[[#This Row],[CUOTAS]]</f>
        <v>8</v>
      </c>
      <c r="J20" s="40">
        <f>+PRESTAMOS[[#This Row],[MONTO AMORTIZACION]]+PRESTAMOS[[#This Row],[T. INT]]</f>
        <v>208</v>
      </c>
      <c r="K20" s="149" t="s">
        <v>336</v>
      </c>
      <c r="L2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6" x14ac:dyDescent="0.3">
      <c r="A21" s="42">
        <v>19</v>
      </c>
      <c r="B21" s="237" t="s">
        <v>44</v>
      </c>
      <c r="C21" s="35">
        <v>9</v>
      </c>
      <c r="D21" s="34" t="s">
        <v>17</v>
      </c>
      <c r="E21" s="44">
        <v>100</v>
      </c>
      <c r="F21" s="45">
        <v>45061</v>
      </c>
      <c r="G21" s="46">
        <v>4</v>
      </c>
      <c r="H21" s="47">
        <v>0.02</v>
      </c>
      <c r="I21" s="40">
        <f>+PRESTAMOS[[#This Row],[MONTO AMORTIZACION]]*PRESTAMOS[[#This Row],[INTERES]]*PRESTAMOS[[#This Row],[CUOTAS]]</f>
        <v>8</v>
      </c>
      <c r="J21" s="40">
        <f>+PRESTAMOS[[#This Row],[MONTO AMORTIZACION]]+PRESTAMOS[[#This Row],[T. INT]]</f>
        <v>108</v>
      </c>
      <c r="K21" s="149" t="s">
        <v>336</v>
      </c>
      <c r="L2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6" x14ac:dyDescent="0.3">
      <c r="A22" s="42">
        <v>20</v>
      </c>
      <c r="B22" s="237" t="s">
        <v>44</v>
      </c>
      <c r="C22" s="43">
        <v>14</v>
      </c>
      <c r="D22" s="34" t="s">
        <v>21</v>
      </c>
      <c r="E22" s="44">
        <v>400</v>
      </c>
      <c r="F22" s="45">
        <v>45092</v>
      </c>
      <c r="G22" s="46">
        <v>4</v>
      </c>
      <c r="H22" s="47">
        <v>0.02</v>
      </c>
      <c r="I22" s="40">
        <f>+PRESTAMOS[[#This Row],[MONTO AMORTIZACION]]*PRESTAMOS[[#This Row],[INTERES]]*PRESTAMOS[[#This Row],[CUOTAS]]</f>
        <v>32</v>
      </c>
      <c r="J22" s="40">
        <f>+PRESTAMOS[[#This Row],[MONTO AMORTIZACION]]+PRESTAMOS[[#This Row],[T. INT]]</f>
        <v>432</v>
      </c>
      <c r="K22" s="149" t="s">
        <v>340</v>
      </c>
      <c r="L2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6" x14ac:dyDescent="0.3">
      <c r="A23" s="42">
        <v>21</v>
      </c>
      <c r="B23" s="237" t="s">
        <v>44</v>
      </c>
      <c r="C23" s="43">
        <v>15</v>
      </c>
      <c r="D23" s="34" t="s">
        <v>22</v>
      </c>
      <c r="E23" s="44">
        <v>200</v>
      </c>
      <c r="F23" s="45">
        <v>45092</v>
      </c>
      <c r="G23" s="46">
        <v>4</v>
      </c>
      <c r="H23" s="47">
        <v>0.02</v>
      </c>
      <c r="I23" s="40">
        <f>+PRESTAMOS[[#This Row],[MONTO AMORTIZACION]]*PRESTAMOS[[#This Row],[INTERES]]*PRESTAMOS[[#This Row],[CUOTAS]]</f>
        <v>16</v>
      </c>
      <c r="J23" s="40">
        <f>+PRESTAMOS[[#This Row],[MONTO AMORTIZACION]]+PRESTAMOS[[#This Row],[T. INT]]</f>
        <v>216</v>
      </c>
      <c r="K23" s="149" t="s">
        <v>340</v>
      </c>
      <c r="L2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6" x14ac:dyDescent="0.3">
      <c r="A24" s="42">
        <v>22</v>
      </c>
      <c r="B24" s="237" t="s">
        <v>44</v>
      </c>
      <c r="C24" s="35">
        <v>5</v>
      </c>
      <c r="D24" s="34" t="s">
        <v>14</v>
      </c>
      <c r="E24" s="44">
        <v>400</v>
      </c>
      <c r="F24" s="45">
        <v>45092</v>
      </c>
      <c r="G24" s="46">
        <v>4</v>
      </c>
      <c r="H24" s="47">
        <v>0.02</v>
      </c>
      <c r="I24" s="40">
        <f>+PRESTAMOS[[#This Row],[MONTO AMORTIZACION]]*PRESTAMOS[[#This Row],[INTERES]]*PRESTAMOS[[#This Row],[CUOTAS]]</f>
        <v>32</v>
      </c>
      <c r="J24" s="40">
        <f>+PRESTAMOS[[#This Row],[MONTO AMORTIZACION]]+PRESTAMOS[[#This Row],[T. INT]]</f>
        <v>432</v>
      </c>
      <c r="K24" s="149" t="s">
        <v>340</v>
      </c>
      <c r="L2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6" x14ac:dyDescent="0.3">
      <c r="A25" s="42">
        <v>23</v>
      </c>
      <c r="B25" s="237" t="s">
        <v>44</v>
      </c>
      <c r="C25" s="43">
        <v>4</v>
      </c>
      <c r="D25" s="34" t="s">
        <v>12</v>
      </c>
      <c r="E25" s="44">
        <v>100</v>
      </c>
      <c r="F25" s="45">
        <v>45128</v>
      </c>
      <c r="G25" s="46">
        <v>1</v>
      </c>
      <c r="H25" s="47">
        <v>0.02</v>
      </c>
      <c r="I25" s="40">
        <f>+PRESTAMOS[[#This Row],[MONTO AMORTIZACION]]*PRESTAMOS[[#This Row],[INTERES]]*PRESTAMOS[[#This Row],[CUOTAS]]</f>
        <v>2</v>
      </c>
      <c r="J25" s="40">
        <f>+PRESTAMOS[[#This Row],[MONTO AMORTIZACION]]+PRESTAMOS[[#This Row],[T. INT]]</f>
        <v>102</v>
      </c>
      <c r="K25" s="149" t="s">
        <v>336</v>
      </c>
      <c r="L2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6" x14ac:dyDescent="0.3">
      <c r="A26" s="42">
        <v>24</v>
      </c>
      <c r="B26" s="237" t="s">
        <v>44</v>
      </c>
      <c r="C26" s="43">
        <v>7</v>
      </c>
      <c r="D26" s="34" t="s">
        <v>15</v>
      </c>
      <c r="E26" s="44">
        <v>200</v>
      </c>
      <c r="F26" s="45">
        <v>45128</v>
      </c>
      <c r="G26" s="46">
        <v>1</v>
      </c>
      <c r="H26" s="47">
        <v>0.02</v>
      </c>
      <c r="I26" s="40">
        <f>+PRESTAMOS[[#This Row],[MONTO AMORTIZACION]]*PRESTAMOS[[#This Row],[INTERES]]*PRESTAMOS[[#This Row],[CUOTAS]]</f>
        <v>4</v>
      </c>
      <c r="J26" s="40">
        <f>+PRESTAMOS[[#This Row],[MONTO AMORTIZACION]]+PRESTAMOS[[#This Row],[T. INT]]</f>
        <v>204</v>
      </c>
      <c r="K26" s="149" t="s">
        <v>336</v>
      </c>
      <c r="L2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6" x14ac:dyDescent="0.3">
      <c r="A27" s="42">
        <v>25</v>
      </c>
      <c r="B27" s="237" t="s">
        <v>44</v>
      </c>
      <c r="C27" s="43">
        <v>8</v>
      </c>
      <c r="D27" s="34" t="s">
        <v>16</v>
      </c>
      <c r="E27" s="44">
        <v>200</v>
      </c>
      <c r="F27" s="45">
        <v>45153</v>
      </c>
      <c r="G27" s="46">
        <v>1</v>
      </c>
      <c r="H27" s="47">
        <v>0.02</v>
      </c>
      <c r="I27" s="40">
        <f>+PRESTAMOS[[#This Row],[MONTO AMORTIZACION]]*PRESTAMOS[[#This Row],[INTERES]]*PRESTAMOS[[#This Row],[CUOTAS]]</f>
        <v>4</v>
      </c>
      <c r="J27" s="40">
        <f>+PRESTAMOS[[#This Row],[MONTO AMORTIZACION]]+PRESTAMOS[[#This Row],[T. INT]]</f>
        <v>204</v>
      </c>
      <c r="K27" s="149" t="s">
        <v>336</v>
      </c>
      <c r="L2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6" x14ac:dyDescent="0.3">
      <c r="A28" s="42">
        <v>26</v>
      </c>
      <c r="B28" s="237" t="s">
        <v>44</v>
      </c>
      <c r="C28" s="43">
        <v>6</v>
      </c>
      <c r="D28" s="34" t="s">
        <v>24</v>
      </c>
      <c r="E28" s="44">
        <v>500</v>
      </c>
      <c r="F28" s="45">
        <v>45184</v>
      </c>
      <c r="G28" s="46">
        <v>6</v>
      </c>
      <c r="H28" s="47">
        <v>0.02</v>
      </c>
      <c r="I28" s="40">
        <f>+PRESTAMOS[[#This Row],[MONTO AMORTIZACION]]*PRESTAMOS[[#This Row],[INTERES]]*PRESTAMOS[[#This Row],[CUOTAS]]</f>
        <v>60</v>
      </c>
      <c r="J28" s="40">
        <f>+PRESTAMOS[[#This Row],[MONTO AMORTIZACION]]+PRESTAMOS[[#This Row],[T. INT]]</f>
        <v>560</v>
      </c>
      <c r="K28" s="149" t="s">
        <v>340</v>
      </c>
      <c r="L2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6" x14ac:dyDescent="0.3">
      <c r="A29" s="42">
        <v>27</v>
      </c>
      <c r="B29" s="237" t="s">
        <v>44</v>
      </c>
      <c r="C29" s="43">
        <v>7</v>
      </c>
      <c r="D29" s="34" t="s">
        <v>15</v>
      </c>
      <c r="E29" s="44">
        <v>100</v>
      </c>
      <c r="F29" s="45">
        <v>45184</v>
      </c>
      <c r="G29" s="46">
        <v>1</v>
      </c>
      <c r="H29" s="47">
        <v>0.02</v>
      </c>
      <c r="I29" s="40">
        <f>+PRESTAMOS[[#This Row],[MONTO AMORTIZACION]]*PRESTAMOS[[#This Row],[INTERES]]*PRESTAMOS[[#This Row],[CUOTAS]]</f>
        <v>2</v>
      </c>
      <c r="J29" s="40">
        <f>+PRESTAMOS[[#This Row],[MONTO AMORTIZACION]]+PRESTAMOS[[#This Row],[T. INT]]</f>
        <v>102</v>
      </c>
      <c r="K29" s="149" t="s">
        <v>73</v>
      </c>
      <c r="L2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6" x14ac:dyDescent="0.3">
      <c r="A30" s="42">
        <v>28</v>
      </c>
      <c r="B30" s="237" t="s">
        <v>44</v>
      </c>
      <c r="C30" s="43">
        <v>3</v>
      </c>
      <c r="D30" s="34" t="s">
        <v>13</v>
      </c>
      <c r="E30" s="44">
        <v>100</v>
      </c>
      <c r="F30" s="45">
        <v>45184</v>
      </c>
      <c r="G30" s="46">
        <v>4</v>
      </c>
      <c r="H30" s="47">
        <v>0.02</v>
      </c>
      <c r="I30" s="40">
        <f>+PRESTAMOS[[#This Row],[MONTO AMORTIZACION]]*PRESTAMOS[[#This Row],[INTERES]]*PRESTAMOS[[#This Row],[CUOTAS]]</f>
        <v>8</v>
      </c>
      <c r="J30" s="40">
        <f>+PRESTAMOS[[#This Row],[MONTO AMORTIZACION]]+PRESTAMOS[[#This Row],[T. INT]]</f>
        <v>108</v>
      </c>
      <c r="K30" s="149" t="s">
        <v>74</v>
      </c>
      <c r="L3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6" x14ac:dyDescent="0.3">
      <c r="A31" s="42">
        <v>29</v>
      </c>
      <c r="B31" s="237" t="s">
        <v>44</v>
      </c>
      <c r="C31" s="35">
        <v>9</v>
      </c>
      <c r="D31" s="34" t="s">
        <v>17</v>
      </c>
      <c r="E31" s="44">
        <v>600</v>
      </c>
      <c r="F31" s="45">
        <v>45214</v>
      </c>
      <c r="G31" s="46">
        <v>4</v>
      </c>
      <c r="H31" s="47">
        <v>0.02</v>
      </c>
      <c r="I31" s="40">
        <f>+PRESTAMOS[[#This Row],[MONTO AMORTIZACION]]*PRESTAMOS[[#This Row],[INTERES]]*PRESTAMOS[[#This Row],[CUOTAS]]</f>
        <v>48</v>
      </c>
      <c r="J31" s="40">
        <f>+PRESTAMOS[[#This Row],[MONTO AMORTIZACION]]+PRESTAMOS[[#This Row],[T. INT]]</f>
        <v>648</v>
      </c>
      <c r="K31" s="149" t="s">
        <v>340</v>
      </c>
      <c r="L3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6" x14ac:dyDescent="0.3">
      <c r="A32" s="42">
        <v>30</v>
      </c>
      <c r="B32" s="237" t="s">
        <v>44</v>
      </c>
      <c r="C32" s="43">
        <v>16</v>
      </c>
      <c r="D32" s="34" t="s">
        <v>23</v>
      </c>
      <c r="E32" s="44">
        <v>200</v>
      </c>
      <c r="F32" s="45">
        <v>45214</v>
      </c>
      <c r="G32" s="46">
        <v>4</v>
      </c>
      <c r="H32" s="47">
        <v>0.02</v>
      </c>
      <c r="I32" s="40">
        <f>+PRESTAMOS[[#This Row],[MONTO AMORTIZACION]]*PRESTAMOS[[#This Row],[INTERES]]*PRESTAMOS[[#This Row],[CUOTAS]]</f>
        <v>16</v>
      </c>
      <c r="J32" s="40">
        <f>+PRESTAMOS[[#This Row],[MONTO AMORTIZACION]]+PRESTAMOS[[#This Row],[T. INT]]</f>
        <v>216</v>
      </c>
      <c r="K32" s="149" t="s">
        <v>109</v>
      </c>
      <c r="L3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3" x14ac:dyDescent="0.3">
      <c r="A33" s="42">
        <v>31</v>
      </c>
      <c r="B33" s="237" t="s">
        <v>44</v>
      </c>
      <c r="C33" s="43">
        <v>12</v>
      </c>
      <c r="D33" s="34" t="s">
        <v>20</v>
      </c>
      <c r="E33" s="44">
        <v>400</v>
      </c>
      <c r="F33" s="45">
        <v>45214</v>
      </c>
      <c r="G33" s="46">
        <v>7</v>
      </c>
      <c r="H33" s="47">
        <v>0.02</v>
      </c>
      <c r="I33" s="40">
        <f>+PRESTAMOS[[#This Row],[MONTO AMORTIZACION]]*PRESTAMOS[[#This Row],[INTERES]]*PRESTAMOS[[#This Row],[CUOTAS]]</f>
        <v>56</v>
      </c>
      <c r="J33" s="40">
        <f>+PRESTAMOS[[#This Row],[MONTO AMORTIZACION]]+PRESTAMOS[[#This Row],[T. INT]]</f>
        <v>456</v>
      </c>
      <c r="K33" s="149" t="s">
        <v>110</v>
      </c>
      <c r="L3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3" x14ac:dyDescent="0.3">
      <c r="A34" s="42">
        <v>32</v>
      </c>
      <c r="B34" s="237" t="s">
        <v>44</v>
      </c>
      <c r="C34" s="35">
        <v>5</v>
      </c>
      <c r="D34" s="34" t="s">
        <v>14</v>
      </c>
      <c r="E34" s="44">
        <v>200</v>
      </c>
      <c r="F34" s="45">
        <v>45245</v>
      </c>
      <c r="G34" s="46">
        <v>4</v>
      </c>
      <c r="H34" s="47">
        <v>0.02</v>
      </c>
      <c r="I34" s="40">
        <f>+PRESTAMOS[[#This Row],[MONTO AMORTIZACION]]*PRESTAMOS[[#This Row],[INTERES]]*PRESTAMOS[[#This Row],[CUOTAS]]</f>
        <v>16</v>
      </c>
      <c r="J34" s="40">
        <f>+PRESTAMOS[[#This Row],[MONTO AMORTIZACION]]+PRESTAMOS[[#This Row],[T. INT]]</f>
        <v>216</v>
      </c>
      <c r="K34" s="149" t="s">
        <v>119</v>
      </c>
      <c r="L3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3" x14ac:dyDescent="0.3">
      <c r="A35" s="42">
        <v>33</v>
      </c>
      <c r="B35" s="237" t="s">
        <v>44</v>
      </c>
      <c r="C35" s="43">
        <v>14</v>
      </c>
      <c r="D35" s="34" t="s">
        <v>21</v>
      </c>
      <c r="E35" s="44">
        <v>250</v>
      </c>
      <c r="F35" s="45">
        <v>45245</v>
      </c>
      <c r="G35" s="46">
        <v>4</v>
      </c>
      <c r="H35" s="47">
        <v>0.02</v>
      </c>
      <c r="I35" s="40">
        <f>+PRESTAMOS[[#This Row],[MONTO AMORTIZACION]]*PRESTAMOS[[#This Row],[INTERES]]*PRESTAMOS[[#This Row],[CUOTAS]]</f>
        <v>20</v>
      </c>
      <c r="J35" s="40">
        <f>+PRESTAMOS[[#This Row],[MONTO AMORTIZACION]]+PRESTAMOS[[#This Row],[T. INT]]</f>
        <v>270</v>
      </c>
      <c r="K35" s="149" t="s">
        <v>119</v>
      </c>
      <c r="L3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3" x14ac:dyDescent="0.3">
      <c r="A36" s="42">
        <v>34</v>
      </c>
      <c r="B36" s="237" t="s">
        <v>44</v>
      </c>
      <c r="C36" s="43">
        <v>14</v>
      </c>
      <c r="D36" s="34" t="s">
        <v>21</v>
      </c>
      <c r="E36" s="44">
        <v>500</v>
      </c>
      <c r="F36" s="45">
        <v>45306</v>
      </c>
      <c r="G36" s="46">
        <v>2</v>
      </c>
      <c r="H36" s="47">
        <v>0.02</v>
      </c>
      <c r="I36" s="40">
        <f>+PRESTAMOS[[#This Row],[MONTO AMORTIZACION]]*PRESTAMOS[[#This Row],[INTERES]]*PRESTAMOS[[#This Row],[CUOTAS]]</f>
        <v>20</v>
      </c>
      <c r="J36" s="40">
        <f>+PRESTAMOS[[#This Row],[MONTO AMORTIZACION]]+PRESTAMOS[[#This Row],[T. INT]]</f>
        <v>520</v>
      </c>
      <c r="K36" s="149" t="s">
        <v>123</v>
      </c>
      <c r="L3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3" x14ac:dyDescent="0.3">
      <c r="A37" s="42">
        <v>35</v>
      </c>
      <c r="B37" s="237" t="s">
        <v>44</v>
      </c>
      <c r="C37" s="43">
        <v>15</v>
      </c>
      <c r="D37" s="34" t="s">
        <v>22</v>
      </c>
      <c r="E37" s="44">
        <v>100</v>
      </c>
      <c r="F37" s="45">
        <v>45311</v>
      </c>
      <c r="G37" s="46">
        <v>5</v>
      </c>
      <c r="H37" s="47">
        <v>0.02</v>
      </c>
      <c r="I37" s="40">
        <f>+PRESTAMOS[[#This Row],[MONTO AMORTIZACION]]*PRESTAMOS[[#This Row],[INTERES]]*PRESTAMOS[[#This Row],[CUOTAS]]</f>
        <v>10</v>
      </c>
      <c r="J37" s="40">
        <f>+PRESTAMOS[[#This Row],[MONTO AMORTIZACION]]+PRESTAMOS[[#This Row],[T. INT]]</f>
        <v>110</v>
      </c>
      <c r="K37" s="149" t="s">
        <v>125</v>
      </c>
      <c r="L3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3" ht="28.8" x14ac:dyDescent="0.3">
      <c r="A38" s="42">
        <v>36</v>
      </c>
      <c r="B38" s="237" t="s">
        <v>44</v>
      </c>
      <c r="C38" s="35">
        <v>9</v>
      </c>
      <c r="D38" s="34" t="s">
        <v>17</v>
      </c>
      <c r="E38" s="44">
        <v>600</v>
      </c>
      <c r="F38" s="45">
        <v>45337</v>
      </c>
      <c r="G38" s="46">
        <v>5</v>
      </c>
      <c r="H38" s="47">
        <v>0.02</v>
      </c>
      <c r="I38" s="40">
        <f>+PRESTAMOS[[#This Row],[MONTO AMORTIZACION]]*PRESTAMOS[[#This Row],[INTERES]]*PRESTAMOS[[#This Row],[CUOTAS]]</f>
        <v>60</v>
      </c>
      <c r="J38" s="40">
        <f>+PRESTAMOS[[#This Row],[MONTO AMORTIZACION]]+PRESTAMOS[[#This Row],[T. INT]]</f>
        <v>660</v>
      </c>
      <c r="K38" s="149" t="s">
        <v>161</v>
      </c>
      <c r="L3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3" x14ac:dyDescent="0.3">
      <c r="A39" s="42">
        <v>37</v>
      </c>
      <c r="B39" s="237" t="s">
        <v>44</v>
      </c>
      <c r="C39" s="43">
        <v>4</v>
      </c>
      <c r="D39" s="34" t="s">
        <v>12</v>
      </c>
      <c r="E39" s="44">
        <v>100</v>
      </c>
      <c r="F39" s="45">
        <v>45341</v>
      </c>
      <c r="G39" s="46">
        <v>4</v>
      </c>
      <c r="H39" s="47">
        <v>0.02</v>
      </c>
      <c r="I39" s="40">
        <f>+PRESTAMOS[[#This Row],[MONTO AMORTIZACION]]*PRESTAMOS[[#This Row],[INTERES]]*PRESTAMOS[[#This Row],[CUOTAS]]</f>
        <v>8</v>
      </c>
      <c r="J39" s="40">
        <f>+PRESTAMOS[[#This Row],[MONTO AMORTIZACION]]+PRESTAMOS[[#This Row],[T. INT]]</f>
        <v>108</v>
      </c>
      <c r="K39" s="149" t="s">
        <v>178</v>
      </c>
      <c r="L3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3" x14ac:dyDescent="0.3">
      <c r="A40" s="42">
        <v>38</v>
      </c>
      <c r="B40" s="237" t="s">
        <v>44</v>
      </c>
      <c r="C40" s="35">
        <v>5</v>
      </c>
      <c r="D40" s="34" t="s">
        <v>14</v>
      </c>
      <c r="E40" s="44">
        <v>1000</v>
      </c>
      <c r="F40" s="45">
        <v>45366</v>
      </c>
      <c r="G40" s="46">
        <v>10</v>
      </c>
      <c r="H40" s="47">
        <v>0.02</v>
      </c>
      <c r="I40" s="40">
        <f>+PRESTAMOS[[#This Row],[MONTO AMORTIZACION]]*PRESTAMOS[[#This Row],[INTERES]]*PRESTAMOS[[#This Row],[CUOTAS]]</f>
        <v>200</v>
      </c>
      <c r="J40" s="40">
        <f>+PRESTAMOS[[#This Row],[MONTO AMORTIZACION]]+PRESTAMOS[[#This Row],[T. INT]]</f>
        <v>1200</v>
      </c>
      <c r="K40" s="149" t="s">
        <v>182</v>
      </c>
      <c r="L4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3" x14ac:dyDescent="0.3">
      <c r="A41" s="42">
        <v>39</v>
      </c>
      <c r="B41" s="237" t="s">
        <v>44</v>
      </c>
      <c r="C41" s="43">
        <v>15</v>
      </c>
      <c r="D41" s="34" t="s">
        <v>22</v>
      </c>
      <c r="E41" s="44">
        <v>600</v>
      </c>
      <c r="F41" s="45">
        <v>45366</v>
      </c>
      <c r="G41" s="46">
        <v>12</v>
      </c>
      <c r="H41" s="47">
        <v>0.02</v>
      </c>
      <c r="I41" s="40">
        <f>+PRESTAMOS[[#This Row],[MONTO AMORTIZACION]]*PRESTAMOS[[#This Row],[INTERES]]*PRESTAMOS[[#This Row],[CUOTAS]]</f>
        <v>144</v>
      </c>
      <c r="J41" s="40">
        <f>+PRESTAMOS[[#This Row],[MONTO AMORTIZACION]]+PRESTAMOS[[#This Row],[T. INT]]</f>
        <v>744</v>
      </c>
      <c r="K41" s="149" t="s">
        <v>182</v>
      </c>
      <c r="L4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3" x14ac:dyDescent="0.3">
      <c r="A42" s="42">
        <v>40</v>
      </c>
      <c r="B42" s="237" t="s">
        <v>44</v>
      </c>
      <c r="C42" s="43">
        <v>14</v>
      </c>
      <c r="D42" s="34" t="s">
        <v>21</v>
      </c>
      <c r="E42" s="44">
        <v>400</v>
      </c>
      <c r="F42" s="45">
        <v>45366</v>
      </c>
      <c r="G42" s="46">
        <v>4</v>
      </c>
      <c r="H42" s="47">
        <v>0.02</v>
      </c>
      <c r="I42" s="40">
        <f>+PRESTAMOS[[#This Row],[MONTO AMORTIZACION]]*PRESTAMOS[[#This Row],[INTERES]]*PRESTAMOS[[#This Row],[CUOTAS]]</f>
        <v>32</v>
      </c>
      <c r="J42" s="40">
        <f>+PRESTAMOS[[#This Row],[MONTO AMORTIZACION]]+PRESTAMOS[[#This Row],[T. INT]]</f>
        <v>432</v>
      </c>
      <c r="K42" s="149" t="s">
        <v>185</v>
      </c>
      <c r="L4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3" x14ac:dyDescent="0.3">
      <c r="A43" s="42">
        <v>41</v>
      </c>
      <c r="B43" s="237" t="s">
        <v>44</v>
      </c>
      <c r="C43" s="43">
        <v>10</v>
      </c>
      <c r="D43" s="34" t="s">
        <v>18</v>
      </c>
      <c r="E43" s="44">
        <v>100</v>
      </c>
      <c r="F43" s="45">
        <v>45366</v>
      </c>
      <c r="G43" s="46">
        <v>5</v>
      </c>
      <c r="H43" s="47">
        <v>0.02</v>
      </c>
      <c r="I43" s="40">
        <f>+PRESTAMOS[[#This Row],[MONTO AMORTIZACION]]*PRESTAMOS[[#This Row],[INTERES]]*PRESTAMOS[[#This Row],[CUOTAS]]</f>
        <v>10</v>
      </c>
      <c r="J43" s="40">
        <f>+PRESTAMOS[[#This Row],[MONTO AMORTIZACION]]+PRESTAMOS[[#This Row],[T. INT]]</f>
        <v>110</v>
      </c>
      <c r="K43" s="149" t="s">
        <v>182</v>
      </c>
      <c r="L4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3" x14ac:dyDescent="0.3">
      <c r="A44" s="42">
        <v>42</v>
      </c>
      <c r="B44" s="237" t="s">
        <v>44</v>
      </c>
      <c r="C44" s="43">
        <v>16</v>
      </c>
      <c r="D44" s="34" t="s">
        <v>23</v>
      </c>
      <c r="E44" s="44">
        <v>150</v>
      </c>
      <c r="F44" s="45">
        <v>45397</v>
      </c>
      <c r="G44" s="46">
        <v>3</v>
      </c>
      <c r="H44" s="47">
        <v>0.02</v>
      </c>
      <c r="I44" s="40">
        <f>+PRESTAMOS[[#This Row],[MONTO AMORTIZACION]]*PRESTAMOS[[#This Row],[INTERES]]*PRESTAMOS[[#This Row],[CUOTAS]]</f>
        <v>9</v>
      </c>
      <c r="J44" s="40">
        <f>+PRESTAMOS[[#This Row],[MONTO AMORTIZACION]]+PRESTAMOS[[#This Row],[T. INT]]</f>
        <v>159</v>
      </c>
      <c r="K44" s="150" t="s">
        <v>190</v>
      </c>
      <c r="L4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3" x14ac:dyDescent="0.3">
      <c r="A45" s="42">
        <v>43</v>
      </c>
      <c r="B45" s="238" t="s">
        <v>529</v>
      </c>
      <c r="C45" s="43">
        <v>14</v>
      </c>
      <c r="D45" s="34" t="s">
        <v>21</v>
      </c>
      <c r="E45" s="44">
        <v>100</v>
      </c>
      <c r="F45" s="45">
        <v>45397</v>
      </c>
      <c r="G45" s="46">
        <v>0</v>
      </c>
      <c r="H45" s="47">
        <v>0</v>
      </c>
      <c r="I45" s="40">
        <f>+PRESTAMOS[[#This Row],[MONTO AMORTIZACION]]*PRESTAMOS[[#This Row],[INTERES]]*PRESTAMOS[[#This Row],[CUOTAS]]</f>
        <v>0</v>
      </c>
      <c r="J45" s="40">
        <f>+PRESTAMOS[[#This Row],[MONTO AMORTIZACION]]+PRESTAMOS[[#This Row],[T. INT]]</f>
        <v>100</v>
      </c>
      <c r="K45" s="149" t="s">
        <v>192</v>
      </c>
      <c r="L4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3" x14ac:dyDescent="0.3">
      <c r="A46" s="42">
        <v>44</v>
      </c>
      <c r="B46" s="237" t="s">
        <v>44</v>
      </c>
      <c r="C46" s="43">
        <v>12</v>
      </c>
      <c r="D46" s="34" t="s">
        <v>20</v>
      </c>
      <c r="E46" s="44">
        <v>600</v>
      </c>
      <c r="F46" s="45">
        <v>45427</v>
      </c>
      <c r="G46" s="46">
        <v>7</v>
      </c>
      <c r="H46" s="47">
        <v>0.02</v>
      </c>
      <c r="I46" s="40">
        <f>+PRESTAMOS[[#This Row],[MONTO AMORTIZACION]]*PRESTAMOS[[#This Row],[INTERES]]*PRESTAMOS[[#This Row],[CUOTAS]]</f>
        <v>84</v>
      </c>
      <c r="J46" s="40">
        <f>+PRESTAMOS[[#This Row],[MONTO AMORTIZACION]]+PRESTAMOS[[#This Row],[T. INT]]</f>
        <v>684</v>
      </c>
      <c r="K46" s="149" t="s">
        <v>182</v>
      </c>
      <c r="L4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3" x14ac:dyDescent="0.3">
      <c r="A47" s="42">
        <v>45</v>
      </c>
      <c r="B47" s="237" t="s">
        <v>44</v>
      </c>
      <c r="C47" s="43">
        <v>7</v>
      </c>
      <c r="D47" s="34" t="s">
        <v>15</v>
      </c>
      <c r="E47" s="44">
        <v>400</v>
      </c>
      <c r="F47" s="45">
        <v>45427</v>
      </c>
      <c r="G47" s="46">
        <v>4</v>
      </c>
      <c r="H47" s="47">
        <v>0.02</v>
      </c>
      <c r="I47" s="40">
        <f>+PRESTAMOS[[#This Row],[MONTO AMORTIZACION]]*PRESTAMOS[[#This Row],[INTERES]]*PRESTAMOS[[#This Row],[CUOTAS]]</f>
        <v>32</v>
      </c>
      <c r="J47" s="40">
        <f>+PRESTAMOS[[#This Row],[MONTO AMORTIZACION]]+PRESTAMOS[[#This Row],[T. INT]]</f>
        <v>432</v>
      </c>
      <c r="K47" s="149" t="s">
        <v>194</v>
      </c>
      <c r="L4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3" x14ac:dyDescent="0.3">
      <c r="A48" s="42">
        <v>46</v>
      </c>
      <c r="B48" s="237" t="s">
        <v>44</v>
      </c>
      <c r="C48" s="43">
        <v>14</v>
      </c>
      <c r="D48" s="34" t="s">
        <v>21</v>
      </c>
      <c r="E48" s="44">
        <v>700</v>
      </c>
      <c r="F48" s="45">
        <v>45458</v>
      </c>
      <c r="G48" s="46">
        <v>5</v>
      </c>
      <c r="H48" s="47">
        <v>0.02</v>
      </c>
      <c r="I48" s="40">
        <f>+PRESTAMOS[[#This Row],[MONTO AMORTIZACION]]*PRESTAMOS[[#This Row],[INTERES]]*PRESTAMOS[[#This Row],[CUOTAS]]</f>
        <v>70</v>
      </c>
      <c r="J48" s="40">
        <f>+PRESTAMOS[[#This Row],[MONTO AMORTIZACION]]+PRESTAMOS[[#This Row],[T. INT]]</f>
        <v>770</v>
      </c>
      <c r="K48" s="149" t="s">
        <v>194</v>
      </c>
      <c r="L4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3" x14ac:dyDescent="0.3">
      <c r="A49" s="42">
        <v>47</v>
      </c>
      <c r="B49" s="237" t="s">
        <v>44</v>
      </c>
      <c r="C49" s="43">
        <v>8</v>
      </c>
      <c r="D49" s="34" t="s">
        <v>16</v>
      </c>
      <c r="E49" s="44">
        <v>300</v>
      </c>
      <c r="F49" s="45">
        <v>45458</v>
      </c>
      <c r="G49" s="46">
        <v>3</v>
      </c>
      <c r="H49" s="47">
        <v>0.02</v>
      </c>
      <c r="I49" s="40">
        <f>+PRESTAMOS[[#This Row],[MONTO AMORTIZACION]]*PRESTAMOS[[#This Row],[INTERES]]*PRESTAMOS[[#This Row],[CUOTAS]]</f>
        <v>18</v>
      </c>
      <c r="J49" s="40">
        <f>+PRESTAMOS[[#This Row],[MONTO AMORTIZACION]]+PRESTAMOS[[#This Row],[T. INT]]</f>
        <v>318</v>
      </c>
      <c r="K49" s="149" t="s">
        <v>194</v>
      </c>
      <c r="L4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3" x14ac:dyDescent="0.3">
      <c r="A50" s="42">
        <v>48</v>
      </c>
      <c r="B50" s="237" t="s">
        <v>44</v>
      </c>
      <c r="C50" s="43">
        <v>6</v>
      </c>
      <c r="D50" s="34" t="s">
        <v>24</v>
      </c>
      <c r="E50" s="44">
        <v>500</v>
      </c>
      <c r="F50" s="45">
        <v>45488</v>
      </c>
      <c r="G50" s="46">
        <v>5</v>
      </c>
      <c r="H50" s="47">
        <v>0.02</v>
      </c>
      <c r="I50" s="40">
        <f>+PRESTAMOS[[#This Row],[MONTO AMORTIZACION]]*PRESTAMOS[[#This Row],[INTERES]]*PRESTAMOS[[#This Row],[CUOTAS]]</f>
        <v>50</v>
      </c>
      <c r="J50" s="40">
        <f>+PRESTAMOS[[#This Row],[MONTO AMORTIZACION]]+PRESTAMOS[[#This Row],[T. INT]]</f>
        <v>550</v>
      </c>
      <c r="K50" s="149" t="s">
        <v>200</v>
      </c>
      <c r="L5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3" x14ac:dyDescent="0.3">
      <c r="A51" s="42">
        <v>49</v>
      </c>
      <c r="B51" s="237" t="s">
        <v>44</v>
      </c>
      <c r="C51" s="43">
        <v>16</v>
      </c>
      <c r="D51" s="34" t="s">
        <v>23</v>
      </c>
      <c r="E51" s="44">
        <v>500</v>
      </c>
      <c r="F51" s="45">
        <v>45488</v>
      </c>
      <c r="G51" s="46">
        <v>12</v>
      </c>
      <c r="H51" s="47">
        <v>0.02</v>
      </c>
      <c r="I51" s="40">
        <f>+PRESTAMOS[[#This Row],[MONTO AMORTIZACION]]*PRESTAMOS[[#This Row],[INTERES]]*PRESTAMOS[[#This Row],[CUOTAS]]</f>
        <v>120</v>
      </c>
      <c r="J51" s="40">
        <f>+PRESTAMOS[[#This Row],[MONTO AMORTIZACION]]+PRESTAMOS[[#This Row],[T. INT]]</f>
        <v>620</v>
      </c>
      <c r="K51" s="149" t="s">
        <v>110</v>
      </c>
      <c r="L5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3" x14ac:dyDescent="0.3">
      <c r="A52" s="42">
        <v>50</v>
      </c>
      <c r="B52" s="237" t="s">
        <v>44</v>
      </c>
      <c r="C52" s="35">
        <v>9</v>
      </c>
      <c r="D52" s="34" t="s">
        <v>17</v>
      </c>
      <c r="E52" s="44">
        <v>600</v>
      </c>
      <c r="F52" s="45">
        <v>45519</v>
      </c>
      <c r="G52" s="46">
        <v>6</v>
      </c>
      <c r="H52" s="47">
        <v>0.02</v>
      </c>
      <c r="I52" s="40">
        <f>+PRESTAMOS[[#This Row],[MONTO AMORTIZACION]]*PRESTAMOS[[#This Row],[INTERES]]*PRESTAMOS[[#This Row],[CUOTAS]]</f>
        <v>72</v>
      </c>
      <c r="J52" s="40">
        <f>+PRESTAMOS[[#This Row],[MONTO AMORTIZACION]]+PRESTAMOS[[#This Row],[T. INT]]</f>
        <v>672</v>
      </c>
      <c r="K52" s="149" t="s">
        <v>203</v>
      </c>
      <c r="L5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3" x14ac:dyDescent="0.3">
      <c r="A53" s="42">
        <v>51</v>
      </c>
      <c r="B53" s="237" t="s">
        <v>44</v>
      </c>
      <c r="C53" s="43">
        <v>4</v>
      </c>
      <c r="D53" s="34" t="s">
        <v>12</v>
      </c>
      <c r="E53" s="44">
        <v>300</v>
      </c>
      <c r="F53" s="45">
        <v>45519</v>
      </c>
      <c r="G53" s="46">
        <v>6</v>
      </c>
      <c r="H53" s="47">
        <v>0.02</v>
      </c>
      <c r="I53" s="40">
        <f>+PRESTAMOS[[#This Row],[MONTO AMORTIZACION]]*PRESTAMOS[[#This Row],[INTERES]]*PRESTAMOS[[#This Row],[CUOTAS]]</f>
        <v>36</v>
      </c>
      <c r="J53" s="40">
        <f>+PRESTAMOS[[#This Row],[MONTO AMORTIZACION]]+PRESTAMOS[[#This Row],[T. INT]]</f>
        <v>336</v>
      </c>
      <c r="K53" s="149" t="s">
        <v>205</v>
      </c>
      <c r="L5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3" x14ac:dyDescent="0.3">
      <c r="A54" s="42">
        <v>52</v>
      </c>
      <c r="B54" s="237" t="s">
        <v>44</v>
      </c>
      <c r="C54" s="43">
        <v>11</v>
      </c>
      <c r="D54" s="34" t="s">
        <v>19</v>
      </c>
      <c r="E54" s="44">
        <v>400</v>
      </c>
      <c r="F54" s="45">
        <v>45550</v>
      </c>
      <c r="G54" s="46">
        <v>4</v>
      </c>
      <c r="H54" s="47">
        <v>0.02</v>
      </c>
      <c r="I54" s="40">
        <f>+PRESTAMOS[[#This Row],[MONTO AMORTIZACION]]*PRESTAMOS[[#This Row],[INTERES]]*PRESTAMOS[[#This Row],[CUOTAS]]</f>
        <v>32</v>
      </c>
      <c r="J54" s="40">
        <f>+PRESTAMOS[[#This Row],[MONTO AMORTIZACION]]+PRESTAMOS[[#This Row],[T. INT]]</f>
        <v>432</v>
      </c>
      <c r="K54" s="149" t="s">
        <v>110</v>
      </c>
      <c r="L5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3" ht="28.8" x14ac:dyDescent="0.3">
      <c r="A55" s="42">
        <v>53</v>
      </c>
      <c r="B55" s="238" t="s">
        <v>529</v>
      </c>
      <c r="C55" s="43">
        <v>4</v>
      </c>
      <c r="D55" s="34" t="s">
        <v>12</v>
      </c>
      <c r="E55" s="44">
        <v>260</v>
      </c>
      <c r="F55" s="45">
        <v>45550</v>
      </c>
      <c r="G55" s="46">
        <v>0</v>
      </c>
      <c r="H55" s="47">
        <v>0</v>
      </c>
      <c r="I55" s="40">
        <f>+PRESTAMOS[[#This Row],[MONTO AMORTIZACION]]*PRESTAMOS[[#This Row],[INTERES]]*PRESTAMOS[[#This Row],[CUOTAS]]</f>
        <v>0</v>
      </c>
      <c r="J55" s="40">
        <f>+PRESTAMOS[[#This Row],[MONTO AMORTIZACION]]+PRESTAMOS[[#This Row],[T. INT]]</f>
        <v>260</v>
      </c>
      <c r="K55" s="149" t="s">
        <v>225</v>
      </c>
      <c r="L5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3" x14ac:dyDescent="0.3">
      <c r="A56" s="42">
        <v>54</v>
      </c>
      <c r="B56" s="237" t="s">
        <v>44</v>
      </c>
      <c r="C56" s="43">
        <v>7</v>
      </c>
      <c r="D56" s="34" t="s">
        <v>15</v>
      </c>
      <c r="E56" s="44">
        <v>250</v>
      </c>
      <c r="F56" s="45">
        <v>45580</v>
      </c>
      <c r="G56" s="46">
        <v>4</v>
      </c>
      <c r="H56" s="47">
        <v>0.02</v>
      </c>
      <c r="I56" s="40">
        <f>+PRESTAMOS[[#This Row],[MONTO AMORTIZACION]]*PRESTAMOS[[#This Row],[INTERES]]*PRESTAMOS[[#This Row],[CUOTAS]]</f>
        <v>20</v>
      </c>
      <c r="J56" s="40">
        <f>+PRESTAMOS[[#This Row],[MONTO AMORTIZACION]]+PRESTAMOS[[#This Row],[T. INT]]</f>
        <v>270</v>
      </c>
      <c r="K56" s="149" t="s">
        <v>110</v>
      </c>
      <c r="L5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3" x14ac:dyDescent="0.3">
      <c r="A57" s="42">
        <v>55</v>
      </c>
      <c r="B57" s="237" t="s">
        <v>44</v>
      </c>
      <c r="C57" s="43">
        <v>8</v>
      </c>
      <c r="D57" s="34" t="s">
        <v>16</v>
      </c>
      <c r="E57" s="44">
        <v>250</v>
      </c>
      <c r="F57" s="45">
        <v>45580</v>
      </c>
      <c r="G57" s="46">
        <v>4</v>
      </c>
      <c r="H57" s="47">
        <v>0.02</v>
      </c>
      <c r="I57" s="40">
        <f>+PRESTAMOS[[#This Row],[MONTO AMORTIZACION]]*PRESTAMOS[[#This Row],[INTERES]]*PRESTAMOS[[#This Row],[CUOTAS]]</f>
        <v>20</v>
      </c>
      <c r="J57" s="40">
        <f>+PRESTAMOS[[#This Row],[MONTO AMORTIZACION]]+PRESTAMOS[[#This Row],[T. INT]]</f>
        <v>270</v>
      </c>
      <c r="K57" s="149" t="s">
        <v>185</v>
      </c>
      <c r="L5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3" x14ac:dyDescent="0.3">
      <c r="A58" s="42">
        <v>56</v>
      </c>
      <c r="B58" s="237" t="s">
        <v>44</v>
      </c>
      <c r="C58" s="43">
        <v>14</v>
      </c>
      <c r="D58" s="34" t="s">
        <v>21</v>
      </c>
      <c r="E58" s="44">
        <v>500</v>
      </c>
      <c r="F58" s="45">
        <v>45580</v>
      </c>
      <c r="G58" s="46">
        <v>4</v>
      </c>
      <c r="H58" s="47">
        <v>0.02</v>
      </c>
      <c r="I58" s="40">
        <f>+PRESTAMOS[[#This Row],[MONTO AMORTIZACION]]*PRESTAMOS[[#This Row],[INTERES]]*PRESTAMOS[[#This Row],[CUOTAS]]</f>
        <v>40</v>
      </c>
      <c r="J58" s="40">
        <f>+PRESTAMOS[[#This Row],[MONTO AMORTIZACION]]+PRESTAMOS[[#This Row],[T. INT]]</f>
        <v>540</v>
      </c>
      <c r="K58" s="149" t="s">
        <v>185</v>
      </c>
      <c r="L5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3" x14ac:dyDescent="0.3">
      <c r="A59" s="42">
        <v>57</v>
      </c>
      <c r="B59" s="237" t="s">
        <v>44</v>
      </c>
      <c r="C59" s="43">
        <v>3</v>
      </c>
      <c r="D59" s="34" t="s">
        <v>13</v>
      </c>
      <c r="E59" s="44">
        <v>500</v>
      </c>
      <c r="F59" s="45">
        <v>45611</v>
      </c>
      <c r="G59" s="46">
        <v>3</v>
      </c>
      <c r="H59" s="47">
        <v>0.02</v>
      </c>
      <c r="I59" s="40">
        <f>+PRESTAMOS[[#This Row],[MONTO AMORTIZACION]]*PRESTAMOS[[#This Row],[INTERES]]*PRESTAMOS[[#This Row],[CUOTAS]]</f>
        <v>30</v>
      </c>
      <c r="J59" s="40">
        <f>+PRESTAMOS[[#This Row],[MONTO AMORTIZACION]]+PRESTAMOS[[#This Row],[T. INT]]</f>
        <v>530</v>
      </c>
      <c r="K59" s="151" t="s">
        <v>243</v>
      </c>
      <c r="L59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3" x14ac:dyDescent="0.3">
      <c r="A60" s="42">
        <v>58</v>
      </c>
      <c r="B60" s="237" t="s">
        <v>44</v>
      </c>
      <c r="C60" s="43">
        <v>12</v>
      </c>
      <c r="D60" s="34" t="s">
        <v>20</v>
      </c>
      <c r="E60" s="44">
        <v>1000</v>
      </c>
      <c r="F60" s="45">
        <v>45611</v>
      </c>
      <c r="G60" s="46">
        <v>10</v>
      </c>
      <c r="H60" s="47">
        <v>0.02</v>
      </c>
      <c r="I60" s="40">
        <f>+PRESTAMOS[[#This Row],[MONTO AMORTIZACION]]*PRESTAMOS[[#This Row],[INTERES]]*PRESTAMOS[[#This Row],[CUOTAS]]</f>
        <v>200</v>
      </c>
      <c r="J60" s="40">
        <f>+PRESTAMOS[[#This Row],[MONTO AMORTIZACION]]+PRESTAMOS[[#This Row],[T. INT]]</f>
        <v>1200</v>
      </c>
      <c r="K60" s="151" t="s">
        <v>245</v>
      </c>
      <c r="L60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3" x14ac:dyDescent="0.3">
      <c r="A61" s="42">
        <v>59</v>
      </c>
      <c r="B61" s="237" t="s">
        <v>44</v>
      </c>
      <c r="C61" s="43">
        <v>10</v>
      </c>
      <c r="D61" s="34" t="s">
        <v>18</v>
      </c>
      <c r="E61" s="44">
        <v>200</v>
      </c>
      <c r="F61" s="45">
        <v>45611</v>
      </c>
      <c r="G61" s="46">
        <v>5</v>
      </c>
      <c r="H61" s="47">
        <v>0.02</v>
      </c>
      <c r="I61" s="40">
        <f>+PRESTAMOS[[#This Row],[MONTO AMORTIZACION]]*PRESTAMOS[[#This Row],[INTERES]]*PRESTAMOS[[#This Row],[CUOTAS]]</f>
        <v>20</v>
      </c>
      <c r="J61" s="40">
        <f>+PRESTAMOS[[#This Row],[MONTO AMORTIZACION]]+PRESTAMOS[[#This Row],[T. INT]]</f>
        <v>220</v>
      </c>
      <c r="K61" s="151" t="s">
        <v>245</v>
      </c>
      <c r="L61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3" x14ac:dyDescent="0.3">
      <c r="A62" s="42">
        <v>60</v>
      </c>
      <c r="B62" s="237" t="s">
        <v>44</v>
      </c>
      <c r="C62" s="43">
        <v>6</v>
      </c>
      <c r="D62" s="34" t="s">
        <v>24</v>
      </c>
      <c r="E62" s="44">
        <v>1000</v>
      </c>
      <c r="F62" s="45">
        <v>45641</v>
      </c>
      <c r="G62" s="46">
        <v>10</v>
      </c>
      <c r="H62" s="47">
        <v>0.02</v>
      </c>
      <c r="I62" s="40">
        <f>+PRESTAMOS[[#This Row],[MONTO AMORTIZACION]]*PRESTAMOS[[#This Row],[INTERES]]*PRESTAMOS[[#This Row],[CUOTAS]]</f>
        <v>200</v>
      </c>
      <c r="J62" s="40">
        <f>+PRESTAMOS[[#This Row],[MONTO AMORTIZACION]]+PRESTAMOS[[#This Row],[T. INT]]</f>
        <v>1200</v>
      </c>
      <c r="K62" s="151" t="s">
        <v>251</v>
      </c>
      <c r="L62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3" x14ac:dyDescent="0.3">
      <c r="A63" s="42">
        <v>61</v>
      </c>
      <c r="B63" s="237" t="s">
        <v>44</v>
      </c>
      <c r="C63" s="43">
        <v>11</v>
      </c>
      <c r="D63" s="34" t="s">
        <v>19</v>
      </c>
      <c r="E63" s="44">
        <v>500</v>
      </c>
      <c r="F63" s="45">
        <v>45641</v>
      </c>
      <c r="G63" s="46">
        <v>5</v>
      </c>
      <c r="H63" s="47">
        <v>0.02</v>
      </c>
      <c r="I63" s="40">
        <f>+PRESTAMOS[[#This Row],[MONTO AMORTIZACION]]*PRESTAMOS[[#This Row],[INTERES]]*PRESTAMOS[[#This Row],[CUOTAS]]</f>
        <v>50</v>
      </c>
      <c r="J63" s="40">
        <f>+PRESTAMOS[[#This Row],[MONTO AMORTIZACION]]+PRESTAMOS[[#This Row],[T. INT]]</f>
        <v>550</v>
      </c>
      <c r="K63" s="151" t="s">
        <v>254</v>
      </c>
      <c r="L63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3" x14ac:dyDescent="0.3">
      <c r="A64" s="42">
        <v>62</v>
      </c>
      <c r="B64" s="237" t="s">
        <v>44</v>
      </c>
      <c r="C64" s="43">
        <v>16</v>
      </c>
      <c r="D64" s="34" t="s">
        <v>23</v>
      </c>
      <c r="E64" s="44">
        <v>80</v>
      </c>
      <c r="F64" s="45">
        <v>45643</v>
      </c>
      <c r="G64" s="46">
        <v>1</v>
      </c>
      <c r="H64" s="47">
        <v>0.02</v>
      </c>
      <c r="I64" s="40">
        <f>+PRESTAMOS[[#This Row],[MONTO AMORTIZACION]]*PRESTAMOS[[#This Row],[INTERES]]*PRESTAMOS[[#This Row],[CUOTAS]]</f>
        <v>1.6</v>
      </c>
      <c r="J64" s="40">
        <f>+PRESTAMOS[[#This Row],[MONTO AMORTIZACION]]+PRESTAMOS[[#This Row],[T. INT]]</f>
        <v>81.599999999999994</v>
      </c>
      <c r="K64" s="151" t="s">
        <v>259</v>
      </c>
      <c r="L64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3" x14ac:dyDescent="0.3">
      <c r="A65" s="42">
        <v>63</v>
      </c>
      <c r="B65" s="237" t="s">
        <v>44</v>
      </c>
      <c r="C65" s="35">
        <v>9</v>
      </c>
      <c r="D65" s="34" t="s">
        <v>17</v>
      </c>
      <c r="E65" s="44">
        <v>700</v>
      </c>
      <c r="F65" s="45">
        <v>45672</v>
      </c>
      <c r="G65" s="46">
        <v>7</v>
      </c>
      <c r="H65" s="47">
        <v>0.02</v>
      </c>
      <c r="I65" s="40">
        <f>+PRESTAMOS[[#This Row],[MONTO AMORTIZACION]]*PRESTAMOS[[#This Row],[INTERES]]*PRESTAMOS[[#This Row],[CUOTAS]]</f>
        <v>98</v>
      </c>
      <c r="J65" s="40">
        <f>+PRESTAMOS[[#This Row],[MONTO AMORTIZACION]]+PRESTAMOS[[#This Row],[T. INT]]</f>
        <v>798</v>
      </c>
      <c r="K65" s="151" t="s">
        <v>269</v>
      </c>
      <c r="L65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3" x14ac:dyDescent="0.3">
      <c r="A66" s="42">
        <v>64</v>
      </c>
      <c r="B66" s="237" t="s">
        <v>44</v>
      </c>
      <c r="C66" s="43">
        <v>14</v>
      </c>
      <c r="D66" s="34" t="s">
        <v>21</v>
      </c>
      <c r="E66" s="44">
        <v>700</v>
      </c>
      <c r="F66" s="45">
        <v>45672</v>
      </c>
      <c r="G66" s="46">
        <v>7</v>
      </c>
      <c r="H66" s="47">
        <v>0.02</v>
      </c>
      <c r="I66" s="40">
        <f>+PRESTAMOS[[#This Row],[MONTO AMORTIZACION]]*PRESTAMOS[[#This Row],[INTERES]]*PRESTAMOS[[#This Row],[CUOTAS]]</f>
        <v>98</v>
      </c>
      <c r="J66" s="40">
        <f>+PRESTAMOS[[#This Row],[MONTO AMORTIZACION]]+PRESTAMOS[[#This Row],[T. INT]]</f>
        <v>798</v>
      </c>
      <c r="K66" s="151" t="s">
        <v>270</v>
      </c>
      <c r="L66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3" ht="28.8" x14ac:dyDescent="0.3">
      <c r="A67" s="42">
        <v>65</v>
      </c>
      <c r="B67" s="237" t="s">
        <v>44</v>
      </c>
      <c r="C67" s="43">
        <v>16</v>
      </c>
      <c r="D67" s="34" t="s">
        <v>23</v>
      </c>
      <c r="E67" s="44">
        <v>150</v>
      </c>
      <c r="F67" s="45">
        <v>45676</v>
      </c>
      <c r="G67" s="46">
        <v>2</v>
      </c>
      <c r="H67" s="47">
        <v>0.02</v>
      </c>
      <c r="I67" s="40">
        <f>+PRESTAMOS[[#This Row],[MONTO AMORTIZACION]]*PRESTAMOS[[#This Row],[INTERES]]*PRESTAMOS[[#This Row],[CUOTAS]]</f>
        <v>6</v>
      </c>
      <c r="J67" s="40">
        <f>+PRESTAMOS[[#This Row],[MONTO AMORTIZACION]]+PRESTAMOS[[#This Row],[T. INT]]</f>
        <v>156</v>
      </c>
      <c r="K67" s="151" t="s">
        <v>282</v>
      </c>
      <c r="L67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3" x14ac:dyDescent="0.3">
      <c r="A68" s="42">
        <v>66</v>
      </c>
      <c r="B68" s="237" t="s">
        <v>44</v>
      </c>
      <c r="C68" s="35">
        <v>5</v>
      </c>
      <c r="D68" s="34" t="s">
        <v>14</v>
      </c>
      <c r="E68" s="44">
        <v>500</v>
      </c>
      <c r="F68" s="45">
        <v>45704</v>
      </c>
      <c r="G68" s="46">
        <v>5</v>
      </c>
      <c r="H68" s="47">
        <v>0.02</v>
      </c>
      <c r="I68" s="40">
        <f>+PRESTAMOS[[#This Row],[MONTO AMORTIZACION]]*PRESTAMOS[[#This Row],[INTERES]]*PRESTAMOS[[#This Row],[CUOTAS]]</f>
        <v>50</v>
      </c>
      <c r="J68" s="40">
        <f>+PRESTAMOS[[#This Row],[MONTO AMORTIZACION]]+PRESTAMOS[[#This Row],[T. INT]]</f>
        <v>550</v>
      </c>
      <c r="K68" s="151" t="s">
        <v>194</v>
      </c>
      <c r="L68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3" x14ac:dyDescent="0.3">
      <c r="A69" s="42">
        <v>67</v>
      </c>
      <c r="B69" s="237" t="s">
        <v>44</v>
      </c>
      <c r="C69" s="43">
        <v>8</v>
      </c>
      <c r="D69" s="34" t="s">
        <v>16</v>
      </c>
      <c r="E69" s="44">
        <v>300</v>
      </c>
      <c r="F69" s="45">
        <v>45704</v>
      </c>
      <c r="G69" s="46">
        <v>3</v>
      </c>
      <c r="H69" s="47">
        <v>0.02</v>
      </c>
      <c r="I69" s="40">
        <f>+PRESTAMOS[[#This Row],[MONTO AMORTIZACION]]*PRESTAMOS[[#This Row],[INTERES]]*PRESTAMOS[[#This Row],[CUOTAS]]</f>
        <v>18</v>
      </c>
      <c r="J69" s="40">
        <f>+PRESTAMOS[[#This Row],[MONTO AMORTIZACION]]+PRESTAMOS[[#This Row],[T. INT]]</f>
        <v>318</v>
      </c>
      <c r="K69" s="151" t="s">
        <v>194</v>
      </c>
      <c r="L69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3" ht="28.8" x14ac:dyDescent="0.3">
      <c r="A70" s="42">
        <v>68</v>
      </c>
      <c r="B70" s="237" t="s">
        <v>44</v>
      </c>
      <c r="C70" s="43">
        <v>16</v>
      </c>
      <c r="D70" s="34" t="s">
        <v>23</v>
      </c>
      <c r="E70" s="44">
        <v>400</v>
      </c>
      <c r="F70" s="45">
        <v>45707</v>
      </c>
      <c r="G70" s="46">
        <v>1</v>
      </c>
      <c r="H70" s="47">
        <v>0.02</v>
      </c>
      <c r="I70" s="40">
        <f>+PRESTAMOS[[#This Row],[MONTO AMORTIZACION]]*PRESTAMOS[[#This Row],[INTERES]]*PRESTAMOS[[#This Row],[CUOTAS]]</f>
        <v>8</v>
      </c>
      <c r="J70" s="40">
        <f>+PRESTAMOS[[#This Row],[MONTO AMORTIZACION]]+PRESTAMOS[[#This Row],[T. INT]]</f>
        <v>408</v>
      </c>
      <c r="K70" s="151" t="s">
        <v>285</v>
      </c>
      <c r="L70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3" ht="28.8" x14ac:dyDescent="0.3">
      <c r="A71" s="42">
        <v>69</v>
      </c>
      <c r="B71" s="237" t="s">
        <v>44</v>
      </c>
      <c r="C71" s="43">
        <v>4</v>
      </c>
      <c r="D71" s="34" t="s">
        <v>12</v>
      </c>
      <c r="E71" s="44">
        <v>700</v>
      </c>
      <c r="F71" s="45">
        <v>45731.834143518521</v>
      </c>
      <c r="G71" s="46">
        <v>3</v>
      </c>
      <c r="H71" s="47">
        <v>0.02</v>
      </c>
      <c r="I71" s="40">
        <f>+PRESTAMOS[[#This Row],[MONTO AMORTIZACION]]*PRESTAMOS[[#This Row],[INTERES]]*PRESTAMOS[[#This Row],[CUOTAS]]</f>
        <v>42</v>
      </c>
      <c r="J71" s="40">
        <f>+PRESTAMOS[[#This Row],[MONTO AMORTIZACION]]+PRESTAMOS[[#This Row],[T. INT]]</f>
        <v>742</v>
      </c>
      <c r="K71" s="151" t="s">
        <v>287</v>
      </c>
      <c r="L71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3" x14ac:dyDescent="0.3">
      <c r="A72" s="42">
        <v>70</v>
      </c>
      <c r="B72" s="237" t="s">
        <v>44</v>
      </c>
      <c r="C72" s="43">
        <v>7</v>
      </c>
      <c r="D72" s="34" t="s">
        <v>15</v>
      </c>
      <c r="E72" s="44">
        <v>1200</v>
      </c>
      <c r="F72" s="45">
        <v>45758</v>
      </c>
      <c r="G72" s="46">
        <v>1</v>
      </c>
      <c r="H72" s="47">
        <v>0.02</v>
      </c>
      <c r="I72" s="40">
        <f>+PRESTAMOS[[#This Row],[MONTO AMORTIZACION]]*PRESTAMOS[[#This Row],[INTERES]]*PRESTAMOS[[#This Row],[CUOTAS]]</f>
        <v>24</v>
      </c>
      <c r="J72" s="40">
        <f>+PRESTAMOS[[#This Row],[MONTO AMORTIZACION]]+PRESTAMOS[[#This Row],[T. INT]]</f>
        <v>1224</v>
      </c>
      <c r="K72" s="151" t="s">
        <v>294</v>
      </c>
      <c r="L72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2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3" x14ac:dyDescent="0.3">
      <c r="A73" s="42">
        <v>71</v>
      </c>
      <c r="B73" s="237" t="s">
        <v>44</v>
      </c>
      <c r="C73" s="43">
        <v>10</v>
      </c>
      <c r="D73" s="34" t="s">
        <v>18</v>
      </c>
      <c r="E73" s="44">
        <v>200</v>
      </c>
      <c r="F73" s="45">
        <v>45762</v>
      </c>
      <c r="G73" s="46">
        <v>5</v>
      </c>
      <c r="H73" s="47">
        <v>0.02</v>
      </c>
      <c r="I73" s="40">
        <f>+PRESTAMOS[[#This Row],[MONTO AMORTIZACION]]*PRESTAMOS[[#This Row],[INTERES]]*PRESTAMOS[[#This Row],[CUOTAS]]</f>
        <v>20</v>
      </c>
      <c r="J73" s="40">
        <f>+PRESTAMOS[[#This Row],[MONTO AMORTIZACION]]+PRESTAMOS[[#This Row],[T. INT]]</f>
        <v>220</v>
      </c>
      <c r="K73" s="151" t="s">
        <v>295</v>
      </c>
      <c r="L73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3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3" x14ac:dyDescent="0.3">
      <c r="A74" s="42">
        <v>72</v>
      </c>
      <c r="B74" s="237" t="s">
        <v>44</v>
      </c>
      <c r="C74" s="43">
        <v>3</v>
      </c>
      <c r="D74" s="34" t="s">
        <v>13</v>
      </c>
      <c r="E74" s="44">
        <v>600</v>
      </c>
      <c r="F74" s="45">
        <v>45762</v>
      </c>
      <c r="G74" s="46">
        <v>3</v>
      </c>
      <c r="H74" s="47">
        <v>0.02</v>
      </c>
      <c r="I74" s="40">
        <f>+PRESTAMOS[[#This Row],[MONTO AMORTIZACION]]*PRESTAMOS[[#This Row],[INTERES]]*PRESTAMOS[[#This Row],[CUOTAS]]</f>
        <v>36</v>
      </c>
      <c r="J74" s="40">
        <f>+PRESTAMOS[[#This Row],[MONTO AMORTIZACION]]+PRESTAMOS[[#This Row],[T. INT]]</f>
        <v>636</v>
      </c>
      <c r="K74" s="151" t="s">
        <v>302</v>
      </c>
      <c r="L74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4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3" x14ac:dyDescent="0.3">
      <c r="A75" s="42">
        <v>73</v>
      </c>
      <c r="B75" s="238" t="s">
        <v>529</v>
      </c>
      <c r="C75" s="43">
        <v>17</v>
      </c>
      <c r="D75" s="34" t="s">
        <v>299</v>
      </c>
      <c r="E75" s="44">
        <v>0</v>
      </c>
      <c r="F75" s="45">
        <v>45762</v>
      </c>
      <c r="G75" s="46">
        <v>0</v>
      </c>
      <c r="H75" s="47">
        <v>0</v>
      </c>
      <c r="I75" s="40">
        <f>+PRESTAMOS[[#This Row],[MONTO AMORTIZACION]]*PRESTAMOS[[#This Row],[INTERES]]*PRESTAMOS[[#This Row],[CUOTAS]]</f>
        <v>0</v>
      </c>
      <c r="J75" s="40">
        <f>+PRESTAMOS[[#This Row],[MONTO AMORTIZACION]]+PRESTAMOS[[#This Row],[T. INT]]</f>
        <v>0</v>
      </c>
      <c r="K75" s="151" t="s">
        <v>305</v>
      </c>
      <c r="L75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5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3" x14ac:dyDescent="0.3">
      <c r="A76" s="42">
        <v>74</v>
      </c>
      <c r="B76" s="238" t="s">
        <v>529</v>
      </c>
      <c r="C76" s="43">
        <v>18</v>
      </c>
      <c r="D76" s="34" t="s">
        <v>300</v>
      </c>
      <c r="E76" s="44">
        <v>0</v>
      </c>
      <c r="F76" s="45">
        <v>45762</v>
      </c>
      <c r="G76" s="46">
        <v>0</v>
      </c>
      <c r="H76" s="47">
        <v>0</v>
      </c>
      <c r="I76" s="40">
        <f>+PRESTAMOS[[#This Row],[MONTO AMORTIZACION]]*PRESTAMOS[[#This Row],[INTERES]]*PRESTAMOS[[#This Row],[CUOTAS]]</f>
        <v>0</v>
      </c>
      <c r="J76" s="40">
        <f>+PRESTAMOS[[#This Row],[MONTO AMORTIZACION]]+PRESTAMOS[[#This Row],[T. INT]]</f>
        <v>0</v>
      </c>
      <c r="K76" s="151" t="s">
        <v>307</v>
      </c>
      <c r="L76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6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3" x14ac:dyDescent="0.3">
      <c r="A77" s="42">
        <v>75</v>
      </c>
      <c r="B77" s="238" t="s">
        <v>529</v>
      </c>
      <c r="C77" s="43">
        <v>13</v>
      </c>
      <c r="D77" s="34" t="s">
        <v>301</v>
      </c>
      <c r="E77" s="44">
        <v>0</v>
      </c>
      <c r="F77" s="45">
        <v>45762</v>
      </c>
      <c r="G77" s="46">
        <v>0</v>
      </c>
      <c r="H77" s="47">
        <v>0</v>
      </c>
      <c r="I77" s="40">
        <f>+PRESTAMOS[[#This Row],[MONTO AMORTIZACION]]*PRESTAMOS[[#This Row],[INTERES]]*PRESTAMOS[[#This Row],[CUOTAS]]</f>
        <v>0</v>
      </c>
      <c r="J77" s="40">
        <f>+PRESTAMOS[[#This Row],[MONTO AMORTIZACION]]+PRESTAMOS[[#This Row],[T. INT]]</f>
        <v>0</v>
      </c>
      <c r="K77" s="151" t="s">
        <v>309</v>
      </c>
      <c r="L77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7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3" x14ac:dyDescent="0.3">
      <c r="A78" s="42">
        <v>76</v>
      </c>
      <c r="B78" s="237" t="s">
        <v>44</v>
      </c>
      <c r="C78" s="43">
        <v>8</v>
      </c>
      <c r="D78" s="34" t="s">
        <v>16</v>
      </c>
      <c r="E78" s="44">
        <v>500</v>
      </c>
      <c r="F78" s="45">
        <v>45764</v>
      </c>
      <c r="G78" s="46">
        <v>5</v>
      </c>
      <c r="H78" s="47">
        <v>0.02</v>
      </c>
      <c r="I78" s="40">
        <f>+PRESTAMOS[[#This Row],[MONTO AMORTIZACION]]*PRESTAMOS[[#This Row],[INTERES]]*PRESTAMOS[[#This Row],[CUOTAS]]</f>
        <v>50</v>
      </c>
      <c r="J78" s="40">
        <f>+PRESTAMOS[[#This Row],[MONTO AMORTIZACION]]+PRESTAMOS[[#This Row],[T. INT]]</f>
        <v>550</v>
      </c>
      <c r="K78" s="151" t="s">
        <v>65</v>
      </c>
      <c r="L78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8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3" x14ac:dyDescent="0.3">
      <c r="A79" s="42">
        <v>77</v>
      </c>
      <c r="B79" s="237" t="s">
        <v>44</v>
      </c>
      <c r="C79" s="35">
        <v>5</v>
      </c>
      <c r="D79" s="34" t="s">
        <v>14</v>
      </c>
      <c r="E79" s="44">
        <v>1200</v>
      </c>
      <c r="F79" s="45">
        <v>45792</v>
      </c>
      <c r="G79" s="46">
        <v>12</v>
      </c>
      <c r="H79" s="178">
        <v>0.02</v>
      </c>
      <c r="I79" s="40">
        <f>+PRESTAMOS[[#This Row],[MONTO AMORTIZACION]]*PRESTAMOS[[#This Row],[INTERES]]*PRESTAMOS[[#This Row],[CUOTAS]]</f>
        <v>288</v>
      </c>
      <c r="J79" s="40">
        <f>+PRESTAMOS[[#This Row],[MONTO AMORTIZACION]]+PRESTAMOS[[#This Row],[T. INT]]</f>
        <v>1488</v>
      </c>
      <c r="K79" s="151" t="s">
        <v>320</v>
      </c>
      <c r="L79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9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80" spans="1:13" x14ac:dyDescent="0.3">
      <c r="A80" s="42">
        <v>78</v>
      </c>
      <c r="B80" s="237" t="s">
        <v>44</v>
      </c>
      <c r="C80" s="43">
        <v>17</v>
      </c>
      <c r="D80" s="34" t="s">
        <v>299</v>
      </c>
      <c r="E80" s="44">
        <v>2000</v>
      </c>
      <c r="F80" s="45">
        <v>45792</v>
      </c>
      <c r="G80" s="46">
        <v>12</v>
      </c>
      <c r="H80" s="178">
        <v>0.02</v>
      </c>
      <c r="I80" s="40">
        <f>+PRESTAMOS[[#This Row],[MONTO AMORTIZACION]]*PRESTAMOS[[#This Row],[INTERES]]*PRESTAMOS[[#This Row],[CUOTAS]]</f>
        <v>480</v>
      </c>
      <c r="J80" s="40">
        <f>+PRESTAMOS[[#This Row],[MONTO AMORTIZACION]]+PRESTAMOS[[#This Row],[T. INT]]</f>
        <v>2480</v>
      </c>
      <c r="K80" s="151" t="s">
        <v>322</v>
      </c>
      <c r="L80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0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81" spans="1:13" x14ac:dyDescent="0.3">
      <c r="A81" s="42">
        <v>79</v>
      </c>
      <c r="B81" s="237" t="s">
        <v>44</v>
      </c>
      <c r="C81" s="43">
        <v>11</v>
      </c>
      <c r="D81" s="34" t="s">
        <v>19</v>
      </c>
      <c r="E81" s="44">
        <v>300</v>
      </c>
      <c r="F81" s="45">
        <v>45792</v>
      </c>
      <c r="G81" s="46">
        <v>3</v>
      </c>
      <c r="H81" s="178">
        <v>0.02</v>
      </c>
      <c r="I81" s="40">
        <f>+PRESTAMOS[[#This Row],[MONTO AMORTIZACION]]*PRESTAMOS[[#This Row],[INTERES]]*PRESTAMOS[[#This Row],[CUOTAS]]</f>
        <v>18</v>
      </c>
      <c r="J81" s="40">
        <f>+PRESTAMOS[[#This Row],[MONTO AMORTIZACION]]+PRESTAMOS[[#This Row],[T. INT]]</f>
        <v>318</v>
      </c>
      <c r="K81" s="151" t="s">
        <v>328</v>
      </c>
      <c r="L81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1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3" x14ac:dyDescent="0.3">
      <c r="A82" s="42">
        <v>80</v>
      </c>
      <c r="B82" s="237" t="s">
        <v>44</v>
      </c>
      <c r="C82" s="43">
        <v>16</v>
      </c>
      <c r="D82" s="34" t="s">
        <v>23</v>
      </c>
      <c r="E82" s="44">
        <v>40</v>
      </c>
      <c r="F82" s="45">
        <v>45792</v>
      </c>
      <c r="G82" s="46">
        <v>1</v>
      </c>
      <c r="H82" s="178">
        <v>0.02</v>
      </c>
      <c r="I82" s="40">
        <f>+PRESTAMOS[[#This Row],[MONTO AMORTIZACION]]*PRESTAMOS[[#This Row],[INTERES]]*PRESTAMOS[[#This Row],[CUOTAS]]</f>
        <v>0.8</v>
      </c>
      <c r="J82" s="40">
        <f>+PRESTAMOS[[#This Row],[MONTO AMORTIZACION]]+PRESTAMOS[[#This Row],[T. INT]]</f>
        <v>40.799999999999997</v>
      </c>
      <c r="K82" s="151" t="s">
        <v>354</v>
      </c>
      <c r="L82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2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3" x14ac:dyDescent="0.3">
      <c r="A83" s="42">
        <v>81</v>
      </c>
      <c r="B83" s="237" t="s">
        <v>44</v>
      </c>
      <c r="C83" s="43">
        <v>16</v>
      </c>
      <c r="D83" s="34" t="s">
        <v>23</v>
      </c>
      <c r="E83" s="44">
        <v>100</v>
      </c>
      <c r="F83" s="45">
        <v>45855</v>
      </c>
      <c r="G83" s="46">
        <v>1</v>
      </c>
      <c r="H83" s="178">
        <v>0.02</v>
      </c>
      <c r="I83" s="40">
        <f>+PRESTAMOS[[#This Row],[MONTO AMORTIZACION]]*PRESTAMOS[[#This Row],[INTERES]]*PRESTAMOS[[#This Row],[CUOTAS]]</f>
        <v>2</v>
      </c>
      <c r="J83" s="40">
        <f>+PRESTAMOS[[#This Row],[MONTO AMORTIZACION]]+PRESTAMOS[[#This Row],[T. INT]]</f>
        <v>102</v>
      </c>
      <c r="K83" s="151" t="s">
        <v>353</v>
      </c>
      <c r="L83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3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3" x14ac:dyDescent="0.3">
      <c r="A84" s="42">
        <v>82</v>
      </c>
      <c r="B84" s="237" t="s">
        <v>44</v>
      </c>
      <c r="C84" s="35">
        <v>16</v>
      </c>
      <c r="D84" s="34" t="s">
        <v>23</v>
      </c>
      <c r="E84" s="37">
        <v>200</v>
      </c>
      <c r="F84" s="41">
        <v>45877</v>
      </c>
      <c r="G84" s="55">
        <v>1</v>
      </c>
      <c r="H84" s="56">
        <v>0.02</v>
      </c>
      <c r="I84" s="40">
        <f>+PRESTAMOS[[#This Row],[MONTO AMORTIZACION]]*PRESTAMOS[[#This Row],[INTERES]]*PRESTAMOS[[#This Row],[CUOTAS]]</f>
        <v>4</v>
      </c>
      <c r="J84" s="40">
        <f>+PRESTAMOS[[#This Row],[MONTO AMORTIZACION]]+PRESTAMOS[[#This Row],[T. INT]]</f>
        <v>204</v>
      </c>
      <c r="K84" s="223" t="s">
        <v>405</v>
      </c>
      <c r="L8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3" ht="28.8" x14ac:dyDescent="0.3">
      <c r="A85" s="42">
        <v>83</v>
      </c>
      <c r="B85" s="237" t="s">
        <v>44</v>
      </c>
      <c r="C85" s="35">
        <v>6</v>
      </c>
      <c r="D85" s="36" t="s">
        <v>24</v>
      </c>
      <c r="E85" s="37">
        <v>1200</v>
      </c>
      <c r="F85" s="41">
        <v>45884</v>
      </c>
      <c r="G85" s="55">
        <v>12</v>
      </c>
      <c r="H85" s="56">
        <v>0.02</v>
      </c>
      <c r="I85" s="40">
        <f>+PRESTAMOS[[#This Row],[MONTO AMORTIZACION]]*PRESTAMOS[[#This Row],[INTERES]]*PRESTAMOS[[#This Row],[CUOTAS]]</f>
        <v>288</v>
      </c>
      <c r="J85" s="40">
        <f>+PRESTAMOS[[#This Row],[MONTO AMORTIZACION]]+PRESTAMOS[[#This Row],[T. INT]]</f>
        <v>1488</v>
      </c>
      <c r="K85" s="223" t="s">
        <v>380</v>
      </c>
      <c r="L8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8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86" spans="1:13" x14ac:dyDescent="0.3">
      <c r="A86" s="42">
        <v>84</v>
      </c>
      <c r="B86" s="237" t="s">
        <v>44</v>
      </c>
      <c r="C86" s="35">
        <v>15</v>
      </c>
      <c r="D86" s="36" t="s">
        <v>22</v>
      </c>
      <c r="E86" s="37">
        <v>700</v>
      </c>
      <c r="F86" s="41">
        <v>45884</v>
      </c>
      <c r="G86" s="55">
        <v>7</v>
      </c>
      <c r="H86" s="56">
        <v>0.02</v>
      </c>
      <c r="I86" s="40">
        <f>+PRESTAMOS[[#This Row],[MONTO AMORTIZACION]]*PRESTAMOS[[#This Row],[INTERES]]*PRESTAMOS[[#This Row],[CUOTAS]]</f>
        <v>98</v>
      </c>
      <c r="J86" s="40">
        <f>+PRESTAMOS[[#This Row],[MONTO AMORTIZACION]]+PRESTAMOS[[#This Row],[T. INT]]</f>
        <v>798</v>
      </c>
      <c r="K86" s="223" t="s">
        <v>382</v>
      </c>
      <c r="L8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7" spans="1:13" x14ac:dyDescent="0.3">
      <c r="A87" s="42">
        <v>85</v>
      </c>
      <c r="B87" s="237" t="s">
        <v>44</v>
      </c>
      <c r="C87" s="35">
        <v>18</v>
      </c>
      <c r="D87" s="36" t="s">
        <v>300</v>
      </c>
      <c r="E87" s="37">
        <v>200</v>
      </c>
      <c r="F87" s="41">
        <v>45884</v>
      </c>
      <c r="G87" s="55">
        <v>4</v>
      </c>
      <c r="H87" s="56">
        <v>0.02</v>
      </c>
      <c r="I87" s="40">
        <f>+PRESTAMOS[[#This Row],[MONTO AMORTIZACION]]*PRESTAMOS[[#This Row],[INTERES]]*PRESTAMOS[[#This Row],[CUOTAS]]</f>
        <v>16</v>
      </c>
      <c r="J87" s="40">
        <f>+PRESTAMOS[[#This Row],[MONTO AMORTIZACION]]+PRESTAMOS[[#This Row],[T. INT]]</f>
        <v>216</v>
      </c>
      <c r="K87" s="223" t="s">
        <v>384</v>
      </c>
      <c r="L8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8" spans="1:13" x14ac:dyDescent="0.3">
      <c r="A88" s="42">
        <v>86</v>
      </c>
      <c r="B88" s="237" t="s">
        <v>44</v>
      </c>
      <c r="C88" s="35">
        <v>7</v>
      </c>
      <c r="D88" s="36" t="s">
        <v>355</v>
      </c>
      <c r="E88" s="37">
        <v>400</v>
      </c>
      <c r="F88" s="41">
        <v>45884</v>
      </c>
      <c r="G88" s="55">
        <v>4</v>
      </c>
      <c r="H88" s="56">
        <v>0.02</v>
      </c>
      <c r="I88" s="40">
        <f>+PRESTAMOS[[#This Row],[MONTO AMORTIZACION]]*PRESTAMOS[[#This Row],[INTERES]]*PRESTAMOS[[#This Row],[CUOTAS]]</f>
        <v>32</v>
      </c>
      <c r="J88" s="40">
        <f>+PRESTAMOS[[#This Row],[MONTO AMORTIZACION]]+PRESTAMOS[[#This Row],[T. INT]]</f>
        <v>432</v>
      </c>
      <c r="K88" s="223" t="s">
        <v>386</v>
      </c>
      <c r="L8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9" spans="1:13" x14ac:dyDescent="0.3">
      <c r="A89" s="42">
        <v>87</v>
      </c>
      <c r="B89" s="237" t="s">
        <v>44</v>
      </c>
      <c r="C89" s="35">
        <v>12</v>
      </c>
      <c r="D89" s="36" t="s">
        <v>20</v>
      </c>
      <c r="E89" s="37">
        <v>1100</v>
      </c>
      <c r="F89" s="41">
        <v>45884</v>
      </c>
      <c r="G89" s="55">
        <v>10</v>
      </c>
      <c r="H89" s="56">
        <v>0.02</v>
      </c>
      <c r="I89" s="40">
        <f>+PRESTAMOS[[#This Row],[MONTO AMORTIZACION]]*PRESTAMOS[[#This Row],[INTERES]]*PRESTAMOS[[#This Row],[CUOTAS]]</f>
        <v>220</v>
      </c>
      <c r="J89" s="40">
        <f>+PRESTAMOS[[#This Row],[MONTO AMORTIZACION]]+PRESTAMOS[[#This Row],[T. INT]]</f>
        <v>1320</v>
      </c>
      <c r="K89" s="223" t="s">
        <v>386</v>
      </c>
      <c r="L8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90" spans="1:13" x14ac:dyDescent="0.3">
      <c r="A90" s="42">
        <v>88</v>
      </c>
      <c r="B90" s="237" t="s">
        <v>44</v>
      </c>
      <c r="C90" s="35">
        <v>4</v>
      </c>
      <c r="D90" s="36" t="s">
        <v>12</v>
      </c>
      <c r="E90" s="37">
        <v>100</v>
      </c>
      <c r="F90" s="41">
        <v>45892</v>
      </c>
      <c r="G90" s="55">
        <v>2</v>
      </c>
      <c r="H90" s="56">
        <v>0.02</v>
      </c>
      <c r="I90" s="40">
        <f>+PRESTAMOS[[#This Row],[MONTO AMORTIZACION]]*PRESTAMOS[[#This Row],[INTERES]]*PRESTAMOS[[#This Row],[CUOTAS]]</f>
        <v>4</v>
      </c>
      <c r="J90" s="40">
        <f>+PRESTAMOS[[#This Row],[MONTO AMORTIZACION]]+PRESTAMOS[[#This Row],[T. INT]]</f>
        <v>104</v>
      </c>
      <c r="K90" s="223" t="s">
        <v>386</v>
      </c>
      <c r="L9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3" x14ac:dyDescent="0.3">
      <c r="A91" s="42">
        <v>89</v>
      </c>
      <c r="B91" s="237" t="s">
        <v>44</v>
      </c>
      <c r="C91" s="35">
        <v>7</v>
      </c>
      <c r="D91" s="36" t="s">
        <v>355</v>
      </c>
      <c r="E91" s="37">
        <v>200</v>
      </c>
      <c r="F91" s="41">
        <v>45897</v>
      </c>
      <c r="G91" s="55">
        <v>1</v>
      </c>
      <c r="H91" s="56">
        <v>0.02</v>
      </c>
      <c r="I91" s="40">
        <f>+PRESTAMOS[[#This Row],[MONTO AMORTIZACION]]*PRESTAMOS[[#This Row],[INTERES]]*PRESTAMOS[[#This Row],[CUOTAS]]</f>
        <v>4</v>
      </c>
      <c r="J91" s="40">
        <f>+PRESTAMOS[[#This Row],[MONTO AMORTIZACION]]+PRESTAMOS[[#This Row],[T. INT]]</f>
        <v>204</v>
      </c>
      <c r="K91" s="223" t="s">
        <v>420</v>
      </c>
      <c r="L9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3" x14ac:dyDescent="0.3">
      <c r="A92" s="42">
        <v>90</v>
      </c>
      <c r="B92" s="237" t="s">
        <v>44</v>
      </c>
      <c r="C92" s="35">
        <v>7</v>
      </c>
      <c r="D92" s="36" t="s">
        <v>355</v>
      </c>
      <c r="E92" s="37">
        <v>100</v>
      </c>
      <c r="F92" s="41">
        <v>45900</v>
      </c>
      <c r="G92" s="55">
        <v>1</v>
      </c>
      <c r="H92" s="56">
        <v>0.02</v>
      </c>
      <c r="I92" s="40">
        <f>+PRESTAMOS[[#This Row],[MONTO AMORTIZACION]]*PRESTAMOS[[#This Row],[INTERES]]*PRESTAMOS[[#This Row],[CUOTAS]]</f>
        <v>2</v>
      </c>
      <c r="J92" s="40">
        <f>+PRESTAMOS[[#This Row],[MONTO AMORTIZACION]]+PRESTAMOS[[#This Row],[T. INT]]</f>
        <v>102</v>
      </c>
      <c r="K92" s="223" t="s">
        <v>421</v>
      </c>
      <c r="L9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3" x14ac:dyDescent="0.3">
      <c r="A93" s="42">
        <v>91</v>
      </c>
      <c r="B93" s="237" t="s">
        <v>44</v>
      </c>
      <c r="C93" s="35">
        <v>16</v>
      </c>
      <c r="D93" s="36" t="s">
        <v>23</v>
      </c>
      <c r="E93" s="37">
        <v>40</v>
      </c>
      <c r="F93" s="41">
        <v>45900</v>
      </c>
      <c r="G93" s="55">
        <v>1</v>
      </c>
      <c r="H93" s="56">
        <v>0.02</v>
      </c>
      <c r="I93" s="40">
        <f>+PRESTAMOS[[#This Row],[MONTO AMORTIZACION]]*PRESTAMOS[[#This Row],[INTERES]]*PRESTAMOS[[#This Row],[CUOTAS]]</f>
        <v>0.8</v>
      </c>
      <c r="J93" s="40">
        <f>+PRESTAMOS[[#This Row],[MONTO AMORTIZACION]]+PRESTAMOS[[#This Row],[T. INT]]</f>
        <v>40.799999999999997</v>
      </c>
      <c r="K93" s="223" t="s">
        <v>421</v>
      </c>
      <c r="L9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3" x14ac:dyDescent="0.3">
      <c r="A94" s="42">
        <v>92</v>
      </c>
      <c r="B94" s="237" t="s">
        <v>44</v>
      </c>
      <c r="C94" s="35">
        <v>12</v>
      </c>
      <c r="D94" s="36" t="s">
        <v>20</v>
      </c>
      <c r="E94" s="37">
        <v>100</v>
      </c>
      <c r="F94" s="41">
        <v>45900</v>
      </c>
      <c r="G94" s="55">
        <v>2</v>
      </c>
      <c r="H94" s="56">
        <v>0.02</v>
      </c>
      <c r="I94" s="40">
        <f>+PRESTAMOS[[#This Row],[MONTO AMORTIZACION]]*PRESTAMOS[[#This Row],[INTERES]]*PRESTAMOS[[#This Row],[CUOTAS]]</f>
        <v>4</v>
      </c>
      <c r="J94" s="40">
        <f>+PRESTAMOS[[#This Row],[MONTO AMORTIZACION]]+PRESTAMOS[[#This Row],[T. INT]]</f>
        <v>104</v>
      </c>
      <c r="K94" s="223" t="s">
        <v>386</v>
      </c>
      <c r="L9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3" x14ac:dyDescent="0.3">
      <c r="A95" s="42">
        <v>93</v>
      </c>
      <c r="B95" s="237" t="s">
        <v>44</v>
      </c>
      <c r="C95" s="35">
        <v>9</v>
      </c>
      <c r="D95" s="36" t="s">
        <v>17</v>
      </c>
      <c r="E95" s="37">
        <v>100</v>
      </c>
      <c r="F95" s="41">
        <v>45900</v>
      </c>
      <c r="G95" s="55">
        <v>2</v>
      </c>
      <c r="H95" s="56">
        <v>0.02</v>
      </c>
      <c r="I95" s="40">
        <f>+PRESTAMOS[[#This Row],[MONTO AMORTIZACION]]*PRESTAMOS[[#This Row],[INTERES]]*PRESTAMOS[[#This Row],[CUOTAS]]</f>
        <v>4</v>
      </c>
      <c r="J95" s="40">
        <f>+PRESTAMOS[[#This Row],[MONTO AMORTIZACION]]+PRESTAMOS[[#This Row],[T. INT]]</f>
        <v>104</v>
      </c>
      <c r="K95" s="223" t="s">
        <v>386</v>
      </c>
      <c r="L9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3" x14ac:dyDescent="0.3">
      <c r="A96" s="42">
        <v>94</v>
      </c>
      <c r="B96" s="237" t="s">
        <v>44</v>
      </c>
      <c r="C96" s="35">
        <v>5</v>
      </c>
      <c r="D96" s="36" t="s">
        <v>14</v>
      </c>
      <c r="E96" s="37">
        <v>100</v>
      </c>
      <c r="F96" s="41">
        <v>45900</v>
      </c>
      <c r="G96" s="55">
        <v>2</v>
      </c>
      <c r="H96" s="56">
        <v>0.02</v>
      </c>
      <c r="I96" s="40">
        <f>+PRESTAMOS[[#This Row],[MONTO AMORTIZACION]]*PRESTAMOS[[#This Row],[INTERES]]*PRESTAMOS[[#This Row],[CUOTAS]]</f>
        <v>4</v>
      </c>
      <c r="J96" s="40">
        <f>+PRESTAMOS[[#This Row],[MONTO AMORTIZACION]]+PRESTAMOS[[#This Row],[T. INT]]</f>
        <v>104</v>
      </c>
      <c r="K96" s="223" t="s">
        <v>386</v>
      </c>
      <c r="L9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3" x14ac:dyDescent="0.3">
      <c r="A97" s="42">
        <v>95</v>
      </c>
      <c r="B97" s="237" t="s">
        <v>44</v>
      </c>
      <c r="C97" s="35">
        <v>3</v>
      </c>
      <c r="D97" s="36" t="s">
        <v>13</v>
      </c>
      <c r="E97" s="37">
        <v>60</v>
      </c>
      <c r="F97" s="41">
        <v>45900</v>
      </c>
      <c r="G97" s="55">
        <v>2</v>
      </c>
      <c r="H97" s="56">
        <v>0.02</v>
      </c>
      <c r="I97" s="40">
        <f>+PRESTAMOS[[#This Row],[MONTO AMORTIZACION]]*PRESTAMOS[[#This Row],[INTERES]]*PRESTAMOS[[#This Row],[CUOTAS]]</f>
        <v>2.4</v>
      </c>
      <c r="J97" s="40">
        <f>+PRESTAMOS[[#This Row],[MONTO AMORTIZACION]]+PRESTAMOS[[#This Row],[T. INT]]</f>
        <v>62.4</v>
      </c>
      <c r="K97" s="223" t="s">
        <v>386</v>
      </c>
      <c r="L9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3" x14ac:dyDescent="0.3">
      <c r="A98" s="42">
        <v>96</v>
      </c>
      <c r="B98" s="237" t="s">
        <v>44</v>
      </c>
      <c r="C98" s="35">
        <v>16</v>
      </c>
      <c r="D98" s="36" t="s">
        <v>23</v>
      </c>
      <c r="E98" s="37">
        <v>150</v>
      </c>
      <c r="F98" s="41">
        <v>45909</v>
      </c>
      <c r="G98" s="55">
        <v>3</v>
      </c>
      <c r="H98" s="56">
        <v>0.02</v>
      </c>
      <c r="I98" s="40">
        <f>+PRESTAMOS[[#This Row],[MONTO AMORTIZACION]]*PRESTAMOS[[#This Row],[INTERES]]*PRESTAMOS[[#This Row],[CUOTAS]]</f>
        <v>9</v>
      </c>
      <c r="J98" s="40">
        <f>+PRESTAMOS[[#This Row],[MONTO AMORTIZACION]]+PRESTAMOS[[#This Row],[T. INT]]</f>
        <v>159</v>
      </c>
      <c r="K98" s="223" t="s">
        <v>425</v>
      </c>
      <c r="L9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9" spans="1:13" x14ac:dyDescent="0.3">
      <c r="A99" s="42">
        <v>97</v>
      </c>
      <c r="B99" s="237" t="s">
        <v>44</v>
      </c>
      <c r="C99" s="35">
        <v>8</v>
      </c>
      <c r="D99" s="36" t="s">
        <v>356</v>
      </c>
      <c r="E99" s="37">
        <v>700</v>
      </c>
      <c r="F99" s="41">
        <v>45915</v>
      </c>
      <c r="G99" s="55">
        <v>5</v>
      </c>
      <c r="H99" s="56">
        <v>0.02</v>
      </c>
      <c r="I99" s="40">
        <f>+PRESTAMOS[[#This Row],[MONTO AMORTIZACION]]*PRESTAMOS[[#This Row],[INTERES]]*PRESTAMOS[[#This Row],[CUOTAS]]</f>
        <v>70</v>
      </c>
      <c r="J99" s="40">
        <f>+PRESTAMOS[[#This Row],[MONTO AMORTIZACION]]+PRESTAMOS[[#This Row],[T. INT]]</f>
        <v>770</v>
      </c>
      <c r="K99" s="223" t="s">
        <v>431</v>
      </c>
      <c r="L9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0" spans="1:13" x14ac:dyDescent="0.3">
      <c r="A100" s="42">
        <v>98</v>
      </c>
      <c r="B100" s="237" t="s">
        <v>44</v>
      </c>
      <c r="C100" s="35">
        <v>7</v>
      </c>
      <c r="D100" s="36" t="s">
        <v>355</v>
      </c>
      <c r="E100" s="37">
        <v>300</v>
      </c>
      <c r="F100" s="41">
        <v>45928</v>
      </c>
      <c r="G100" s="55">
        <v>1</v>
      </c>
      <c r="H100" s="56">
        <v>0.02</v>
      </c>
      <c r="I100" s="40">
        <f>+PRESTAMOS[[#This Row],[MONTO AMORTIZACION]]*PRESTAMOS[[#This Row],[INTERES]]*PRESTAMOS[[#This Row],[CUOTAS]]</f>
        <v>6</v>
      </c>
      <c r="J100" s="40">
        <f>+PRESTAMOS[[#This Row],[MONTO AMORTIZACION]]+PRESTAMOS[[#This Row],[T. INT]]</f>
        <v>306</v>
      </c>
      <c r="K100" s="223" t="s">
        <v>386</v>
      </c>
      <c r="L10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3" ht="28.8" x14ac:dyDescent="0.3">
      <c r="A101" s="42">
        <v>99</v>
      </c>
      <c r="B101" s="237" t="s">
        <v>44</v>
      </c>
      <c r="C101" s="35">
        <v>16</v>
      </c>
      <c r="D101" s="36" t="s">
        <v>23</v>
      </c>
      <c r="E101" s="37">
        <v>200</v>
      </c>
      <c r="F101" s="41">
        <v>45938</v>
      </c>
      <c r="G101" s="55">
        <v>3</v>
      </c>
      <c r="H101" s="56">
        <v>0.02</v>
      </c>
      <c r="I101" s="40">
        <f>+PRESTAMOS[[#This Row],[MONTO AMORTIZACION]]*PRESTAMOS[[#This Row],[INTERES]]*PRESTAMOS[[#This Row],[CUOTAS]]</f>
        <v>12</v>
      </c>
      <c r="J101" s="40">
        <f>+PRESTAMOS[[#This Row],[MONTO AMORTIZACION]]+PRESTAMOS[[#This Row],[T. INT]]</f>
        <v>212</v>
      </c>
      <c r="K101" s="223" t="s">
        <v>454</v>
      </c>
      <c r="L10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2" spans="1:13" x14ac:dyDescent="0.3">
      <c r="A102" s="42">
        <v>100</v>
      </c>
      <c r="B102" s="237" t="s">
        <v>44</v>
      </c>
      <c r="C102" s="35">
        <v>10</v>
      </c>
      <c r="D102" s="36" t="s">
        <v>18</v>
      </c>
      <c r="E102" s="37">
        <v>150</v>
      </c>
      <c r="F102" s="41">
        <v>45945</v>
      </c>
      <c r="G102" s="55">
        <v>3</v>
      </c>
      <c r="H102" s="56">
        <v>0.02</v>
      </c>
      <c r="I102" s="40">
        <f>+PRESTAMOS[[#This Row],[MONTO AMORTIZACION]]*PRESTAMOS[[#This Row],[INTERES]]*PRESTAMOS[[#This Row],[CUOTAS]]</f>
        <v>9</v>
      </c>
      <c r="J102" s="40">
        <f>+PRESTAMOS[[#This Row],[MONTO AMORTIZACION]]+PRESTAMOS[[#This Row],[T. INT]]</f>
        <v>159</v>
      </c>
      <c r="K102" s="223" t="s">
        <v>386</v>
      </c>
      <c r="L10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3" spans="1:13" x14ac:dyDescent="0.3">
      <c r="A103" s="42">
        <v>101</v>
      </c>
      <c r="B103" s="237" t="s">
        <v>44</v>
      </c>
      <c r="C103" s="35">
        <v>18</v>
      </c>
      <c r="D103" s="36" t="s">
        <v>300</v>
      </c>
      <c r="E103" s="37">
        <v>400</v>
      </c>
      <c r="F103" s="41">
        <v>45945</v>
      </c>
      <c r="G103" s="55">
        <v>4</v>
      </c>
      <c r="H103" s="56">
        <v>0.02</v>
      </c>
      <c r="I103" s="40">
        <f>+PRESTAMOS[[#This Row],[MONTO AMORTIZACION]]*PRESTAMOS[[#This Row],[INTERES]]*PRESTAMOS[[#This Row],[CUOTAS]]</f>
        <v>32</v>
      </c>
      <c r="J103" s="40">
        <f>+PRESTAMOS[[#This Row],[MONTO AMORTIZACION]]+PRESTAMOS[[#This Row],[T. INT]]</f>
        <v>432</v>
      </c>
      <c r="K103" s="223" t="s">
        <v>386</v>
      </c>
      <c r="L10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4" spans="1:13" ht="28.8" x14ac:dyDescent="0.3">
      <c r="A104" s="42">
        <v>102</v>
      </c>
      <c r="B104" s="237" t="s">
        <v>44</v>
      </c>
      <c r="C104" s="35">
        <v>16</v>
      </c>
      <c r="D104" s="36" t="s">
        <v>23</v>
      </c>
      <c r="E104" s="37">
        <v>200</v>
      </c>
      <c r="F104" s="41">
        <v>45949</v>
      </c>
      <c r="G104" s="55">
        <v>4</v>
      </c>
      <c r="H104" s="56">
        <v>0.02</v>
      </c>
      <c r="I104" s="40">
        <f>+PRESTAMOS[[#This Row],[MONTO AMORTIZACION]]*PRESTAMOS[[#This Row],[INTERES]]*PRESTAMOS[[#This Row],[CUOTAS]]</f>
        <v>16</v>
      </c>
      <c r="J104" s="40">
        <f>+PRESTAMOS[[#This Row],[MONTO AMORTIZACION]]+PRESTAMOS[[#This Row],[T. INT]]</f>
        <v>216</v>
      </c>
      <c r="K104" s="223" t="s">
        <v>452</v>
      </c>
      <c r="L10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5" spans="1:13" x14ac:dyDescent="0.3">
      <c r="A105" s="42">
        <v>103</v>
      </c>
      <c r="B105" s="237" t="s">
        <v>44</v>
      </c>
      <c r="C105" s="35">
        <v>13</v>
      </c>
      <c r="D105" s="36" t="s">
        <v>301</v>
      </c>
      <c r="E105" s="37">
        <v>1000</v>
      </c>
      <c r="F105" s="41">
        <v>45976</v>
      </c>
      <c r="G105" s="55">
        <v>10</v>
      </c>
      <c r="H105" s="56">
        <v>0.02</v>
      </c>
      <c r="I105" s="40">
        <f>+PRESTAMOS[[#This Row],[MONTO AMORTIZACION]]*PRESTAMOS[[#This Row],[INTERES]]*PRESTAMOS[[#This Row],[CUOTAS]]</f>
        <v>200</v>
      </c>
      <c r="J105" s="40">
        <f>+PRESTAMOS[[#This Row],[MONTO AMORTIZACION]]+PRESTAMOS[[#This Row],[T. INT]]</f>
        <v>1200</v>
      </c>
      <c r="K105" s="223" t="s">
        <v>386</v>
      </c>
      <c r="L10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0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06" spans="1:13" x14ac:dyDescent="0.3">
      <c r="A106" s="42">
        <v>104</v>
      </c>
      <c r="B106" s="237" t="s">
        <v>44</v>
      </c>
      <c r="C106" s="35">
        <v>11</v>
      </c>
      <c r="D106" s="36" t="s">
        <v>19</v>
      </c>
      <c r="E106" s="37">
        <v>200</v>
      </c>
      <c r="F106" s="41">
        <v>45976</v>
      </c>
      <c r="G106" s="55">
        <v>6</v>
      </c>
      <c r="H106" s="56">
        <v>0.02</v>
      </c>
      <c r="I106" s="40">
        <f>+PRESTAMOS[[#This Row],[MONTO AMORTIZACION]]*PRESTAMOS[[#This Row],[INTERES]]*PRESTAMOS[[#This Row],[CUOTAS]]</f>
        <v>24</v>
      </c>
      <c r="J106" s="40">
        <f>+PRESTAMOS[[#This Row],[MONTO AMORTIZACION]]+PRESTAMOS[[#This Row],[T. INT]]</f>
        <v>224</v>
      </c>
      <c r="K106" s="223" t="s">
        <v>386</v>
      </c>
      <c r="L10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0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7" spans="1:13" x14ac:dyDescent="0.3">
      <c r="A107" s="42">
        <v>105</v>
      </c>
      <c r="B107" s="237" t="s">
        <v>44</v>
      </c>
      <c r="C107" s="35">
        <v>9</v>
      </c>
      <c r="D107" s="36" t="s">
        <v>17</v>
      </c>
      <c r="E107" s="37">
        <v>500</v>
      </c>
      <c r="F107" s="41">
        <v>46008</v>
      </c>
      <c r="G107" s="55">
        <v>5</v>
      </c>
      <c r="H107" s="56">
        <v>0.02</v>
      </c>
      <c r="I107" s="40">
        <f>+PRESTAMOS[[#This Row],[MONTO AMORTIZACION]]*PRESTAMOS[[#This Row],[INTERES]]*PRESTAMOS[[#This Row],[CUOTAS]]</f>
        <v>50</v>
      </c>
      <c r="J107" s="40">
        <f>+PRESTAMOS[[#This Row],[MONTO AMORTIZACION]]+PRESTAMOS[[#This Row],[T. INT]]</f>
        <v>550</v>
      </c>
      <c r="K107" s="223" t="s">
        <v>386</v>
      </c>
      <c r="L10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0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8" spans="1:13" x14ac:dyDescent="0.3">
      <c r="A108" s="42">
        <v>106</v>
      </c>
      <c r="B108" s="237" t="s">
        <v>44</v>
      </c>
      <c r="C108" s="35">
        <v>14</v>
      </c>
      <c r="D108" s="36" t="s">
        <v>21</v>
      </c>
      <c r="E108" s="37">
        <v>2000</v>
      </c>
      <c r="F108" s="41">
        <v>46008</v>
      </c>
      <c r="G108" s="55">
        <v>18</v>
      </c>
      <c r="H108" s="56">
        <v>0.02</v>
      </c>
      <c r="I108" s="40">
        <f>+PRESTAMOS[[#This Row],[MONTO AMORTIZACION]]*PRESTAMOS[[#This Row],[INTERES]]*PRESTAMOS[[#This Row],[CUOTAS]]</f>
        <v>720</v>
      </c>
      <c r="J108" s="40">
        <f>+PRESTAMOS[[#This Row],[MONTO AMORTIZACION]]+PRESTAMOS[[#This Row],[T. INT]]</f>
        <v>2720</v>
      </c>
      <c r="K108" s="223" t="s">
        <v>386</v>
      </c>
      <c r="L10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0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9" spans="1:13" x14ac:dyDescent="0.3">
      <c r="A109" s="42">
        <v>107</v>
      </c>
      <c r="B109" s="237" t="s">
        <v>44</v>
      </c>
      <c r="C109" s="35">
        <v>18</v>
      </c>
      <c r="D109" s="36" t="s">
        <v>300</v>
      </c>
      <c r="E109" s="37">
        <v>700</v>
      </c>
      <c r="F109" s="41">
        <v>46008</v>
      </c>
      <c r="G109" s="55">
        <v>7</v>
      </c>
      <c r="H109" s="56">
        <v>0.02</v>
      </c>
      <c r="I109" s="40">
        <f>+PRESTAMOS[[#This Row],[MONTO AMORTIZACION]]*PRESTAMOS[[#This Row],[INTERES]]*PRESTAMOS[[#This Row],[CUOTAS]]</f>
        <v>98</v>
      </c>
      <c r="J109" s="40">
        <f>+PRESTAMOS[[#This Row],[MONTO AMORTIZACION]]+PRESTAMOS[[#This Row],[T. INT]]</f>
        <v>798</v>
      </c>
      <c r="K109" s="223" t="s">
        <v>386</v>
      </c>
      <c r="L10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10" spans="1:13" x14ac:dyDescent="0.3">
      <c r="A110" s="42">
        <v>108</v>
      </c>
      <c r="B110" s="237" t="s">
        <v>44</v>
      </c>
      <c r="C110" s="35">
        <v>6</v>
      </c>
      <c r="D110" s="36" t="s">
        <v>24</v>
      </c>
      <c r="E110" s="37">
        <v>300</v>
      </c>
      <c r="F110" s="41">
        <v>46008</v>
      </c>
      <c r="G110" s="55">
        <v>6</v>
      </c>
      <c r="H110" s="56">
        <v>0.02</v>
      </c>
      <c r="I110" s="40">
        <f>+PRESTAMOS[[#This Row],[MONTO AMORTIZACION]]*PRESTAMOS[[#This Row],[INTERES]]*PRESTAMOS[[#This Row],[CUOTAS]]</f>
        <v>36</v>
      </c>
      <c r="J110" s="40">
        <f>+PRESTAMOS[[#This Row],[MONTO AMORTIZACION]]+PRESTAMOS[[#This Row],[T. INT]]</f>
        <v>336</v>
      </c>
      <c r="K110" s="223" t="s">
        <v>386</v>
      </c>
      <c r="L11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11" spans="1:13" ht="28.8" x14ac:dyDescent="0.3">
      <c r="A111" s="42">
        <v>109</v>
      </c>
      <c r="B111" s="237" t="s">
        <v>44</v>
      </c>
      <c r="C111" s="35">
        <v>16</v>
      </c>
      <c r="D111" s="36" t="s">
        <v>23</v>
      </c>
      <c r="E111" s="37">
        <v>300</v>
      </c>
      <c r="F111" s="41">
        <v>46012</v>
      </c>
      <c r="G111" s="55">
        <v>3</v>
      </c>
      <c r="H111" s="56">
        <v>0.02</v>
      </c>
      <c r="I111" s="40">
        <f>+PRESTAMOS[[#This Row],[MONTO AMORTIZACION]]*PRESTAMOS[[#This Row],[INTERES]]*PRESTAMOS[[#This Row],[CUOTAS]]</f>
        <v>18</v>
      </c>
      <c r="J111" s="40">
        <f>+PRESTAMOS[[#This Row],[MONTO AMORTIZACION]]+PRESTAMOS[[#This Row],[T. INT]]</f>
        <v>318</v>
      </c>
      <c r="K111" s="223" t="s">
        <v>479</v>
      </c>
      <c r="L11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2" spans="1:13" x14ac:dyDescent="0.3">
      <c r="A112" s="42">
        <v>110</v>
      </c>
      <c r="B112" s="237" t="s">
        <v>44</v>
      </c>
      <c r="C112" s="35">
        <v>5</v>
      </c>
      <c r="D112" s="36" t="s">
        <v>14</v>
      </c>
      <c r="E112" s="37">
        <v>1200</v>
      </c>
      <c r="F112" s="41">
        <v>46037</v>
      </c>
      <c r="G112" s="55">
        <v>12</v>
      </c>
      <c r="H112" s="56">
        <v>0.02</v>
      </c>
      <c r="I112" s="40">
        <f>+PRESTAMOS[[#This Row],[MONTO AMORTIZACION]]*PRESTAMOS[[#This Row],[INTERES]]*PRESTAMOS[[#This Row],[CUOTAS]]</f>
        <v>288</v>
      </c>
      <c r="J112" s="40">
        <f>+PRESTAMOS[[#This Row],[MONTO AMORTIZACION]]+PRESTAMOS[[#This Row],[T. INT]]</f>
        <v>1488</v>
      </c>
      <c r="K112" s="223" t="s">
        <v>483</v>
      </c>
      <c r="L11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1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09</v>
      </c>
    </row>
    <row r="113" spans="1:13" x14ac:dyDescent="0.3">
      <c r="A113" s="42">
        <v>111</v>
      </c>
      <c r="B113" s="237" t="s">
        <v>44</v>
      </c>
      <c r="C113" s="35">
        <v>16</v>
      </c>
      <c r="D113" s="36" t="s">
        <v>23</v>
      </c>
      <c r="E113" s="37">
        <v>80</v>
      </c>
      <c r="F113" s="41">
        <v>46038</v>
      </c>
      <c r="G113" s="55">
        <v>2</v>
      </c>
      <c r="H113" s="56">
        <v>0.02</v>
      </c>
      <c r="I113" s="40">
        <f>+PRESTAMOS[[#This Row],[MONTO AMORTIZACION]]*PRESTAMOS[[#This Row],[INTERES]]*PRESTAMOS[[#This Row],[CUOTAS]]</f>
        <v>3.2</v>
      </c>
      <c r="J113" s="40">
        <f>+PRESTAMOS[[#This Row],[MONTO AMORTIZACION]]+PRESTAMOS[[#This Row],[T. INT]]</f>
        <v>83.2</v>
      </c>
      <c r="K113" s="223" t="s">
        <v>487</v>
      </c>
      <c r="L11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4" spans="1:13" x14ac:dyDescent="0.3">
      <c r="A114" s="42">
        <v>112</v>
      </c>
      <c r="B114" s="237" t="s">
        <v>44</v>
      </c>
      <c r="C114" s="35">
        <v>7</v>
      </c>
      <c r="D114" s="36" t="s">
        <v>355</v>
      </c>
      <c r="E114" s="37">
        <v>100</v>
      </c>
      <c r="F114" s="41">
        <v>46050</v>
      </c>
      <c r="G114" s="55">
        <v>1</v>
      </c>
      <c r="H114" s="56">
        <v>0.02</v>
      </c>
      <c r="I114" s="40">
        <f>+PRESTAMOS[[#This Row],[MONTO AMORTIZACION]]*PRESTAMOS[[#This Row],[INTERES]]*PRESTAMOS[[#This Row],[CUOTAS]]</f>
        <v>2</v>
      </c>
      <c r="J114" s="40">
        <f>+PRESTAMOS[[#This Row],[MONTO AMORTIZACION]]+PRESTAMOS[[#This Row],[T. INT]]</f>
        <v>102</v>
      </c>
      <c r="K114" s="223" t="s">
        <v>488</v>
      </c>
      <c r="L11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5" spans="1:13" x14ac:dyDescent="0.3">
      <c r="A115" s="42">
        <v>113</v>
      </c>
      <c r="B115" s="237" t="s">
        <v>44</v>
      </c>
      <c r="C115" s="35">
        <v>16</v>
      </c>
      <c r="D115" s="36" t="s">
        <v>23</v>
      </c>
      <c r="E115" s="37">
        <v>100</v>
      </c>
      <c r="F115" s="41">
        <v>46065</v>
      </c>
      <c r="G115" s="55">
        <v>1</v>
      </c>
      <c r="H115" s="56">
        <v>0.02</v>
      </c>
      <c r="I115" s="40">
        <f>+PRESTAMOS[[#This Row],[MONTO AMORTIZACION]]*PRESTAMOS[[#This Row],[INTERES]]*PRESTAMOS[[#This Row],[CUOTAS]]</f>
        <v>2</v>
      </c>
      <c r="J115" s="40">
        <f>+PRESTAMOS[[#This Row],[MONTO AMORTIZACION]]+PRESTAMOS[[#This Row],[T. INT]]</f>
        <v>102</v>
      </c>
      <c r="K115" s="223" t="s">
        <v>499</v>
      </c>
      <c r="L11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6" spans="1:13" x14ac:dyDescent="0.3">
      <c r="A116" s="42">
        <v>114</v>
      </c>
      <c r="B116" s="237" t="s">
        <v>44</v>
      </c>
      <c r="C116" s="35">
        <v>16</v>
      </c>
      <c r="D116" s="36" t="s">
        <v>23</v>
      </c>
      <c r="E116" s="37">
        <v>200</v>
      </c>
      <c r="F116" s="41">
        <v>46065</v>
      </c>
      <c r="G116" s="55">
        <v>2</v>
      </c>
      <c r="H116" s="56">
        <v>0.02</v>
      </c>
      <c r="I116" s="40">
        <f>+PRESTAMOS[[#This Row],[MONTO AMORTIZACION]]*PRESTAMOS[[#This Row],[INTERES]]*PRESTAMOS[[#This Row],[CUOTAS]]</f>
        <v>8</v>
      </c>
      <c r="J116" s="40">
        <f>+PRESTAMOS[[#This Row],[MONTO AMORTIZACION]]+PRESTAMOS[[#This Row],[T. INT]]</f>
        <v>208</v>
      </c>
      <c r="K116" s="223" t="s">
        <v>503</v>
      </c>
      <c r="L11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7" spans="1:13" x14ac:dyDescent="0.3">
      <c r="A117" s="42">
        <v>115</v>
      </c>
      <c r="B117" s="237" t="s">
        <v>44</v>
      </c>
      <c r="C117" s="35">
        <v>12</v>
      </c>
      <c r="D117" s="36" t="s">
        <v>20</v>
      </c>
      <c r="E117" s="37">
        <v>1500</v>
      </c>
      <c r="F117" s="41">
        <v>46068</v>
      </c>
      <c r="G117" s="55">
        <v>12</v>
      </c>
      <c r="H117" s="56">
        <v>0.02</v>
      </c>
      <c r="I117" s="40">
        <f>+PRESTAMOS[[#This Row],[MONTO AMORTIZACION]]*PRESTAMOS[[#This Row],[INTERES]]*PRESTAMOS[[#This Row],[CUOTAS]]</f>
        <v>360</v>
      </c>
      <c r="J117" s="40">
        <f>+PRESTAMOS[[#This Row],[MONTO AMORTIZACION]]+PRESTAMOS[[#This Row],[T. INT]]</f>
        <v>1860</v>
      </c>
      <c r="K117" s="223" t="s">
        <v>511</v>
      </c>
      <c r="L11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1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  <row r="118" spans="1:13" x14ac:dyDescent="0.3">
      <c r="A118" s="42">
        <v>116</v>
      </c>
      <c r="B118" s="237" t="s">
        <v>44</v>
      </c>
      <c r="C118" s="35">
        <v>6</v>
      </c>
      <c r="D118" s="36" t="s">
        <v>24</v>
      </c>
      <c r="E118" s="37">
        <v>600</v>
      </c>
      <c r="F118" s="41">
        <v>46068</v>
      </c>
      <c r="G118" s="55">
        <v>10</v>
      </c>
      <c r="H118" s="56">
        <v>0.02</v>
      </c>
      <c r="I118" s="40">
        <f>+PRESTAMOS[[#This Row],[MONTO AMORTIZACION]]*PRESTAMOS[[#This Row],[INTERES]]*PRESTAMOS[[#This Row],[CUOTAS]]</f>
        <v>120</v>
      </c>
      <c r="J118" s="40">
        <f>+PRESTAMOS[[#This Row],[MONTO AMORTIZACION]]+PRESTAMOS[[#This Row],[T. INT]]</f>
        <v>720</v>
      </c>
      <c r="K118" s="223" t="s">
        <v>511</v>
      </c>
      <c r="L11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1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08</v>
      </c>
    </row>
    <row r="119" spans="1:13" x14ac:dyDescent="0.3">
      <c r="A119" s="42">
        <v>117</v>
      </c>
      <c r="B119" s="237" t="s">
        <v>44</v>
      </c>
      <c r="C119" s="35">
        <v>16</v>
      </c>
      <c r="D119" s="36" t="s">
        <v>23</v>
      </c>
      <c r="E119" s="37">
        <v>150</v>
      </c>
      <c r="F119" s="41">
        <v>46070</v>
      </c>
      <c r="G119" s="55">
        <v>3</v>
      </c>
      <c r="H119" s="56">
        <v>0.02</v>
      </c>
      <c r="I119" s="40">
        <f>+PRESTAMOS[[#This Row],[MONTO AMORTIZACION]]*PRESTAMOS[[#This Row],[INTERES]]*PRESTAMOS[[#This Row],[CUOTAS]]</f>
        <v>9</v>
      </c>
      <c r="J119" s="40">
        <f>+PRESTAMOS[[#This Row],[MONTO AMORTIZACION]]+PRESTAMOS[[#This Row],[T. INT]]</f>
        <v>159</v>
      </c>
      <c r="K119" s="223" t="s">
        <v>518</v>
      </c>
      <c r="L11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20" spans="1:13" x14ac:dyDescent="0.3">
      <c r="A120" s="42">
        <v>118</v>
      </c>
      <c r="B120" s="237" t="s">
        <v>44</v>
      </c>
      <c r="C120" s="35">
        <v>10</v>
      </c>
      <c r="D120" s="36" t="s">
        <v>18</v>
      </c>
      <c r="E120" s="37">
        <v>200</v>
      </c>
      <c r="F120" s="41">
        <v>46086</v>
      </c>
      <c r="G120" s="55">
        <v>1</v>
      </c>
      <c r="H120" s="56">
        <v>0.02</v>
      </c>
      <c r="I120" s="40">
        <f>+PRESTAMOS[[#This Row],[MONTO AMORTIZACION]]*PRESTAMOS[[#This Row],[INTERES]]*PRESTAMOS[[#This Row],[CUOTAS]]</f>
        <v>4</v>
      </c>
      <c r="J120" s="40">
        <f>+PRESTAMOS[[#This Row],[MONTO AMORTIZACION]]+PRESTAMOS[[#This Row],[T. INT]]</f>
        <v>204</v>
      </c>
      <c r="K120" s="223" t="s">
        <v>519</v>
      </c>
      <c r="L12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2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21" spans="1:13" ht="28.8" x14ac:dyDescent="0.3">
      <c r="A121" s="42">
        <v>119</v>
      </c>
      <c r="B121" s="237" t="s">
        <v>44</v>
      </c>
      <c r="C121" s="35">
        <v>16</v>
      </c>
      <c r="D121" s="36" t="s">
        <v>23</v>
      </c>
      <c r="E121" s="37">
        <v>400</v>
      </c>
      <c r="F121" s="41">
        <v>46091</v>
      </c>
      <c r="G121" s="55">
        <v>2</v>
      </c>
      <c r="H121" s="56">
        <v>0.02</v>
      </c>
      <c r="I121" s="40">
        <f>+PRESTAMOS[[#This Row],[MONTO AMORTIZACION]]*PRESTAMOS[[#This Row],[INTERES]]*PRESTAMOS[[#This Row],[CUOTAS]]</f>
        <v>16</v>
      </c>
      <c r="J121" s="40">
        <f>+PRESTAMOS[[#This Row],[MONTO AMORTIZACION]]+PRESTAMOS[[#This Row],[T. INT]]</f>
        <v>416</v>
      </c>
      <c r="K121" s="223" t="s">
        <v>522</v>
      </c>
      <c r="L12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2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22" spans="1:13" x14ac:dyDescent="0.3">
      <c r="A122" s="42">
        <v>120</v>
      </c>
      <c r="B122" s="237" t="s">
        <v>44</v>
      </c>
      <c r="C122" s="35">
        <v>16</v>
      </c>
      <c r="D122" s="36" t="s">
        <v>23</v>
      </c>
      <c r="E122" s="37">
        <v>100</v>
      </c>
      <c r="F122" s="41">
        <v>46100</v>
      </c>
      <c r="G122" s="55">
        <v>1</v>
      </c>
      <c r="H122" s="56">
        <v>0.02</v>
      </c>
      <c r="I122" s="40">
        <f>+PRESTAMOS[[#This Row],[MONTO AMORTIZACION]]*PRESTAMOS[[#This Row],[INTERES]]*PRESTAMOS[[#This Row],[CUOTAS]]</f>
        <v>2</v>
      </c>
      <c r="J122" s="40">
        <f>+PRESTAMOS[[#This Row],[MONTO AMORTIZACION]]+PRESTAMOS[[#This Row],[T. INT]]</f>
        <v>102</v>
      </c>
      <c r="K122" s="223" t="s">
        <v>499</v>
      </c>
      <c r="L12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2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23" spans="1:13" x14ac:dyDescent="0.3">
      <c r="A123" s="42">
        <v>121</v>
      </c>
      <c r="B123" s="237" t="s">
        <v>44</v>
      </c>
      <c r="C123" s="35">
        <v>16</v>
      </c>
      <c r="D123" s="36" t="s">
        <v>23</v>
      </c>
      <c r="E123" s="37">
        <v>560</v>
      </c>
      <c r="F123" s="41">
        <v>46103</v>
      </c>
      <c r="G123" s="55">
        <v>4</v>
      </c>
      <c r="H123" s="56">
        <v>0.02</v>
      </c>
      <c r="I123" s="40">
        <f>+PRESTAMOS[[#This Row],[MONTO AMORTIZACION]]*PRESTAMOS[[#This Row],[INTERES]]*PRESTAMOS[[#This Row],[CUOTAS]]</f>
        <v>44.800000000000004</v>
      </c>
      <c r="J123" s="40">
        <f>+PRESTAMOS[[#This Row],[MONTO AMORTIZACION]]+PRESTAMOS[[#This Row],[T. INT]]</f>
        <v>604.79999999999995</v>
      </c>
      <c r="K123" s="223" t="s">
        <v>527</v>
      </c>
      <c r="L12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2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24" spans="1:13" ht="28.8" x14ac:dyDescent="0.3">
      <c r="A124" s="50">
        <v>122</v>
      </c>
      <c r="B124" s="369" t="s">
        <v>44</v>
      </c>
      <c r="C124" s="35">
        <v>10</v>
      </c>
      <c r="D124" s="36" t="s">
        <v>18</v>
      </c>
      <c r="E124" s="37">
        <v>500</v>
      </c>
      <c r="F124" s="41">
        <v>46127</v>
      </c>
      <c r="G124" s="55">
        <v>5</v>
      </c>
      <c r="H124" s="56">
        <v>0.02</v>
      </c>
      <c r="I124" s="40">
        <f>+PRESTAMOS[[#This Row],[MONTO AMORTIZACION]]*PRESTAMOS[[#This Row],[INTERES]]*PRESTAMOS[[#This Row],[CUOTAS]]</f>
        <v>50</v>
      </c>
      <c r="J124" s="40">
        <f>+PRESTAMOS[[#This Row],[MONTO AMORTIZACION]]+PRESTAMOS[[#This Row],[T. INT]]</f>
        <v>550</v>
      </c>
      <c r="K124" s="223" t="s">
        <v>561</v>
      </c>
      <c r="L12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2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25" spans="1:13" ht="28.8" x14ac:dyDescent="0.3">
      <c r="A125" s="50">
        <v>123</v>
      </c>
      <c r="B125" s="369" t="s">
        <v>44</v>
      </c>
      <c r="C125" s="35">
        <v>17</v>
      </c>
      <c r="D125" s="36" t="s">
        <v>299</v>
      </c>
      <c r="E125" s="37">
        <v>1600</v>
      </c>
      <c r="F125" s="41">
        <v>46127</v>
      </c>
      <c r="G125" s="55">
        <v>5</v>
      </c>
      <c r="H125" s="56">
        <v>0.02</v>
      </c>
      <c r="I125" s="40">
        <f>+PRESTAMOS[[#This Row],[MONTO AMORTIZACION]]*PRESTAMOS[[#This Row],[INTERES]]*PRESTAMOS[[#This Row],[CUOTAS]]</f>
        <v>160</v>
      </c>
      <c r="J125" s="40">
        <f>+PRESTAMOS[[#This Row],[MONTO AMORTIZACION]]+PRESTAMOS[[#This Row],[T. INT]]</f>
        <v>1760</v>
      </c>
      <c r="K125" s="223" t="s">
        <v>564</v>
      </c>
      <c r="L12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2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26" spans="1:13" x14ac:dyDescent="0.3">
      <c r="A126" s="50">
        <v>124</v>
      </c>
      <c r="B126" s="369" t="s">
        <v>44</v>
      </c>
      <c r="C126" s="35">
        <v>16</v>
      </c>
      <c r="D126" s="36" t="s">
        <v>515</v>
      </c>
      <c r="E126" s="37">
        <v>150</v>
      </c>
      <c r="F126" s="41">
        <v>46129</v>
      </c>
      <c r="G126" s="55">
        <v>3</v>
      </c>
      <c r="H126" s="56">
        <v>0.02</v>
      </c>
      <c r="I126" s="40">
        <f>+PRESTAMOS[[#This Row],[MONTO AMORTIZACION]]*PRESTAMOS[[#This Row],[INTERES]]*PRESTAMOS[[#This Row],[CUOTAS]]</f>
        <v>9</v>
      </c>
      <c r="J126" s="40">
        <f>+PRESTAMOS[[#This Row],[MONTO AMORTIZACION]]+PRESTAMOS[[#This Row],[T. INT]]</f>
        <v>159</v>
      </c>
      <c r="K126" s="223" t="s">
        <v>567</v>
      </c>
      <c r="L12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2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27" spans="1:13" x14ac:dyDescent="0.3">
      <c r="A127" s="50">
        <v>125</v>
      </c>
      <c r="B127" s="369" t="s">
        <v>44</v>
      </c>
      <c r="C127" s="35">
        <v>7</v>
      </c>
      <c r="D127" s="36" t="s">
        <v>355</v>
      </c>
      <c r="E127" s="37">
        <v>200</v>
      </c>
      <c r="F127" s="41">
        <v>46133</v>
      </c>
      <c r="G127" s="55">
        <v>1</v>
      </c>
      <c r="H127" s="56">
        <v>0.02</v>
      </c>
      <c r="I127" s="40">
        <f>+PRESTAMOS[[#This Row],[MONTO AMORTIZACION]]*PRESTAMOS[[#This Row],[INTERES]]*PRESTAMOS[[#This Row],[CUOTAS]]</f>
        <v>4</v>
      </c>
      <c r="J127" s="40">
        <f>+PRESTAMOS[[#This Row],[MONTO AMORTIZACION]]+PRESTAMOS[[#This Row],[T. INT]]</f>
        <v>204</v>
      </c>
      <c r="K127" s="223" t="s">
        <v>571</v>
      </c>
      <c r="L12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2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</sheetData>
  <sheetProtection algorithmName="SHA-512" hashValue="jfjJAUXcypHAo3gfJxq4lxiE+7iLNUfmIJdAGPEv7v6d6Lj0akfoMs85Lh2s3vUglnrlJMIzDog4QczzU/D1rg==" saltValue="JI5D7UsZpRkFQYmSnRSzwg==" spinCount="100000" sheet="1" objects="1" scenarios="1"/>
  <mergeCells count="1">
    <mergeCell ref="A1:K1"/>
  </mergeCells>
  <hyperlinks>
    <hyperlink ref="A1:K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M490"/>
  <sheetViews>
    <sheetView zoomScaleNormal="102" workbookViewId="0">
      <pane ySplit="2" topLeftCell="A466" activePane="bottomLeft" state="frozen"/>
      <selection pane="bottomLeft" activeCell="E492" sqref="E492"/>
    </sheetView>
  </sheetViews>
  <sheetFormatPr baseColWidth="10" defaultColWidth="10.88671875" defaultRowHeight="14.4" x14ac:dyDescent="0.3"/>
  <cols>
    <col min="1" max="1" width="8.6640625" style="16" bestFit="1" customWidth="1"/>
    <col min="2" max="2" width="10.109375" style="282" customWidth="1"/>
    <col min="3" max="3" width="8.33203125" style="16" customWidth="1"/>
    <col min="4" max="4" width="24" style="16" customWidth="1"/>
    <col min="5" max="5" width="14.6640625" style="133" customWidth="1"/>
    <col min="6" max="6" width="11.109375" style="16" customWidth="1"/>
    <col min="7" max="9" width="13.33203125" style="16" customWidth="1"/>
    <col min="10" max="10" width="12.33203125" style="16" customWidth="1"/>
    <col min="11" max="11" width="12" style="16" customWidth="1"/>
    <col min="12" max="12" width="75" style="21" bestFit="1" customWidth="1"/>
    <col min="13" max="13" width="11.33203125" style="134" hidden="1" customWidth="1"/>
    <col min="14" max="16384" width="10.88671875" style="18"/>
  </cols>
  <sheetData>
    <row r="1" spans="1:13" ht="23.25" customHeight="1" x14ac:dyDescent="0.3">
      <c r="A1" s="396" t="s">
        <v>39</v>
      </c>
      <c r="B1" s="396"/>
      <c r="C1" s="396"/>
      <c r="D1" s="396"/>
      <c r="E1" s="396"/>
      <c r="F1" s="396"/>
      <c r="G1" s="396"/>
      <c r="H1" s="396"/>
      <c r="I1" s="396"/>
      <c r="J1" s="396"/>
      <c r="K1" s="396"/>
      <c r="L1" s="396"/>
    </row>
    <row r="2" spans="1:13" ht="28.8" x14ac:dyDescent="0.3">
      <c r="A2" s="280" t="s">
        <v>68</v>
      </c>
      <c r="B2" s="280" t="s">
        <v>528</v>
      </c>
      <c r="C2" s="22" t="s">
        <v>33</v>
      </c>
      <c r="D2" s="23" t="s">
        <v>34</v>
      </c>
      <c r="E2" s="23" t="s">
        <v>230</v>
      </c>
      <c r="F2" s="23" t="s">
        <v>28</v>
      </c>
      <c r="G2" s="23" t="s">
        <v>35</v>
      </c>
      <c r="H2" s="23" t="s">
        <v>42</v>
      </c>
      <c r="I2" s="23" t="s">
        <v>29</v>
      </c>
      <c r="J2" s="23" t="s">
        <v>36</v>
      </c>
      <c r="K2" s="23" t="s">
        <v>43</v>
      </c>
      <c r="L2" s="23" t="s">
        <v>262</v>
      </c>
      <c r="M2" s="23" t="s">
        <v>372</v>
      </c>
    </row>
    <row r="3" spans="1:13" x14ac:dyDescent="0.3">
      <c r="A3" s="50">
        <v>1</v>
      </c>
      <c r="B3" s="281" t="s">
        <v>532</v>
      </c>
      <c r="C3" s="52">
        <v>5</v>
      </c>
      <c r="D3" s="50" t="s">
        <v>14</v>
      </c>
      <c r="E3" s="203">
        <v>2</v>
      </c>
      <c r="F3" s="33">
        <v>50</v>
      </c>
      <c r="G3" s="51">
        <v>44849</v>
      </c>
      <c r="H3" s="363">
        <v>1</v>
      </c>
      <c r="I3" s="33">
        <v>2</v>
      </c>
      <c r="J3" s="51">
        <v>44849</v>
      </c>
      <c r="K3" s="367">
        <v>1</v>
      </c>
      <c r="L3" s="36" t="s">
        <v>334</v>
      </c>
      <c r="M3" s="228" t="b">
        <f>+ISNUMBER(PAGOS[[#This Row],[REG]])</f>
        <v>1</v>
      </c>
    </row>
    <row r="4" spans="1:13" x14ac:dyDescent="0.3">
      <c r="A4" s="50">
        <v>2</v>
      </c>
      <c r="B4" s="281" t="s">
        <v>532</v>
      </c>
      <c r="C4" s="52">
        <v>9</v>
      </c>
      <c r="D4" s="50" t="s">
        <v>17</v>
      </c>
      <c r="E4" s="203">
        <v>1</v>
      </c>
      <c r="F4" s="33">
        <v>30</v>
      </c>
      <c r="G4" s="51">
        <v>44849</v>
      </c>
      <c r="H4" s="363">
        <v>1</v>
      </c>
      <c r="I4" s="33">
        <v>1.2</v>
      </c>
      <c r="J4" s="51">
        <v>44849</v>
      </c>
      <c r="K4" s="367">
        <v>1</v>
      </c>
      <c r="L4" s="36" t="s">
        <v>334</v>
      </c>
      <c r="M4" s="228" t="b">
        <f>+ISNUMBER(PAGOS[[#This Row],[REG]])</f>
        <v>1</v>
      </c>
    </row>
    <row r="5" spans="1:13" x14ac:dyDescent="0.3">
      <c r="A5" s="50">
        <v>3</v>
      </c>
      <c r="B5" s="281" t="s">
        <v>532</v>
      </c>
      <c r="C5" s="52">
        <v>5</v>
      </c>
      <c r="D5" s="50" t="s">
        <v>14</v>
      </c>
      <c r="E5" s="203">
        <v>2</v>
      </c>
      <c r="F5" s="33">
        <v>50</v>
      </c>
      <c r="G5" s="51">
        <v>44880</v>
      </c>
      <c r="H5" s="363">
        <v>2</v>
      </c>
      <c r="I5" s="33">
        <v>2</v>
      </c>
      <c r="J5" s="51">
        <v>44880</v>
      </c>
      <c r="K5" s="367">
        <v>2</v>
      </c>
      <c r="L5" s="36" t="s">
        <v>335</v>
      </c>
      <c r="M5" s="228" t="b">
        <f>+ISNUMBER(PAGOS[[#This Row],[REG]])</f>
        <v>1</v>
      </c>
    </row>
    <row r="6" spans="1:13" x14ac:dyDescent="0.3">
      <c r="A6" s="50">
        <v>4</v>
      </c>
      <c r="B6" s="281" t="s">
        <v>532</v>
      </c>
      <c r="C6" s="52">
        <v>9</v>
      </c>
      <c r="D6" s="50" t="s">
        <v>17</v>
      </c>
      <c r="E6" s="203">
        <v>1</v>
      </c>
      <c r="F6" s="33">
        <v>30</v>
      </c>
      <c r="G6" s="51">
        <v>44880</v>
      </c>
      <c r="H6" s="363">
        <v>2</v>
      </c>
      <c r="I6" s="33">
        <v>1.2</v>
      </c>
      <c r="J6" s="51">
        <v>44880</v>
      </c>
      <c r="K6" s="367">
        <v>2</v>
      </c>
      <c r="L6" s="36" t="s">
        <v>335</v>
      </c>
      <c r="M6" s="228" t="b">
        <f>+ISNUMBER(PAGOS[[#This Row],[REG]])</f>
        <v>1</v>
      </c>
    </row>
    <row r="7" spans="1:13" x14ac:dyDescent="0.3">
      <c r="A7" s="50">
        <v>5</v>
      </c>
      <c r="B7" s="281" t="s">
        <v>532</v>
      </c>
      <c r="C7" s="52">
        <v>7</v>
      </c>
      <c r="D7" s="50" t="s">
        <v>15</v>
      </c>
      <c r="E7" s="203">
        <v>3</v>
      </c>
      <c r="F7" s="33">
        <v>200</v>
      </c>
      <c r="G7" s="51">
        <v>44880</v>
      </c>
      <c r="H7" s="363">
        <v>1</v>
      </c>
      <c r="I7" s="33">
        <v>4</v>
      </c>
      <c r="J7" s="51">
        <v>44880</v>
      </c>
      <c r="K7" s="367">
        <v>1</v>
      </c>
      <c r="L7" s="36" t="s">
        <v>334</v>
      </c>
      <c r="M7" s="228" t="b">
        <f>+ISNUMBER(PAGOS[[#This Row],[REG]])</f>
        <v>1</v>
      </c>
    </row>
    <row r="8" spans="1:13" x14ac:dyDescent="0.3">
      <c r="A8" s="50">
        <v>6</v>
      </c>
      <c r="B8" s="281" t="s">
        <v>532</v>
      </c>
      <c r="C8" s="52">
        <v>16</v>
      </c>
      <c r="D8" s="50" t="s">
        <v>23</v>
      </c>
      <c r="E8" s="283">
        <v>4</v>
      </c>
      <c r="F8" s="284">
        <v>100</v>
      </c>
      <c r="G8" s="285">
        <v>44910</v>
      </c>
      <c r="H8" s="364">
        <v>1</v>
      </c>
      <c r="I8" s="365">
        <v>4</v>
      </c>
      <c r="J8" s="285">
        <v>44910</v>
      </c>
      <c r="K8" s="368">
        <v>1</v>
      </c>
      <c r="L8" s="286" t="s">
        <v>334</v>
      </c>
      <c r="M8" s="228" t="b">
        <f>+ISNUMBER(PAGOS[[#This Row],[REG]])</f>
        <v>1</v>
      </c>
    </row>
    <row r="9" spans="1:13" s="17" customFormat="1" x14ac:dyDescent="0.3">
      <c r="A9" s="50">
        <v>7</v>
      </c>
      <c r="B9" s="281" t="s">
        <v>532</v>
      </c>
      <c r="C9" s="52">
        <v>11</v>
      </c>
      <c r="D9" s="50" t="s">
        <v>19</v>
      </c>
      <c r="E9" s="203">
        <v>5</v>
      </c>
      <c r="F9" s="33">
        <v>200</v>
      </c>
      <c r="G9" s="51">
        <v>44910</v>
      </c>
      <c r="H9" s="363">
        <v>1</v>
      </c>
      <c r="I9" s="33">
        <v>4</v>
      </c>
      <c r="J9" s="51">
        <v>44910</v>
      </c>
      <c r="K9" s="367">
        <v>1</v>
      </c>
      <c r="L9" s="36" t="s">
        <v>334</v>
      </c>
      <c r="M9" s="228" t="b">
        <f>+ISNUMBER(PAGOS[[#This Row],[REG]])</f>
        <v>1</v>
      </c>
    </row>
    <row r="10" spans="1:13" s="17" customFormat="1" x14ac:dyDescent="0.3">
      <c r="A10" s="50">
        <v>8</v>
      </c>
      <c r="B10" s="281" t="s">
        <v>530</v>
      </c>
      <c r="C10" s="240">
        <v>1</v>
      </c>
      <c r="D10" s="287" t="s">
        <v>70</v>
      </c>
      <c r="E10" s="283">
        <v>0</v>
      </c>
      <c r="F10" s="284">
        <v>0</v>
      </c>
      <c r="G10" s="285">
        <v>44921</v>
      </c>
      <c r="H10" s="364" t="s">
        <v>490</v>
      </c>
      <c r="I10" s="365">
        <v>10</v>
      </c>
      <c r="J10" s="285">
        <v>44921</v>
      </c>
      <c r="K10" s="368" t="s">
        <v>490</v>
      </c>
      <c r="L10" s="286" t="s">
        <v>75</v>
      </c>
      <c r="M10" s="228" t="b">
        <f>+ISNUMBER(PAGOS[[#This Row],[REG]])</f>
        <v>1</v>
      </c>
    </row>
    <row r="11" spans="1:13" s="17" customFormat="1" x14ac:dyDescent="0.3">
      <c r="A11" s="50">
        <v>9</v>
      </c>
      <c r="B11" s="281" t="s">
        <v>532</v>
      </c>
      <c r="C11" s="52">
        <v>4</v>
      </c>
      <c r="D11" s="50" t="s">
        <v>12</v>
      </c>
      <c r="E11" s="203">
        <v>7</v>
      </c>
      <c r="F11" s="284">
        <v>25</v>
      </c>
      <c r="G11" s="285">
        <v>44941</v>
      </c>
      <c r="H11" s="364">
        <v>1</v>
      </c>
      <c r="I11" s="365">
        <v>2</v>
      </c>
      <c r="J11" s="285">
        <v>44941</v>
      </c>
      <c r="K11" s="368">
        <v>1</v>
      </c>
      <c r="L11" s="286" t="s">
        <v>334</v>
      </c>
      <c r="M11" s="228" t="b">
        <f>+ISNUMBER(PAGOS[[#This Row],[REG]])</f>
        <v>1</v>
      </c>
    </row>
    <row r="12" spans="1:13" s="17" customFormat="1" x14ac:dyDescent="0.3">
      <c r="A12" s="50">
        <v>10</v>
      </c>
      <c r="B12" s="281" t="s">
        <v>532</v>
      </c>
      <c r="C12" s="52">
        <v>12</v>
      </c>
      <c r="D12" s="50" t="s">
        <v>20</v>
      </c>
      <c r="E12" s="203">
        <v>8</v>
      </c>
      <c r="F12" s="284">
        <v>25</v>
      </c>
      <c r="G12" s="285">
        <v>44941</v>
      </c>
      <c r="H12" s="364">
        <v>1</v>
      </c>
      <c r="I12" s="365">
        <v>2</v>
      </c>
      <c r="J12" s="285">
        <v>44941</v>
      </c>
      <c r="K12" s="368">
        <v>1</v>
      </c>
      <c r="L12" s="286" t="s">
        <v>334</v>
      </c>
      <c r="M12" s="228" t="b">
        <f>+ISNUMBER(PAGOS[[#This Row],[REG]])</f>
        <v>1</v>
      </c>
    </row>
    <row r="13" spans="1:13" s="17" customFormat="1" x14ac:dyDescent="0.3">
      <c r="A13" s="50">
        <v>11</v>
      </c>
      <c r="B13" s="281" t="s">
        <v>532</v>
      </c>
      <c r="C13" s="52">
        <v>14</v>
      </c>
      <c r="D13" s="50" t="s">
        <v>21</v>
      </c>
      <c r="E13" s="203">
        <v>9</v>
      </c>
      <c r="F13" s="33">
        <v>34</v>
      </c>
      <c r="G13" s="51">
        <v>44941</v>
      </c>
      <c r="H13" s="363">
        <v>1</v>
      </c>
      <c r="I13" s="33">
        <v>3.4</v>
      </c>
      <c r="J13" s="51">
        <v>44941</v>
      </c>
      <c r="K13" s="367">
        <v>1</v>
      </c>
      <c r="L13" s="36" t="s">
        <v>334</v>
      </c>
      <c r="M13" s="228" t="b">
        <f>+ISNUMBER(PAGOS[[#This Row],[REG]])</f>
        <v>1</v>
      </c>
    </row>
    <row r="14" spans="1:13" s="17" customFormat="1" x14ac:dyDescent="0.3">
      <c r="A14" s="50">
        <v>12</v>
      </c>
      <c r="B14" s="281" t="s">
        <v>532</v>
      </c>
      <c r="C14" s="52">
        <v>16</v>
      </c>
      <c r="D14" s="50" t="s">
        <v>23</v>
      </c>
      <c r="E14" s="203">
        <v>4</v>
      </c>
      <c r="F14" s="33">
        <v>100</v>
      </c>
      <c r="G14" s="51">
        <v>44941</v>
      </c>
      <c r="H14" s="363">
        <v>2</v>
      </c>
      <c r="I14" s="33">
        <v>4</v>
      </c>
      <c r="J14" s="51">
        <v>44941</v>
      </c>
      <c r="K14" s="367">
        <v>2</v>
      </c>
      <c r="L14" s="36" t="s">
        <v>335</v>
      </c>
      <c r="M14" s="228" t="b">
        <f>+ISNUMBER(PAGOS[[#This Row],[REG]])</f>
        <v>1</v>
      </c>
    </row>
    <row r="15" spans="1:13" s="17" customFormat="1" x14ac:dyDescent="0.3">
      <c r="A15" s="50">
        <v>13</v>
      </c>
      <c r="B15" s="281" t="s">
        <v>532</v>
      </c>
      <c r="C15" s="52">
        <v>4</v>
      </c>
      <c r="D15" s="50" t="s">
        <v>12</v>
      </c>
      <c r="E15" s="203">
        <v>7</v>
      </c>
      <c r="F15" s="284">
        <v>25</v>
      </c>
      <c r="G15" s="285">
        <v>44972</v>
      </c>
      <c r="H15" s="364">
        <v>2</v>
      </c>
      <c r="I15" s="365">
        <v>2</v>
      </c>
      <c r="J15" s="285">
        <v>44972</v>
      </c>
      <c r="K15" s="368">
        <v>2</v>
      </c>
      <c r="L15" s="286" t="s">
        <v>335</v>
      </c>
      <c r="M15" s="228" t="b">
        <f>+ISNUMBER(PAGOS[[#This Row],[REG]])</f>
        <v>1</v>
      </c>
    </row>
    <row r="16" spans="1:13" s="17" customFormat="1" x14ac:dyDescent="0.3">
      <c r="A16" s="50">
        <v>14</v>
      </c>
      <c r="B16" s="281" t="s">
        <v>532</v>
      </c>
      <c r="C16" s="52">
        <v>12</v>
      </c>
      <c r="D16" s="50" t="s">
        <v>20</v>
      </c>
      <c r="E16" s="203">
        <v>8</v>
      </c>
      <c r="F16" s="284">
        <v>25</v>
      </c>
      <c r="G16" s="285">
        <v>44972</v>
      </c>
      <c r="H16" s="364">
        <v>2</v>
      </c>
      <c r="I16" s="365">
        <v>2</v>
      </c>
      <c r="J16" s="285">
        <v>44972</v>
      </c>
      <c r="K16" s="368">
        <v>2</v>
      </c>
      <c r="L16" s="286" t="s">
        <v>335</v>
      </c>
      <c r="M16" s="228" t="b">
        <f>+ISNUMBER(PAGOS[[#This Row],[REG]])</f>
        <v>1</v>
      </c>
    </row>
    <row r="17" spans="1:13" s="17" customFormat="1" x14ac:dyDescent="0.3">
      <c r="A17" s="50">
        <v>15</v>
      </c>
      <c r="B17" s="281" t="s">
        <v>532</v>
      </c>
      <c r="C17" s="52">
        <v>9</v>
      </c>
      <c r="D17" s="50" t="s">
        <v>17</v>
      </c>
      <c r="E17" s="203">
        <v>11</v>
      </c>
      <c r="F17" s="33">
        <v>25</v>
      </c>
      <c r="G17" s="51">
        <v>44972</v>
      </c>
      <c r="H17" s="363">
        <v>1</v>
      </c>
      <c r="I17" s="33">
        <v>2</v>
      </c>
      <c r="J17" s="51">
        <v>44972</v>
      </c>
      <c r="K17" s="367">
        <v>1</v>
      </c>
      <c r="L17" s="36" t="s">
        <v>76</v>
      </c>
      <c r="M17" s="228" t="b">
        <f>+ISNUMBER(PAGOS[[#This Row],[REG]])</f>
        <v>1</v>
      </c>
    </row>
    <row r="18" spans="1:13" s="17" customFormat="1" x14ac:dyDescent="0.3">
      <c r="A18" s="50">
        <v>16</v>
      </c>
      <c r="B18" s="281" t="s">
        <v>532</v>
      </c>
      <c r="C18" s="52">
        <v>15</v>
      </c>
      <c r="D18" s="50" t="s">
        <v>22</v>
      </c>
      <c r="E18" s="203">
        <v>10</v>
      </c>
      <c r="F18" s="33">
        <v>66.67</v>
      </c>
      <c r="G18" s="51">
        <v>44972</v>
      </c>
      <c r="H18" s="363">
        <v>1</v>
      </c>
      <c r="I18" s="33">
        <v>4</v>
      </c>
      <c r="J18" s="51">
        <v>44972</v>
      </c>
      <c r="K18" s="367">
        <v>1</v>
      </c>
      <c r="L18" s="36" t="s">
        <v>76</v>
      </c>
      <c r="M18" s="228" t="b">
        <f>+ISNUMBER(PAGOS[[#This Row],[REG]])</f>
        <v>1</v>
      </c>
    </row>
    <row r="19" spans="1:13" s="17" customFormat="1" x14ac:dyDescent="0.3">
      <c r="A19" s="50">
        <v>17</v>
      </c>
      <c r="B19" s="281" t="s">
        <v>532</v>
      </c>
      <c r="C19" s="52">
        <v>14</v>
      </c>
      <c r="D19" s="50" t="s">
        <v>21</v>
      </c>
      <c r="E19" s="203">
        <v>9</v>
      </c>
      <c r="F19" s="33">
        <v>34</v>
      </c>
      <c r="G19" s="51">
        <v>44972</v>
      </c>
      <c r="H19" s="363">
        <v>2</v>
      </c>
      <c r="I19" s="33">
        <v>3.4</v>
      </c>
      <c r="J19" s="51">
        <v>44972</v>
      </c>
      <c r="K19" s="367">
        <v>2</v>
      </c>
      <c r="L19" s="36" t="s">
        <v>335</v>
      </c>
      <c r="M19" s="228" t="b">
        <f>+ISNUMBER(PAGOS[[#This Row],[REG]])</f>
        <v>1</v>
      </c>
    </row>
    <row r="20" spans="1:13" s="17" customFormat="1" x14ac:dyDescent="0.3">
      <c r="A20" s="50">
        <v>18</v>
      </c>
      <c r="B20" s="281" t="s">
        <v>532</v>
      </c>
      <c r="C20" s="52">
        <v>4</v>
      </c>
      <c r="D20" s="50" t="s">
        <v>12</v>
      </c>
      <c r="E20" s="203">
        <v>7</v>
      </c>
      <c r="F20" s="284">
        <v>25</v>
      </c>
      <c r="G20" s="285">
        <v>45000</v>
      </c>
      <c r="H20" s="364">
        <v>3</v>
      </c>
      <c r="I20" s="365">
        <v>2</v>
      </c>
      <c r="J20" s="285">
        <v>45000</v>
      </c>
      <c r="K20" s="368">
        <v>3</v>
      </c>
      <c r="L20" s="286" t="s">
        <v>337</v>
      </c>
      <c r="M20" s="228" t="b">
        <f>+ISNUMBER(PAGOS[[#This Row],[REG]])</f>
        <v>1</v>
      </c>
    </row>
    <row r="21" spans="1:13" s="17" customFormat="1" x14ac:dyDescent="0.3">
      <c r="A21" s="50">
        <v>19</v>
      </c>
      <c r="B21" s="281" t="s">
        <v>532</v>
      </c>
      <c r="C21" s="52">
        <v>12</v>
      </c>
      <c r="D21" s="50" t="s">
        <v>20</v>
      </c>
      <c r="E21" s="203">
        <v>8</v>
      </c>
      <c r="F21" s="284">
        <v>25</v>
      </c>
      <c r="G21" s="285">
        <v>45000</v>
      </c>
      <c r="H21" s="364">
        <v>3</v>
      </c>
      <c r="I21" s="365">
        <v>2</v>
      </c>
      <c r="J21" s="285">
        <v>45000</v>
      </c>
      <c r="K21" s="368">
        <v>3</v>
      </c>
      <c r="L21" s="286" t="s">
        <v>337</v>
      </c>
      <c r="M21" s="228" t="b">
        <f>+ISNUMBER(PAGOS[[#This Row],[REG]])</f>
        <v>1</v>
      </c>
    </row>
    <row r="22" spans="1:13" s="17" customFormat="1" x14ac:dyDescent="0.3">
      <c r="A22" s="50">
        <v>20</v>
      </c>
      <c r="B22" s="281" t="s">
        <v>532</v>
      </c>
      <c r="C22" s="52">
        <v>10</v>
      </c>
      <c r="D22" s="50" t="s">
        <v>18</v>
      </c>
      <c r="E22" s="203">
        <v>13</v>
      </c>
      <c r="F22" s="33">
        <v>25</v>
      </c>
      <c r="G22" s="51">
        <v>45000</v>
      </c>
      <c r="H22" s="363">
        <v>1</v>
      </c>
      <c r="I22" s="33">
        <v>2</v>
      </c>
      <c r="J22" s="51">
        <v>45000</v>
      </c>
      <c r="K22" s="367">
        <v>1</v>
      </c>
      <c r="L22" s="36" t="s">
        <v>76</v>
      </c>
      <c r="M22" s="228" t="b">
        <f>+ISNUMBER(PAGOS[[#This Row],[REG]])</f>
        <v>1</v>
      </c>
    </row>
    <row r="23" spans="1:13" s="17" customFormat="1" x14ac:dyDescent="0.3">
      <c r="A23" s="50">
        <v>21</v>
      </c>
      <c r="B23" s="281" t="s">
        <v>532</v>
      </c>
      <c r="C23" s="52">
        <v>5</v>
      </c>
      <c r="D23" s="50" t="s">
        <v>14</v>
      </c>
      <c r="E23" s="203">
        <v>12</v>
      </c>
      <c r="F23" s="33">
        <v>100</v>
      </c>
      <c r="G23" s="51">
        <v>45000</v>
      </c>
      <c r="H23" s="363">
        <v>1</v>
      </c>
      <c r="I23" s="33">
        <v>6</v>
      </c>
      <c r="J23" s="51">
        <v>45000</v>
      </c>
      <c r="K23" s="367">
        <v>1</v>
      </c>
      <c r="L23" s="36" t="s">
        <v>76</v>
      </c>
      <c r="M23" s="228" t="b">
        <f>+ISNUMBER(PAGOS[[#This Row],[REG]])</f>
        <v>1</v>
      </c>
    </row>
    <row r="24" spans="1:13" s="17" customFormat="1" x14ac:dyDescent="0.3">
      <c r="A24" s="50">
        <v>22</v>
      </c>
      <c r="B24" s="281" t="s">
        <v>532</v>
      </c>
      <c r="C24" s="52">
        <v>9</v>
      </c>
      <c r="D24" s="50" t="s">
        <v>17</v>
      </c>
      <c r="E24" s="203">
        <v>11</v>
      </c>
      <c r="F24" s="33">
        <v>25</v>
      </c>
      <c r="G24" s="51">
        <v>45000</v>
      </c>
      <c r="H24" s="363">
        <v>2</v>
      </c>
      <c r="I24" s="33">
        <v>2</v>
      </c>
      <c r="J24" s="51">
        <v>45000</v>
      </c>
      <c r="K24" s="367">
        <v>2</v>
      </c>
      <c r="L24" s="36" t="s">
        <v>77</v>
      </c>
      <c r="M24" s="228" t="b">
        <f>+ISNUMBER(PAGOS[[#This Row],[REG]])</f>
        <v>1</v>
      </c>
    </row>
    <row r="25" spans="1:13" s="17" customFormat="1" x14ac:dyDescent="0.3">
      <c r="A25" s="50">
        <v>23</v>
      </c>
      <c r="B25" s="281" t="s">
        <v>532</v>
      </c>
      <c r="C25" s="52">
        <v>15</v>
      </c>
      <c r="D25" s="50" t="s">
        <v>22</v>
      </c>
      <c r="E25" s="203">
        <v>10</v>
      </c>
      <c r="F25" s="33">
        <v>66.67</v>
      </c>
      <c r="G25" s="51">
        <v>45000</v>
      </c>
      <c r="H25" s="363">
        <v>2</v>
      </c>
      <c r="I25" s="33">
        <v>4</v>
      </c>
      <c r="J25" s="51">
        <v>45000</v>
      </c>
      <c r="K25" s="367">
        <v>2</v>
      </c>
      <c r="L25" s="36" t="s">
        <v>78</v>
      </c>
      <c r="M25" s="228" t="b">
        <f>+ISNUMBER(PAGOS[[#This Row],[REG]])</f>
        <v>1</v>
      </c>
    </row>
    <row r="26" spans="1:13" s="17" customFormat="1" x14ac:dyDescent="0.3">
      <c r="A26" s="50">
        <v>24</v>
      </c>
      <c r="B26" s="281" t="s">
        <v>532</v>
      </c>
      <c r="C26" s="52">
        <v>14</v>
      </c>
      <c r="D26" s="50" t="s">
        <v>21</v>
      </c>
      <c r="E26" s="203">
        <v>9</v>
      </c>
      <c r="F26" s="33">
        <v>34</v>
      </c>
      <c r="G26" s="51">
        <v>45000</v>
      </c>
      <c r="H26" s="363">
        <v>3</v>
      </c>
      <c r="I26" s="33">
        <v>3.4</v>
      </c>
      <c r="J26" s="51">
        <v>45000</v>
      </c>
      <c r="K26" s="367">
        <v>3</v>
      </c>
      <c r="L26" s="36" t="s">
        <v>337</v>
      </c>
      <c r="M26" s="228" t="b">
        <f>+ISNUMBER(PAGOS[[#This Row],[REG]])</f>
        <v>1</v>
      </c>
    </row>
    <row r="27" spans="1:13" s="17" customFormat="1" x14ac:dyDescent="0.3">
      <c r="A27" s="50">
        <v>25</v>
      </c>
      <c r="B27" s="281" t="s">
        <v>532</v>
      </c>
      <c r="C27" s="52">
        <v>4</v>
      </c>
      <c r="D27" s="50" t="s">
        <v>12</v>
      </c>
      <c r="E27" s="203">
        <v>7</v>
      </c>
      <c r="F27" s="284">
        <v>25</v>
      </c>
      <c r="G27" s="285">
        <v>45031</v>
      </c>
      <c r="H27" s="364">
        <v>4</v>
      </c>
      <c r="I27" s="365">
        <v>2</v>
      </c>
      <c r="J27" s="285">
        <v>45031</v>
      </c>
      <c r="K27" s="368">
        <v>4</v>
      </c>
      <c r="L27" s="286" t="s">
        <v>338</v>
      </c>
      <c r="M27" s="228" t="b">
        <f>+ISNUMBER(PAGOS[[#This Row],[REG]])</f>
        <v>1</v>
      </c>
    </row>
    <row r="28" spans="1:13" s="17" customFormat="1" x14ac:dyDescent="0.3">
      <c r="A28" s="50">
        <v>26</v>
      </c>
      <c r="B28" s="281" t="s">
        <v>532</v>
      </c>
      <c r="C28" s="52">
        <v>12</v>
      </c>
      <c r="D28" s="50" t="s">
        <v>20</v>
      </c>
      <c r="E28" s="203">
        <v>8</v>
      </c>
      <c r="F28" s="284">
        <v>25</v>
      </c>
      <c r="G28" s="285">
        <v>45031</v>
      </c>
      <c r="H28" s="364">
        <v>4</v>
      </c>
      <c r="I28" s="365">
        <v>2</v>
      </c>
      <c r="J28" s="285">
        <v>45031</v>
      </c>
      <c r="K28" s="368">
        <v>4</v>
      </c>
      <c r="L28" s="286" t="s">
        <v>338</v>
      </c>
      <c r="M28" s="228" t="b">
        <f>+ISNUMBER(PAGOS[[#This Row],[REG]])</f>
        <v>1</v>
      </c>
    </row>
    <row r="29" spans="1:13" s="17" customFormat="1" x14ac:dyDescent="0.3">
      <c r="A29" s="50">
        <v>27</v>
      </c>
      <c r="B29" s="281" t="s">
        <v>532</v>
      </c>
      <c r="C29" s="52">
        <v>6</v>
      </c>
      <c r="D29" s="50" t="s">
        <v>24</v>
      </c>
      <c r="E29" s="203">
        <v>15</v>
      </c>
      <c r="F29" s="33">
        <v>80</v>
      </c>
      <c r="G29" s="51">
        <v>45031</v>
      </c>
      <c r="H29" s="363">
        <v>1</v>
      </c>
      <c r="I29" s="33">
        <v>1.6</v>
      </c>
      <c r="J29" s="51">
        <v>45031</v>
      </c>
      <c r="K29" s="367">
        <v>1</v>
      </c>
      <c r="L29" s="36" t="s">
        <v>79</v>
      </c>
      <c r="M29" s="228" t="b">
        <f>+ISNUMBER(PAGOS[[#This Row],[REG]])</f>
        <v>1</v>
      </c>
    </row>
    <row r="30" spans="1:13" s="17" customFormat="1" x14ac:dyDescent="0.3">
      <c r="A30" s="50">
        <v>28</v>
      </c>
      <c r="B30" s="281" t="s">
        <v>532</v>
      </c>
      <c r="C30" s="52">
        <v>7</v>
      </c>
      <c r="D30" s="50" t="s">
        <v>15</v>
      </c>
      <c r="E30" s="203">
        <v>14</v>
      </c>
      <c r="F30" s="33">
        <v>100</v>
      </c>
      <c r="G30" s="51">
        <v>45031</v>
      </c>
      <c r="H30" s="363">
        <v>1</v>
      </c>
      <c r="I30" s="33">
        <v>8</v>
      </c>
      <c r="J30" s="51">
        <v>45031</v>
      </c>
      <c r="K30" s="367">
        <v>1</v>
      </c>
      <c r="L30" s="36" t="s">
        <v>76</v>
      </c>
      <c r="M30" s="228" t="b">
        <f>+ISNUMBER(PAGOS[[#This Row],[REG]])</f>
        <v>1</v>
      </c>
    </row>
    <row r="31" spans="1:13" s="17" customFormat="1" x14ac:dyDescent="0.3">
      <c r="A31" s="50">
        <v>29</v>
      </c>
      <c r="B31" s="281" t="s">
        <v>532</v>
      </c>
      <c r="C31" s="52">
        <v>10</v>
      </c>
      <c r="D31" s="50" t="s">
        <v>18</v>
      </c>
      <c r="E31" s="203">
        <v>13</v>
      </c>
      <c r="F31" s="33">
        <v>25</v>
      </c>
      <c r="G31" s="51">
        <v>45031</v>
      </c>
      <c r="H31" s="363">
        <v>2</v>
      </c>
      <c r="I31" s="33">
        <v>2</v>
      </c>
      <c r="J31" s="51">
        <v>45031</v>
      </c>
      <c r="K31" s="367">
        <v>2</v>
      </c>
      <c r="L31" s="36" t="s">
        <v>77</v>
      </c>
      <c r="M31" s="228" t="b">
        <f>+ISNUMBER(PAGOS[[#This Row],[REG]])</f>
        <v>1</v>
      </c>
    </row>
    <row r="32" spans="1:13" s="17" customFormat="1" x14ac:dyDescent="0.3">
      <c r="A32" s="50">
        <v>30</v>
      </c>
      <c r="B32" s="281" t="s">
        <v>532</v>
      </c>
      <c r="C32" s="52">
        <v>5</v>
      </c>
      <c r="D32" s="50" t="s">
        <v>14</v>
      </c>
      <c r="E32" s="203">
        <v>12</v>
      </c>
      <c r="F32" s="33">
        <v>100</v>
      </c>
      <c r="G32" s="51">
        <v>45031</v>
      </c>
      <c r="H32" s="363">
        <v>2</v>
      </c>
      <c r="I32" s="33">
        <v>6</v>
      </c>
      <c r="J32" s="51">
        <v>45031</v>
      </c>
      <c r="K32" s="367">
        <v>2</v>
      </c>
      <c r="L32" s="36" t="s">
        <v>77</v>
      </c>
      <c r="M32" s="228" t="b">
        <f>+ISNUMBER(PAGOS[[#This Row],[REG]])</f>
        <v>1</v>
      </c>
    </row>
    <row r="33" spans="1:13" s="17" customFormat="1" x14ac:dyDescent="0.3">
      <c r="A33" s="50">
        <v>31</v>
      </c>
      <c r="B33" s="281" t="s">
        <v>532</v>
      </c>
      <c r="C33" s="52">
        <v>9</v>
      </c>
      <c r="D33" s="50" t="s">
        <v>17</v>
      </c>
      <c r="E33" s="203">
        <v>11</v>
      </c>
      <c r="F33" s="33">
        <v>25</v>
      </c>
      <c r="G33" s="51">
        <v>45031</v>
      </c>
      <c r="H33" s="363">
        <v>3</v>
      </c>
      <c r="I33" s="33">
        <v>2</v>
      </c>
      <c r="J33" s="51">
        <v>45031</v>
      </c>
      <c r="K33" s="367">
        <v>3</v>
      </c>
      <c r="L33" s="36" t="s">
        <v>80</v>
      </c>
      <c r="M33" s="228" t="b">
        <f>+ISNUMBER(PAGOS[[#This Row],[REG]])</f>
        <v>1</v>
      </c>
    </row>
    <row r="34" spans="1:13" s="17" customFormat="1" x14ac:dyDescent="0.3">
      <c r="A34" s="50">
        <v>32</v>
      </c>
      <c r="B34" s="281" t="s">
        <v>532</v>
      </c>
      <c r="C34" s="52">
        <v>15</v>
      </c>
      <c r="D34" s="50" t="s">
        <v>22</v>
      </c>
      <c r="E34" s="203">
        <v>10</v>
      </c>
      <c r="F34" s="33">
        <v>66.66</v>
      </c>
      <c r="G34" s="51">
        <v>45031</v>
      </c>
      <c r="H34" s="363">
        <v>3</v>
      </c>
      <c r="I34" s="33">
        <v>4</v>
      </c>
      <c r="J34" s="51">
        <v>45031</v>
      </c>
      <c r="K34" s="367">
        <v>3</v>
      </c>
      <c r="L34" s="36" t="s">
        <v>81</v>
      </c>
      <c r="M34" s="228" t="b">
        <f>+ISNUMBER(PAGOS[[#This Row],[REG]])</f>
        <v>1</v>
      </c>
    </row>
    <row r="35" spans="1:13" s="17" customFormat="1" x14ac:dyDescent="0.3">
      <c r="A35" s="50">
        <v>33</v>
      </c>
      <c r="B35" s="281" t="s">
        <v>532</v>
      </c>
      <c r="C35" s="52">
        <v>14</v>
      </c>
      <c r="D35" s="50" t="s">
        <v>21</v>
      </c>
      <c r="E35" s="203">
        <v>9</v>
      </c>
      <c r="F35" s="33">
        <v>34</v>
      </c>
      <c r="G35" s="51">
        <v>45031</v>
      </c>
      <c r="H35" s="363">
        <v>4</v>
      </c>
      <c r="I35" s="33">
        <v>3.4</v>
      </c>
      <c r="J35" s="51">
        <v>45031</v>
      </c>
      <c r="K35" s="367">
        <v>4</v>
      </c>
      <c r="L35" s="36" t="s">
        <v>338</v>
      </c>
      <c r="M35" s="228" t="b">
        <f>+ISNUMBER(PAGOS[[#This Row],[REG]])</f>
        <v>1</v>
      </c>
    </row>
    <row r="36" spans="1:13" s="17" customFormat="1" x14ac:dyDescent="0.3">
      <c r="A36" s="50">
        <v>34</v>
      </c>
      <c r="B36" s="281" t="s">
        <v>532</v>
      </c>
      <c r="C36" s="52">
        <v>4</v>
      </c>
      <c r="D36" s="50" t="s">
        <v>12</v>
      </c>
      <c r="E36" s="203">
        <v>17</v>
      </c>
      <c r="F36" s="33">
        <v>25</v>
      </c>
      <c r="G36" s="51">
        <v>45061</v>
      </c>
      <c r="H36" s="363">
        <v>1</v>
      </c>
      <c r="I36" s="33">
        <v>2</v>
      </c>
      <c r="J36" s="51">
        <v>45061</v>
      </c>
      <c r="K36" s="367">
        <v>1</v>
      </c>
      <c r="L36" s="36" t="s">
        <v>76</v>
      </c>
      <c r="M36" s="228" t="b">
        <f>+ISNUMBER(PAGOS[[#This Row],[REG]])</f>
        <v>1</v>
      </c>
    </row>
    <row r="37" spans="1:13" s="17" customFormat="1" x14ac:dyDescent="0.3">
      <c r="A37" s="50">
        <v>35</v>
      </c>
      <c r="B37" s="281" t="s">
        <v>532</v>
      </c>
      <c r="C37" s="52">
        <v>12</v>
      </c>
      <c r="D37" s="50" t="s">
        <v>20</v>
      </c>
      <c r="E37" s="203">
        <v>16</v>
      </c>
      <c r="F37" s="33">
        <v>50</v>
      </c>
      <c r="G37" s="51">
        <v>45061</v>
      </c>
      <c r="H37" s="363">
        <v>1</v>
      </c>
      <c r="I37" s="33">
        <v>4</v>
      </c>
      <c r="J37" s="51">
        <v>45061</v>
      </c>
      <c r="K37" s="367">
        <v>1</v>
      </c>
      <c r="L37" s="36" t="s">
        <v>76</v>
      </c>
      <c r="M37" s="228" t="b">
        <f>+ISNUMBER(PAGOS[[#This Row],[REG]])</f>
        <v>1</v>
      </c>
    </row>
    <row r="38" spans="1:13" s="17" customFormat="1" x14ac:dyDescent="0.3">
      <c r="A38" s="50">
        <v>36</v>
      </c>
      <c r="B38" s="281" t="s">
        <v>532</v>
      </c>
      <c r="C38" s="52">
        <v>7</v>
      </c>
      <c r="D38" s="50" t="s">
        <v>15</v>
      </c>
      <c r="E38" s="203">
        <v>14</v>
      </c>
      <c r="F38" s="33">
        <v>100</v>
      </c>
      <c r="G38" s="51">
        <v>45061</v>
      </c>
      <c r="H38" s="363">
        <v>2</v>
      </c>
      <c r="I38" s="33">
        <v>8</v>
      </c>
      <c r="J38" s="51">
        <v>45061</v>
      </c>
      <c r="K38" s="367">
        <v>2</v>
      </c>
      <c r="L38" s="36" t="s">
        <v>77</v>
      </c>
      <c r="M38" s="228" t="b">
        <f>+ISNUMBER(PAGOS[[#This Row],[REG]])</f>
        <v>1</v>
      </c>
    </row>
    <row r="39" spans="1:13" s="17" customFormat="1" x14ac:dyDescent="0.3">
      <c r="A39" s="50">
        <v>37</v>
      </c>
      <c r="B39" s="281" t="s">
        <v>532</v>
      </c>
      <c r="C39" s="52">
        <v>10</v>
      </c>
      <c r="D39" s="50" t="s">
        <v>18</v>
      </c>
      <c r="E39" s="203">
        <v>13</v>
      </c>
      <c r="F39" s="33">
        <v>25</v>
      </c>
      <c r="G39" s="51">
        <v>45061</v>
      </c>
      <c r="H39" s="363">
        <v>3</v>
      </c>
      <c r="I39" s="33">
        <v>2</v>
      </c>
      <c r="J39" s="51">
        <v>45061</v>
      </c>
      <c r="K39" s="367">
        <v>3</v>
      </c>
      <c r="L39" s="36" t="s">
        <v>80</v>
      </c>
      <c r="M39" s="228" t="b">
        <f>+ISNUMBER(PAGOS[[#This Row],[REG]])</f>
        <v>1</v>
      </c>
    </row>
    <row r="40" spans="1:13" s="17" customFormat="1" x14ac:dyDescent="0.3">
      <c r="A40" s="50">
        <v>38</v>
      </c>
      <c r="B40" s="281" t="s">
        <v>532</v>
      </c>
      <c r="C40" s="52">
        <v>5</v>
      </c>
      <c r="D40" s="50" t="s">
        <v>14</v>
      </c>
      <c r="E40" s="203">
        <v>12</v>
      </c>
      <c r="F40" s="33">
        <v>100</v>
      </c>
      <c r="G40" s="51">
        <v>45061</v>
      </c>
      <c r="H40" s="363">
        <v>3</v>
      </c>
      <c r="I40" s="33">
        <v>6</v>
      </c>
      <c r="J40" s="51">
        <v>45061</v>
      </c>
      <c r="K40" s="367">
        <v>3</v>
      </c>
      <c r="L40" s="36" t="s">
        <v>80</v>
      </c>
      <c r="M40" s="228" t="b">
        <f>+ISNUMBER(PAGOS[[#This Row],[REG]])</f>
        <v>1</v>
      </c>
    </row>
    <row r="41" spans="1:13" s="17" customFormat="1" x14ac:dyDescent="0.3">
      <c r="A41" s="50">
        <v>39</v>
      </c>
      <c r="B41" s="281" t="s">
        <v>532</v>
      </c>
      <c r="C41" s="52">
        <v>9</v>
      </c>
      <c r="D41" s="50" t="s">
        <v>17</v>
      </c>
      <c r="E41" s="203">
        <v>11</v>
      </c>
      <c r="F41" s="33">
        <v>25</v>
      </c>
      <c r="G41" s="51">
        <v>45061</v>
      </c>
      <c r="H41" s="363">
        <v>4</v>
      </c>
      <c r="I41" s="33">
        <v>2</v>
      </c>
      <c r="J41" s="51">
        <v>45061</v>
      </c>
      <c r="K41" s="367">
        <v>4</v>
      </c>
      <c r="L41" s="36" t="s">
        <v>82</v>
      </c>
      <c r="M41" s="228" t="b">
        <f>+ISNUMBER(PAGOS[[#This Row],[REG]])</f>
        <v>1</v>
      </c>
    </row>
    <row r="42" spans="1:13" s="17" customFormat="1" x14ac:dyDescent="0.3">
      <c r="A42" s="50">
        <v>40</v>
      </c>
      <c r="B42" s="281" t="s">
        <v>532</v>
      </c>
      <c r="C42" s="52">
        <v>14</v>
      </c>
      <c r="D42" s="50" t="s">
        <v>21</v>
      </c>
      <c r="E42" s="203">
        <v>9</v>
      </c>
      <c r="F42" s="33">
        <v>34</v>
      </c>
      <c r="G42" s="51">
        <v>45061</v>
      </c>
      <c r="H42" s="363">
        <v>5</v>
      </c>
      <c r="I42" s="33">
        <v>3.4</v>
      </c>
      <c r="J42" s="51">
        <v>45061</v>
      </c>
      <c r="K42" s="367">
        <v>5</v>
      </c>
      <c r="L42" s="36" t="s">
        <v>339</v>
      </c>
      <c r="M42" s="228" t="b">
        <f>+ISNUMBER(PAGOS[[#This Row],[REG]])</f>
        <v>1</v>
      </c>
    </row>
    <row r="43" spans="1:13" s="17" customFormat="1" x14ac:dyDescent="0.3">
      <c r="A43" s="50">
        <v>41</v>
      </c>
      <c r="B43" s="281" t="s">
        <v>532</v>
      </c>
      <c r="C43" s="52">
        <v>9</v>
      </c>
      <c r="D43" s="50" t="s">
        <v>17</v>
      </c>
      <c r="E43" s="203">
        <v>19</v>
      </c>
      <c r="F43" s="33">
        <v>25</v>
      </c>
      <c r="G43" s="51">
        <v>45092</v>
      </c>
      <c r="H43" s="363">
        <v>1</v>
      </c>
      <c r="I43" s="33">
        <v>2</v>
      </c>
      <c r="J43" s="51">
        <v>45092</v>
      </c>
      <c r="K43" s="367">
        <v>1</v>
      </c>
      <c r="L43" s="36" t="s">
        <v>76</v>
      </c>
      <c r="M43" s="228" t="b">
        <f>+ISNUMBER(PAGOS[[#This Row],[REG]])</f>
        <v>1</v>
      </c>
    </row>
    <row r="44" spans="1:13" s="17" customFormat="1" x14ac:dyDescent="0.3">
      <c r="A44" s="50">
        <v>42</v>
      </c>
      <c r="B44" s="281" t="s">
        <v>532</v>
      </c>
      <c r="C44" s="52">
        <v>8</v>
      </c>
      <c r="D44" s="50" t="s">
        <v>16</v>
      </c>
      <c r="E44" s="203">
        <v>18</v>
      </c>
      <c r="F44" s="33">
        <v>100</v>
      </c>
      <c r="G44" s="51">
        <v>45092</v>
      </c>
      <c r="H44" s="363">
        <v>1</v>
      </c>
      <c r="I44" s="33">
        <v>4</v>
      </c>
      <c r="J44" s="51">
        <v>45092</v>
      </c>
      <c r="K44" s="367">
        <v>1</v>
      </c>
      <c r="L44" s="36" t="s">
        <v>76</v>
      </c>
      <c r="M44" s="228" t="b">
        <f>+ISNUMBER(PAGOS[[#This Row],[REG]])</f>
        <v>1</v>
      </c>
    </row>
    <row r="45" spans="1:13" s="17" customFormat="1" x14ac:dyDescent="0.3">
      <c r="A45" s="50">
        <v>43</v>
      </c>
      <c r="B45" s="281" t="s">
        <v>532</v>
      </c>
      <c r="C45" s="52">
        <v>4</v>
      </c>
      <c r="D45" s="50" t="s">
        <v>12</v>
      </c>
      <c r="E45" s="203">
        <v>17</v>
      </c>
      <c r="F45" s="33">
        <v>25</v>
      </c>
      <c r="G45" s="51">
        <v>45092</v>
      </c>
      <c r="H45" s="363">
        <v>2</v>
      </c>
      <c r="I45" s="33">
        <v>2</v>
      </c>
      <c r="J45" s="51">
        <v>45092</v>
      </c>
      <c r="K45" s="367">
        <v>2</v>
      </c>
      <c r="L45" s="36" t="s">
        <v>77</v>
      </c>
      <c r="M45" s="228" t="b">
        <f>+ISNUMBER(PAGOS[[#This Row],[REG]])</f>
        <v>1</v>
      </c>
    </row>
    <row r="46" spans="1:13" s="17" customFormat="1" x14ac:dyDescent="0.3">
      <c r="A46" s="50">
        <v>44</v>
      </c>
      <c r="B46" s="281" t="s">
        <v>532</v>
      </c>
      <c r="C46" s="52">
        <v>12</v>
      </c>
      <c r="D46" s="50" t="s">
        <v>20</v>
      </c>
      <c r="E46" s="203">
        <v>16</v>
      </c>
      <c r="F46" s="33">
        <v>50</v>
      </c>
      <c r="G46" s="51">
        <v>45092</v>
      </c>
      <c r="H46" s="363">
        <v>2</v>
      </c>
      <c r="I46" s="33">
        <v>4</v>
      </c>
      <c r="J46" s="51">
        <v>45092</v>
      </c>
      <c r="K46" s="367">
        <v>2</v>
      </c>
      <c r="L46" s="36" t="s">
        <v>77</v>
      </c>
      <c r="M46" s="228" t="b">
        <f>+ISNUMBER(PAGOS[[#This Row],[REG]])</f>
        <v>1</v>
      </c>
    </row>
    <row r="47" spans="1:13" s="17" customFormat="1" x14ac:dyDescent="0.3">
      <c r="A47" s="50">
        <v>45</v>
      </c>
      <c r="B47" s="281" t="s">
        <v>532</v>
      </c>
      <c r="C47" s="52">
        <v>7</v>
      </c>
      <c r="D47" s="50" t="s">
        <v>15</v>
      </c>
      <c r="E47" s="203">
        <v>14</v>
      </c>
      <c r="F47" s="33">
        <v>100</v>
      </c>
      <c r="G47" s="51">
        <v>45092</v>
      </c>
      <c r="H47" s="363">
        <v>3</v>
      </c>
      <c r="I47" s="33">
        <v>8</v>
      </c>
      <c r="J47" s="51">
        <v>45092</v>
      </c>
      <c r="K47" s="367">
        <v>3</v>
      </c>
      <c r="L47" s="36" t="s">
        <v>81</v>
      </c>
      <c r="M47" s="228" t="b">
        <f>+ISNUMBER(PAGOS[[#This Row],[REG]])</f>
        <v>1</v>
      </c>
    </row>
    <row r="48" spans="1:13" s="17" customFormat="1" x14ac:dyDescent="0.3">
      <c r="A48" s="50">
        <v>46</v>
      </c>
      <c r="B48" s="281" t="s">
        <v>532</v>
      </c>
      <c r="C48" s="52">
        <v>10</v>
      </c>
      <c r="D48" s="50" t="s">
        <v>18</v>
      </c>
      <c r="E48" s="203">
        <v>13</v>
      </c>
      <c r="F48" s="33">
        <v>25</v>
      </c>
      <c r="G48" s="51">
        <v>45092</v>
      </c>
      <c r="H48" s="363">
        <v>4</v>
      </c>
      <c r="I48" s="33">
        <v>2</v>
      </c>
      <c r="J48" s="51">
        <v>45092</v>
      </c>
      <c r="K48" s="367">
        <v>4</v>
      </c>
      <c r="L48" s="36" t="s">
        <v>82</v>
      </c>
      <c r="M48" s="228" t="b">
        <f>+ISNUMBER(PAGOS[[#This Row],[REG]])</f>
        <v>1</v>
      </c>
    </row>
    <row r="49" spans="1:13" s="17" customFormat="1" x14ac:dyDescent="0.3">
      <c r="A49" s="50">
        <v>47</v>
      </c>
      <c r="B49" s="281" t="s">
        <v>532</v>
      </c>
      <c r="C49" s="52">
        <v>5</v>
      </c>
      <c r="D49" s="50" t="s">
        <v>14</v>
      </c>
      <c r="E49" s="203">
        <v>22</v>
      </c>
      <c r="F49" s="33">
        <v>0</v>
      </c>
      <c r="G49" s="51">
        <v>45122</v>
      </c>
      <c r="H49" s="363">
        <v>1</v>
      </c>
      <c r="I49" s="33">
        <v>8</v>
      </c>
      <c r="J49" s="51">
        <v>45122</v>
      </c>
      <c r="K49" s="367">
        <v>1</v>
      </c>
      <c r="L49" s="36" t="s">
        <v>83</v>
      </c>
      <c r="M49" s="228" t="b">
        <f>+ISNUMBER(PAGOS[[#This Row],[REG]])</f>
        <v>1</v>
      </c>
    </row>
    <row r="50" spans="1:13" s="17" customFormat="1" x14ac:dyDescent="0.3">
      <c r="A50" s="50">
        <v>48</v>
      </c>
      <c r="B50" s="281" t="s">
        <v>532</v>
      </c>
      <c r="C50" s="52">
        <v>15</v>
      </c>
      <c r="D50" s="50" t="s">
        <v>22</v>
      </c>
      <c r="E50" s="203">
        <v>21</v>
      </c>
      <c r="F50" s="33">
        <v>0</v>
      </c>
      <c r="G50" s="51">
        <v>45122</v>
      </c>
      <c r="H50" s="363">
        <v>1</v>
      </c>
      <c r="I50" s="33">
        <v>4</v>
      </c>
      <c r="J50" s="51">
        <v>45122</v>
      </c>
      <c r="K50" s="367">
        <v>1</v>
      </c>
      <c r="L50" s="36" t="s">
        <v>83</v>
      </c>
      <c r="M50" s="228" t="b">
        <f>+ISNUMBER(PAGOS[[#This Row],[REG]])</f>
        <v>1</v>
      </c>
    </row>
    <row r="51" spans="1:13" s="17" customFormat="1" x14ac:dyDescent="0.3">
      <c r="A51" s="50">
        <v>49</v>
      </c>
      <c r="B51" s="281" t="s">
        <v>532</v>
      </c>
      <c r="C51" s="52">
        <v>14</v>
      </c>
      <c r="D51" s="50" t="s">
        <v>21</v>
      </c>
      <c r="E51" s="203">
        <v>20</v>
      </c>
      <c r="F51" s="33">
        <v>0</v>
      </c>
      <c r="G51" s="51">
        <v>45122</v>
      </c>
      <c r="H51" s="363">
        <v>1</v>
      </c>
      <c r="I51" s="33">
        <v>8</v>
      </c>
      <c r="J51" s="51">
        <v>45122</v>
      </c>
      <c r="K51" s="367">
        <v>1</v>
      </c>
      <c r="L51" s="36" t="s">
        <v>83</v>
      </c>
      <c r="M51" s="228" t="b">
        <f>+ISNUMBER(PAGOS[[#This Row],[REG]])</f>
        <v>1</v>
      </c>
    </row>
    <row r="52" spans="1:13" s="17" customFormat="1" x14ac:dyDescent="0.3">
      <c r="A52" s="50">
        <v>50</v>
      </c>
      <c r="B52" s="281" t="s">
        <v>532</v>
      </c>
      <c r="C52" s="52">
        <v>9</v>
      </c>
      <c r="D52" s="50" t="s">
        <v>17</v>
      </c>
      <c r="E52" s="203">
        <v>19</v>
      </c>
      <c r="F52" s="33">
        <v>25</v>
      </c>
      <c r="G52" s="51">
        <v>45122</v>
      </c>
      <c r="H52" s="363">
        <v>2</v>
      </c>
      <c r="I52" s="33">
        <v>2</v>
      </c>
      <c r="J52" s="51">
        <v>45122</v>
      </c>
      <c r="K52" s="367">
        <v>2</v>
      </c>
      <c r="L52" s="36" t="s">
        <v>77</v>
      </c>
      <c r="M52" s="228" t="b">
        <f>+ISNUMBER(PAGOS[[#This Row],[REG]])</f>
        <v>1</v>
      </c>
    </row>
    <row r="53" spans="1:13" s="17" customFormat="1" x14ac:dyDescent="0.3">
      <c r="A53" s="50">
        <v>51</v>
      </c>
      <c r="B53" s="281" t="s">
        <v>532</v>
      </c>
      <c r="C53" s="52">
        <v>8</v>
      </c>
      <c r="D53" s="50" t="s">
        <v>16</v>
      </c>
      <c r="E53" s="203">
        <v>18</v>
      </c>
      <c r="F53" s="33">
        <v>100</v>
      </c>
      <c r="G53" s="51">
        <v>45122</v>
      </c>
      <c r="H53" s="363">
        <v>2</v>
      </c>
      <c r="I53" s="33">
        <v>4</v>
      </c>
      <c r="J53" s="51">
        <v>45122</v>
      </c>
      <c r="K53" s="367">
        <v>2</v>
      </c>
      <c r="L53" s="36" t="s">
        <v>77</v>
      </c>
      <c r="M53" s="228" t="b">
        <f>+ISNUMBER(PAGOS[[#This Row],[REG]])</f>
        <v>1</v>
      </c>
    </row>
    <row r="54" spans="1:13" s="17" customFormat="1" x14ac:dyDescent="0.3">
      <c r="A54" s="50">
        <v>52</v>
      </c>
      <c r="B54" s="281" t="s">
        <v>532</v>
      </c>
      <c r="C54" s="52">
        <v>4</v>
      </c>
      <c r="D54" s="50" t="s">
        <v>12</v>
      </c>
      <c r="E54" s="203">
        <v>17</v>
      </c>
      <c r="F54" s="33">
        <v>25</v>
      </c>
      <c r="G54" s="51">
        <v>45122</v>
      </c>
      <c r="H54" s="363">
        <v>3</v>
      </c>
      <c r="I54" s="33">
        <v>2</v>
      </c>
      <c r="J54" s="51">
        <v>45122</v>
      </c>
      <c r="K54" s="367">
        <v>3</v>
      </c>
      <c r="L54" s="36" t="s">
        <v>80</v>
      </c>
      <c r="M54" s="228" t="b">
        <f>+ISNUMBER(PAGOS[[#This Row],[REG]])</f>
        <v>1</v>
      </c>
    </row>
    <row r="55" spans="1:13" s="17" customFormat="1" x14ac:dyDescent="0.3">
      <c r="A55" s="50">
        <v>53</v>
      </c>
      <c r="B55" s="281" t="s">
        <v>532</v>
      </c>
      <c r="C55" s="52">
        <v>12</v>
      </c>
      <c r="D55" s="50" t="s">
        <v>20</v>
      </c>
      <c r="E55" s="203">
        <v>16</v>
      </c>
      <c r="F55" s="33">
        <v>50</v>
      </c>
      <c r="G55" s="51">
        <v>45122</v>
      </c>
      <c r="H55" s="363">
        <v>3</v>
      </c>
      <c r="I55" s="33">
        <v>4</v>
      </c>
      <c r="J55" s="51">
        <v>45122</v>
      </c>
      <c r="K55" s="367">
        <v>3</v>
      </c>
      <c r="L55" s="36" t="s">
        <v>80</v>
      </c>
      <c r="M55" s="228" t="b">
        <f>+ISNUMBER(PAGOS[[#This Row],[REG]])</f>
        <v>1</v>
      </c>
    </row>
    <row r="56" spans="1:13" s="17" customFormat="1" x14ac:dyDescent="0.3">
      <c r="A56" s="50">
        <v>54</v>
      </c>
      <c r="B56" s="281" t="s">
        <v>532</v>
      </c>
      <c r="C56" s="52">
        <v>7</v>
      </c>
      <c r="D56" s="50" t="s">
        <v>15</v>
      </c>
      <c r="E56" s="203">
        <v>14</v>
      </c>
      <c r="F56" s="33">
        <v>100</v>
      </c>
      <c r="G56" s="51">
        <v>45122</v>
      </c>
      <c r="H56" s="363">
        <v>4</v>
      </c>
      <c r="I56" s="33">
        <v>8</v>
      </c>
      <c r="J56" s="51">
        <v>45122</v>
      </c>
      <c r="K56" s="367">
        <v>4</v>
      </c>
      <c r="L56" s="36" t="s">
        <v>82</v>
      </c>
      <c r="M56" s="228" t="b">
        <f>+ISNUMBER(PAGOS[[#This Row],[REG]])</f>
        <v>1</v>
      </c>
    </row>
    <row r="57" spans="1:13" s="17" customFormat="1" x14ac:dyDescent="0.3">
      <c r="A57" s="50">
        <v>55</v>
      </c>
      <c r="B57" s="281" t="s">
        <v>531</v>
      </c>
      <c r="C57" s="35">
        <v>2</v>
      </c>
      <c r="D57" s="50" t="s">
        <v>71</v>
      </c>
      <c r="E57" s="203">
        <v>0</v>
      </c>
      <c r="F57" s="33">
        <v>200</v>
      </c>
      <c r="G57" s="41">
        <v>45153</v>
      </c>
      <c r="H57" s="363" t="s">
        <v>491</v>
      </c>
      <c r="I57" s="33">
        <v>0</v>
      </c>
      <c r="J57" s="51">
        <v>45153</v>
      </c>
      <c r="K57" s="367" t="s">
        <v>491</v>
      </c>
      <c r="L57" s="42" t="s">
        <v>72</v>
      </c>
      <c r="M57" s="228" t="b">
        <f>+ISNUMBER(PAGOS[[#This Row],[REG]])</f>
        <v>1</v>
      </c>
    </row>
    <row r="58" spans="1:13" s="17" customFormat="1" x14ac:dyDescent="0.3">
      <c r="A58" s="50">
        <v>56</v>
      </c>
      <c r="B58" s="281" t="s">
        <v>532</v>
      </c>
      <c r="C58" s="52">
        <v>7</v>
      </c>
      <c r="D58" s="50" t="s">
        <v>15</v>
      </c>
      <c r="E58" s="203">
        <v>24</v>
      </c>
      <c r="F58" s="33">
        <v>200</v>
      </c>
      <c r="G58" s="51">
        <v>45153</v>
      </c>
      <c r="H58" s="363">
        <v>1</v>
      </c>
      <c r="I58" s="33">
        <v>4</v>
      </c>
      <c r="J58" s="51">
        <v>45153</v>
      </c>
      <c r="K58" s="367">
        <v>1</v>
      </c>
      <c r="L58" s="36" t="s">
        <v>79</v>
      </c>
      <c r="M58" s="228" t="b">
        <f>+ISNUMBER(PAGOS[[#This Row],[REG]])</f>
        <v>1</v>
      </c>
    </row>
    <row r="59" spans="1:13" s="17" customFormat="1" x14ac:dyDescent="0.3">
      <c r="A59" s="50">
        <v>57</v>
      </c>
      <c r="B59" s="281" t="s">
        <v>532</v>
      </c>
      <c r="C59" s="52">
        <v>5</v>
      </c>
      <c r="D59" s="50" t="s">
        <v>14</v>
      </c>
      <c r="E59" s="203">
        <v>22</v>
      </c>
      <c r="F59" s="33">
        <v>0</v>
      </c>
      <c r="G59" s="51">
        <v>45153</v>
      </c>
      <c r="H59" s="363">
        <v>2</v>
      </c>
      <c r="I59" s="33">
        <v>8</v>
      </c>
      <c r="J59" s="51">
        <v>45153</v>
      </c>
      <c r="K59" s="367">
        <v>2</v>
      </c>
      <c r="L59" s="36" t="s">
        <v>84</v>
      </c>
      <c r="M59" s="228" t="b">
        <f>+ISNUMBER(PAGOS[[#This Row],[REG]])</f>
        <v>1</v>
      </c>
    </row>
    <row r="60" spans="1:13" s="17" customFormat="1" x14ac:dyDescent="0.3">
      <c r="A60" s="50">
        <v>58</v>
      </c>
      <c r="B60" s="281" t="s">
        <v>532</v>
      </c>
      <c r="C60" s="52">
        <v>15</v>
      </c>
      <c r="D60" s="50" t="s">
        <v>22</v>
      </c>
      <c r="E60" s="203">
        <v>21</v>
      </c>
      <c r="F60" s="33">
        <v>0</v>
      </c>
      <c r="G60" s="51">
        <v>45153</v>
      </c>
      <c r="H60" s="363">
        <v>2</v>
      </c>
      <c r="I60" s="33">
        <v>4</v>
      </c>
      <c r="J60" s="51">
        <v>45153</v>
      </c>
      <c r="K60" s="367">
        <v>2</v>
      </c>
      <c r="L60" s="36" t="s">
        <v>84</v>
      </c>
      <c r="M60" s="228" t="b">
        <f>+ISNUMBER(PAGOS[[#This Row],[REG]])</f>
        <v>1</v>
      </c>
    </row>
    <row r="61" spans="1:13" x14ac:dyDescent="0.3">
      <c r="A61" s="50">
        <v>59</v>
      </c>
      <c r="B61" s="281" t="s">
        <v>532</v>
      </c>
      <c r="C61" s="52">
        <v>14</v>
      </c>
      <c r="D61" s="50" t="s">
        <v>21</v>
      </c>
      <c r="E61" s="203">
        <v>20</v>
      </c>
      <c r="F61" s="33">
        <v>0</v>
      </c>
      <c r="G61" s="51">
        <v>45153</v>
      </c>
      <c r="H61" s="363">
        <v>2</v>
      </c>
      <c r="I61" s="33">
        <v>8</v>
      </c>
      <c r="J61" s="51">
        <v>45153</v>
      </c>
      <c r="K61" s="367">
        <v>2</v>
      </c>
      <c r="L61" s="36" t="s">
        <v>84</v>
      </c>
      <c r="M61" s="228" t="b">
        <f>+ISNUMBER(PAGOS[[#This Row],[REG]])</f>
        <v>1</v>
      </c>
    </row>
    <row r="62" spans="1:13" x14ac:dyDescent="0.3">
      <c r="A62" s="50">
        <v>60</v>
      </c>
      <c r="B62" s="281" t="s">
        <v>532</v>
      </c>
      <c r="C62" s="52">
        <v>9</v>
      </c>
      <c r="D62" s="50" t="s">
        <v>17</v>
      </c>
      <c r="E62" s="203">
        <v>19</v>
      </c>
      <c r="F62" s="33">
        <v>25</v>
      </c>
      <c r="G62" s="51">
        <v>45153</v>
      </c>
      <c r="H62" s="363">
        <v>3</v>
      </c>
      <c r="I62" s="33">
        <v>2</v>
      </c>
      <c r="J62" s="51">
        <v>45153</v>
      </c>
      <c r="K62" s="367">
        <v>3</v>
      </c>
      <c r="L62" s="36" t="s">
        <v>80</v>
      </c>
      <c r="M62" s="228" t="b">
        <f>+ISNUMBER(PAGOS[[#This Row],[REG]])</f>
        <v>1</v>
      </c>
    </row>
    <row r="63" spans="1:13" x14ac:dyDescent="0.3">
      <c r="A63" s="50">
        <v>61</v>
      </c>
      <c r="B63" s="281" t="s">
        <v>532</v>
      </c>
      <c r="C63" s="52">
        <v>4</v>
      </c>
      <c r="D63" s="50" t="s">
        <v>12</v>
      </c>
      <c r="E63" s="203">
        <v>17</v>
      </c>
      <c r="F63" s="33">
        <v>25</v>
      </c>
      <c r="G63" s="51">
        <v>45153</v>
      </c>
      <c r="H63" s="363">
        <v>4</v>
      </c>
      <c r="I63" s="33">
        <v>2</v>
      </c>
      <c r="J63" s="51">
        <v>45153</v>
      </c>
      <c r="K63" s="367">
        <v>4</v>
      </c>
      <c r="L63" s="36" t="s">
        <v>82</v>
      </c>
      <c r="M63" s="228" t="b">
        <f>+ISNUMBER(PAGOS[[#This Row],[REG]])</f>
        <v>1</v>
      </c>
    </row>
    <row r="64" spans="1:13" x14ac:dyDescent="0.3">
      <c r="A64" s="50">
        <v>62</v>
      </c>
      <c r="B64" s="281" t="s">
        <v>532</v>
      </c>
      <c r="C64" s="52">
        <v>12</v>
      </c>
      <c r="D64" s="50" t="s">
        <v>20</v>
      </c>
      <c r="E64" s="203">
        <v>16</v>
      </c>
      <c r="F64" s="33">
        <v>50</v>
      </c>
      <c r="G64" s="51">
        <v>45153</v>
      </c>
      <c r="H64" s="363">
        <v>4</v>
      </c>
      <c r="I64" s="33">
        <v>4</v>
      </c>
      <c r="J64" s="51">
        <v>45153</v>
      </c>
      <c r="K64" s="367">
        <v>4</v>
      </c>
      <c r="L64" s="36" t="s">
        <v>82</v>
      </c>
      <c r="M64" s="228" t="b">
        <f>+ISNUMBER(PAGOS[[#This Row],[REG]])</f>
        <v>1</v>
      </c>
    </row>
    <row r="65" spans="1:13" x14ac:dyDescent="0.3">
      <c r="A65" s="50">
        <v>63</v>
      </c>
      <c r="B65" s="281" t="s">
        <v>532</v>
      </c>
      <c r="C65" s="52">
        <v>4</v>
      </c>
      <c r="D65" s="287" t="s">
        <v>12</v>
      </c>
      <c r="E65" s="283">
        <v>23</v>
      </c>
      <c r="F65" s="284">
        <v>100</v>
      </c>
      <c r="G65" s="285">
        <v>45153</v>
      </c>
      <c r="H65" s="364">
        <v>1</v>
      </c>
      <c r="I65" s="365">
        <v>2</v>
      </c>
      <c r="J65" s="285">
        <v>45153</v>
      </c>
      <c r="K65" s="368">
        <v>1</v>
      </c>
      <c r="L65" s="286" t="s">
        <v>85</v>
      </c>
      <c r="M65" s="228" t="b">
        <f>+ISNUMBER(PAGOS[[#This Row],[REG]])</f>
        <v>1</v>
      </c>
    </row>
    <row r="66" spans="1:13" x14ac:dyDescent="0.3">
      <c r="A66" s="50">
        <v>64</v>
      </c>
      <c r="B66" s="281" t="s">
        <v>532</v>
      </c>
      <c r="C66" s="52">
        <v>3</v>
      </c>
      <c r="D66" s="50" t="s">
        <v>13</v>
      </c>
      <c r="E66" s="283">
        <v>0</v>
      </c>
      <c r="F66" s="33">
        <v>0</v>
      </c>
      <c r="G66" s="51">
        <v>45153</v>
      </c>
      <c r="H66" s="363" t="s">
        <v>492</v>
      </c>
      <c r="I66" s="33">
        <v>0</v>
      </c>
      <c r="J66" s="51">
        <v>45153</v>
      </c>
      <c r="K66" s="367" t="s">
        <v>492</v>
      </c>
      <c r="L66" s="36" t="s">
        <v>316</v>
      </c>
      <c r="M66" s="228" t="b">
        <f>+ISNUMBER(PAGOS[[#This Row],[REG]])</f>
        <v>1</v>
      </c>
    </row>
    <row r="67" spans="1:13" x14ac:dyDescent="0.3">
      <c r="A67" s="50">
        <v>65</v>
      </c>
      <c r="B67" s="281" t="s">
        <v>532</v>
      </c>
      <c r="C67" s="52">
        <v>8</v>
      </c>
      <c r="D67" s="287" t="s">
        <v>16</v>
      </c>
      <c r="E67" s="283">
        <v>25</v>
      </c>
      <c r="F67" s="284">
        <v>200</v>
      </c>
      <c r="G67" s="285">
        <v>45184</v>
      </c>
      <c r="H67" s="364">
        <v>1</v>
      </c>
      <c r="I67" s="365">
        <v>4</v>
      </c>
      <c r="J67" s="285">
        <v>45184</v>
      </c>
      <c r="K67" s="368">
        <v>1</v>
      </c>
      <c r="L67" s="286" t="s">
        <v>86</v>
      </c>
      <c r="M67" s="228" t="b">
        <f>+ISNUMBER(PAGOS[[#This Row],[REG]])</f>
        <v>1</v>
      </c>
    </row>
    <row r="68" spans="1:13" x14ac:dyDescent="0.3">
      <c r="A68" s="50">
        <v>66</v>
      </c>
      <c r="B68" s="281" t="s">
        <v>532</v>
      </c>
      <c r="C68" s="52">
        <v>14</v>
      </c>
      <c r="D68" s="287" t="s">
        <v>21</v>
      </c>
      <c r="E68" s="283">
        <v>20</v>
      </c>
      <c r="F68" s="284">
        <v>0</v>
      </c>
      <c r="G68" s="285">
        <v>45184</v>
      </c>
      <c r="H68" s="364">
        <v>3</v>
      </c>
      <c r="I68" s="365">
        <v>8</v>
      </c>
      <c r="J68" s="285">
        <v>45184</v>
      </c>
      <c r="K68" s="368">
        <v>3</v>
      </c>
      <c r="L68" s="286" t="s">
        <v>87</v>
      </c>
      <c r="M68" s="228" t="b">
        <f>+ISNUMBER(PAGOS[[#This Row],[REG]])</f>
        <v>1</v>
      </c>
    </row>
    <row r="69" spans="1:13" x14ac:dyDescent="0.3">
      <c r="A69" s="50">
        <v>67</v>
      </c>
      <c r="B69" s="281" t="s">
        <v>532</v>
      </c>
      <c r="C69" s="52">
        <v>9</v>
      </c>
      <c r="D69" s="287" t="s">
        <v>17</v>
      </c>
      <c r="E69" s="283">
        <v>19</v>
      </c>
      <c r="F69" s="284">
        <v>25</v>
      </c>
      <c r="G69" s="285">
        <v>45184</v>
      </c>
      <c r="H69" s="364">
        <v>4</v>
      </c>
      <c r="I69" s="365">
        <v>2</v>
      </c>
      <c r="J69" s="285">
        <v>45184</v>
      </c>
      <c r="K69" s="368">
        <v>4</v>
      </c>
      <c r="L69" s="286" t="s">
        <v>82</v>
      </c>
      <c r="M69" s="228" t="b">
        <f>+ISNUMBER(PAGOS[[#This Row],[REG]])</f>
        <v>1</v>
      </c>
    </row>
    <row r="70" spans="1:13" x14ac:dyDescent="0.3">
      <c r="A70" s="50">
        <v>68</v>
      </c>
      <c r="B70" s="281" t="s">
        <v>532</v>
      </c>
      <c r="C70" s="52">
        <v>15</v>
      </c>
      <c r="D70" s="287" t="s">
        <v>22</v>
      </c>
      <c r="E70" s="283">
        <v>21</v>
      </c>
      <c r="F70" s="284">
        <v>0</v>
      </c>
      <c r="G70" s="285">
        <v>45184</v>
      </c>
      <c r="H70" s="364">
        <v>3</v>
      </c>
      <c r="I70" s="365">
        <v>4</v>
      </c>
      <c r="J70" s="285">
        <v>45184</v>
      </c>
      <c r="K70" s="368">
        <v>3</v>
      </c>
      <c r="L70" s="286" t="s">
        <v>88</v>
      </c>
      <c r="M70" s="228" t="b">
        <f>+ISNUMBER(PAGOS[[#This Row],[REG]])</f>
        <v>1</v>
      </c>
    </row>
    <row r="71" spans="1:13" x14ac:dyDescent="0.3">
      <c r="A71" s="50">
        <v>69</v>
      </c>
      <c r="B71" s="281" t="s">
        <v>532</v>
      </c>
      <c r="C71" s="52">
        <v>5</v>
      </c>
      <c r="D71" s="287" t="s">
        <v>14</v>
      </c>
      <c r="E71" s="283">
        <v>22</v>
      </c>
      <c r="F71" s="284">
        <v>0</v>
      </c>
      <c r="G71" s="285">
        <v>45184</v>
      </c>
      <c r="H71" s="364">
        <v>3</v>
      </c>
      <c r="I71" s="365">
        <v>8</v>
      </c>
      <c r="J71" s="285">
        <v>45184</v>
      </c>
      <c r="K71" s="368">
        <v>3</v>
      </c>
      <c r="L71" s="286" t="s">
        <v>121</v>
      </c>
      <c r="M71" s="228" t="b">
        <f>+ISNUMBER(PAGOS[[#This Row],[REG]])</f>
        <v>1</v>
      </c>
    </row>
    <row r="72" spans="1:13" x14ac:dyDescent="0.3">
      <c r="A72" s="50">
        <v>70</v>
      </c>
      <c r="B72" s="281" t="s">
        <v>532</v>
      </c>
      <c r="C72" s="52">
        <v>5</v>
      </c>
      <c r="D72" s="50" t="s">
        <v>14</v>
      </c>
      <c r="E72" s="203">
        <v>22</v>
      </c>
      <c r="F72" s="33">
        <v>400</v>
      </c>
      <c r="G72" s="51">
        <v>45214</v>
      </c>
      <c r="H72" s="363">
        <v>4</v>
      </c>
      <c r="I72" s="33">
        <v>8</v>
      </c>
      <c r="J72" s="51">
        <v>45214</v>
      </c>
      <c r="K72" s="367">
        <v>4</v>
      </c>
      <c r="L72" s="36" t="s">
        <v>231</v>
      </c>
      <c r="M72" s="228" t="b">
        <f>+ISNUMBER(PAGOS[[#This Row],[REG]])</f>
        <v>1</v>
      </c>
    </row>
    <row r="73" spans="1:13" x14ac:dyDescent="0.3">
      <c r="A73" s="50">
        <v>71</v>
      </c>
      <c r="B73" s="281" t="s">
        <v>532</v>
      </c>
      <c r="C73" s="52">
        <v>6</v>
      </c>
      <c r="D73" s="50" t="s">
        <v>24</v>
      </c>
      <c r="E73" s="203">
        <v>26</v>
      </c>
      <c r="F73" s="33">
        <v>0</v>
      </c>
      <c r="G73" s="51">
        <v>45214</v>
      </c>
      <c r="H73" s="363">
        <v>1</v>
      </c>
      <c r="I73" s="33">
        <v>10</v>
      </c>
      <c r="J73" s="51">
        <v>45214</v>
      </c>
      <c r="K73" s="367">
        <v>1</v>
      </c>
      <c r="L73" s="36" t="s">
        <v>104</v>
      </c>
      <c r="M73" s="228" t="b">
        <f>+ISNUMBER(PAGOS[[#This Row],[REG]])</f>
        <v>1</v>
      </c>
    </row>
    <row r="74" spans="1:13" x14ac:dyDescent="0.3">
      <c r="A74" s="50">
        <v>72</v>
      </c>
      <c r="B74" s="281" t="s">
        <v>532</v>
      </c>
      <c r="C74" s="52">
        <v>7</v>
      </c>
      <c r="D74" s="50" t="s">
        <v>15</v>
      </c>
      <c r="E74" s="203">
        <v>27</v>
      </c>
      <c r="F74" s="33">
        <v>100</v>
      </c>
      <c r="G74" s="51">
        <v>45214</v>
      </c>
      <c r="H74" s="363">
        <v>1</v>
      </c>
      <c r="I74" s="33">
        <v>2</v>
      </c>
      <c r="J74" s="51">
        <v>45214</v>
      </c>
      <c r="K74" s="367">
        <v>1</v>
      </c>
      <c r="L74" s="36" t="s">
        <v>105</v>
      </c>
      <c r="M74" s="228" t="b">
        <f>+ISNUMBER(PAGOS[[#This Row],[REG]])</f>
        <v>1</v>
      </c>
    </row>
    <row r="75" spans="1:13" x14ac:dyDescent="0.3">
      <c r="A75" s="50">
        <v>73</v>
      </c>
      <c r="B75" s="281" t="s">
        <v>532</v>
      </c>
      <c r="C75" s="52">
        <v>14</v>
      </c>
      <c r="D75" s="50" t="s">
        <v>21</v>
      </c>
      <c r="E75" s="203">
        <v>20</v>
      </c>
      <c r="F75" s="33">
        <v>400</v>
      </c>
      <c r="G75" s="51">
        <v>45214</v>
      </c>
      <c r="H75" s="363">
        <v>4</v>
      </c>
      <c r="I75" s="33">
        <v>8</v>
      </c>
      <c r="J75" s="51">
        <v>45214</v>
      </c>
      <c r="K75" s="367">
        <v>4</v>
      </c>
      <c r="L75" s="36" t="s">
        <v>106</v>
      </c>
      <c r="M75" s="228" t="b">
        <f>+ISNUMBER(PAGOS[[#This Row],[REG]])</f>
        <v>1</v>
      </c>
    </row>
    <row r="76" spans="1:13" x14ac:dyDescent="0.3">
      <c r="A76" s="50">
        <v>74</v>
      </c>
      <c r="B76" s="281" t="s">
        <v>532</v>
      </c>
      <c r="C76" s="52">
        <v>3</v>
      </c>
      <c r="D76" s="50" t="s">
        <v>13</v>
      </c>
      <c r="E76" s="203">
        <v>28</v>
      </c>
      <c r="F76" s="33">
        <v>25</v>
      </c>
      <c r="G76" s="51">
        <v>45214</v>
      </c>
      <c r="H76" s="363">
        <v>1</v>
      </c>
      <c r="I76" s="33">
        <v>2</v>
      </c>
      <c r="J76" s="51">
        <v>45214</v>
      </c>
      <c r="K76" s="367">
        <v>1</v>
      </c>
      <c r="L76" s="36" t="s">
        <v>107</v>
      </c>
      <c r="M76" s="228" t="b">
        <f>+ISNUMBER(PAGOS[[#This Row],[REG]])</f>
        <v>1</v>
      </c>
    </row>
    <row r="77" spans="1:13" x14ac:dyDescent="0.3">
      <c r="A77" s="50">
        <v>75</v>
      </c>
      <c r="B77" s="281" t="s">
        <v>532</v>
      </c>
      <c r="C77" s="52">
        <v>15</v>
      </c>
      <c r="D77" s="50" t="s">
        <v>22</v>
      </c>
      <c r="E77" s="203">
        <v>21</v>
      </c>
      <c r="F77" s="33">
        <v>200</v>
      </c>
      <c r="G77" s="51">
        <v>45214</v>
      </c>
      <c r="H77" s="363">
        <v>4</v>
      </c>
      <c r="I77" s="33">
        <v>4</v>
      </c>
      <c r="J77" s="51">
        <v>45214</v>
      </c>
      <c r="K77" s="367">
        <v>4</v>
      </c>
      <c r="L77" s="36" t="s">
        <v>108</v>
      </c>
      <c r="M77" s="228" t="b">
        <f>+ISNUMBER(PAGOS[[#This Row],[REG]])</f>
        <v>1</v>
      </c>
    </row>
    <row r="78" spans="1:13" x14ac:dyDescent="0.3">
      <c r="A78" s="50">
        <v>76</v>
      </c>
      <c r="B78" s="281" t="s">
        <v>532</v>
      </c>
      <c r="C78" s="52">
        <v>3</v>
      </c>
      <c r="D78" s="50" t="s">
        <v>13</v>
      </c>
      <c r="E78" s="203">
        <v>28</v>
      </c>
      <c r="F78" s="33">
        <v>25</v>
      </c>
      <c r="G78" s="51">
        <v>45245</v>
      </c>
      <c r="H78" s="363">
        <v>2</v>
      </c>
      <c r="I78" s="33">
        <v>2</v>
      </c>
      <c r="J78" s="51">
        <v>45245</v>
      </c>
      <c r="K78" s="367">
        <v>2</v>
      </c>
      <c r="L78" s="36" t="s">
        <v>115</v>
      </c>
      <c r="M78" s="228" t="b">
        <f>+ISNUMBER(PAGOS[[#This Row],[REG]])</f>
        <v>1</v>
      </c>
    </row>
    <row r="79" spans="1:13" x14ac:dyDescent="0.3">
      <c r="A79" s="50">
        <v>77</v>
      </c>
      <c r="B79" s="281" t="s">
        <v>532</v>
      </c>
      <c r="C79" s="52">
        <v>9</v>
      </c>
      <c r="D79" s="50" t="s">
        <v>17</v>
      </c>
      <c r="E79" s="203">
        <v>29</v>
      </c>
      <c r="F79" s="33">
        <v>0</v>
      </c>
      <c r="G79" s="51">
        <v>45245</v>
      </c>
      <c r="H79" s="363">
        <v>1</v>
      </c>
      <c r="I79" s="33">
        <v>12</v>
      </c>
      <c r="J79" s="51">
        <v>45245</v>
      </c>
      <c r="K79" s="367">
        <v>1</v>
      </c>
      <c r="L79" s="36" t="s">
        <v>116</v>
      </c>
      <c r="M79" s="228" t="b">
        <f>+ISNUMBER(PAGOS[[#This Row],[REG]])</f>
        <v>1</v>
      </c>
    </row>
    <row r="80" spans="1:13" x14ac:dyDescent="0.3">
      <c r="A80" s="50">
        <v>78</v>
      </c>
      <c r="B80" s="281" t="s">
        <v>532</v>
      </c>
      <c r="C80" s="52">
        <v>12</v>
      </c>
      <c r="D80" s="50" t="s">
        <v>20</v>
      </c>
      <c r="E80" s="203">
        <v>31</v>
      </c>
      <c r="F80" s="33">
        <v>57.16</v>
      </c>
      <c r="G80" s="51">
        <v>45245</v>
      </c>
      <c r="H80" s="363">
        <v>1</v>
      </c>
      <c r="I80" s="33">
        <v>8</v>
      </c>
      <c r="J80" s="51">
        <v>45245</v>
      </c>
      <c r="K80" s="367">
        <v>1</v>
      </c>
      <c r="L80" s="36" t="s">
        <v>117</v>
      </c>
      <c r="M80" s="228" t="b">
        <f>+ISNUMBER(PAGOS[[#This Row],[REG]])</f>
        <v>1</v>
      </c>
    </row>
    <row r="81" spans="1:13" x14ac:dyDescent="0.3">
      <c r="A81" s="50">
        <v>79</v>
      </c>
      <c r="B81" s="281" t="s">
        <v>532</v>
      </c>
      <c r="C81" s="52">
        <v>16</v>
      </c>
      <c r="D81" s="50" t="s">
        <v>23</v>
      </c>
      <c r="E81" s="203">
        <v>30</v>
      </c>
      <c r="F81" s="33">
        <v>50</v>
      </c>
      <c r="G81" s="51">
        <v>45245</v>
      </c>
      <c r="H81" s="363">
        <v>1</v>
      </c>
      <c r="I81" s="33">
        <v>4</v>
      </c>
      <c r="J81" s="51">
        <v>45245</v>
      </c>
      <c r="K81" s="367">
        <v>1</v>
      </c>
      <c r="L81" s="36" t="s">
        <v>118</v>
      </c>
      <c r="M81" s="228" t="b">
        <f>+ISNUMBER(PAGOS[[#This Row],[REG]])</f>
        <v>1</v>
      </c>
    </row>
    <row r="82" spans="1:13" x14ac:dyDescent="0.3">
      <c r="A82" s="50">
        <v>80</v>
      </c>
      <c r="B82" s="281" t="s">
        <v>532</v>
      </c>
      <c r="C82" s="52">
        <v>6</v>
      </c>
      <c r="D82" s="50" t="s">
        <v>24</v>
      </c>
      <c r="E82" s="203">
        <v>26</v>
      </c>
      <c r="F82" s="33">
        <v>0</v>
      </c>
      <c r="G82" s="51">
        <v>45245</v>
      </c>
      <c r="H82" s="363">
        <v>2</v>
      </c>
      <c r="I82" s="33">
        <v>10</v>
      </c>
      <c r="J82" s="51">
        <v>45245</v>
      </c>
      <c r="K82" s="367">
        <v>2</v>
      </c>
      <c r="L82" s="36" t="s">
        <v>84</v>
      </c>
      <c r="M82" s="228" t="b">
        <f>+ISNUMBER(PAGOS[[#This Row],[REG]])</f>
        <v>1</v>
      </c>
    </row>
    <row r="83" spans="1:13" x14ac:dyDescent="0.3">
      <c r="A83" s="50">
        <v>81</v>
      </c>
      <c r="B83" s="281" t="s">
        <v>530</v>
      </c>
      <c r="C83" s="240">
        <v>1</v>
      </c>
      <c r="D83" s="50" t="s">
        <v>70</v>
      </c>
      <c r="E83" s="203">
        <v>0</v>
      </c>
      <c r="F83" s="33">
        <v>0</v>
      </c>
      <c r="G83" s="51">
        <v>45245</v>
      </c>
      <c r="H83" s="364" t="s">
        <v>490</v>
      </c>
      <c r="I83" s="33">
        <v>1.5</v>
      </c>
      <c r="J83" s="51">
        <v>45245</v>
      </c>
      <c r="K83" s="368" t="s">
        <v>490</v>
      </c>
      <c r="L83" s="36" t="s">
        <v>120</v>
      </c>
      <c r="M83" s="228" t="b">
        <f>+ISNUMBER(PAGOS[[#This Row],[REG]])</f>
        <v>1</v>
      </c>
    </row>
    <row r="84" spans="1:13" x14ac:dyDescent="0.3">
      <c r="A84" s="50">
        <v>82</v>
      </c>
      <c r="B84" s="281" t="s">
        <v>532</v>
      </c>
      <c r="C84" s="52">
        <v>5</v>
      </c>
      <c r="D84" s="50" t="s">
        <v>14</v>
      </c>
      <c r="E84" s="203">
        <v>32</v>
      </c>
      <c r="F84" s="33">
        <v>0</v>
      </c>
      <c r="G84" s="51">
        <v>45275</v>
      </c>
      <c r="H84" s="363">
        <v>2</v>
      </c>
      <c r="I84" s="33">
        <v>4</v>
      </c>
      <c r="J84" s="51">
        <v>45275</v>
      </c>
      <c r="K84" s="367">
        <v>2</v>
      </c>
      <c r="L84" s="36" t="s">
        <v>232</v>
      </c>
      <c r="M84" s="228" t="b">
        <f>+ISNUMBER(PAGOS[[#This Row],[REG]])</f>
        <v>1</v>
      </c>
    </row>
    <row r="85" spans="1:13" x14ac:dyDescent="0.3">
      <c r="A85" s="50">
        <v>83</v>
      </c>
      <c r="B85" s="281" t="s">
        <v>532</v>
      </c>
      <c r="C85" s="52">
        <v>6</v>
      </c>
      <c r="D85" s="50" t="s">
        <v>24</v>
      </c>
      <c r="E85" s="203">
        <v>26</v>
      </c>
      <c r="F85" s="33">
        <v>0</v>
      </c>
      <c r="G85" s="51">
        <v>45275</v>
      </c>
      <c r="H85" s="363">
        <v>2</v>
      </c>
      <c r="I85" s="33">
        <v>10</v>
      </c>
      <c r="J85" s="51">
        <v>45275</v>
      </c>
      <c r="K85" s="367">
        <v>2</v>
      </c>
      <c r="L85" s="36" t="s">
        <v>233</v>
      </c>
      <c r="M85" s="228" t="b">
        <f>+ISNUMBER(PAGOS[[#This Row],[REG]])</f>
        <v>1</v>
      </c>
    </row>
    <row r="86" spans="1:13" x14ac:dyDescent="0.3">
      <c r="A86" s="50">
        <v>84</v>
      </c>
      <c r="B86" s="281" t="s">
        <v>532</v>
      </c>
      <c r="C86" s="52">
        <v>12</v>
      </c>
      <c r="D86" s="50" t="s">
        <v>20</v>
      </c>
      <c r="E86" s="203">
        <v>31</v>
      </c>
      <c r="F86" s="33">
        <v>57.14</v>
      </c>
      <c r="G86" s="51">
        <v>45275</v>
      </c>
      <c r="H86" s="363">
        <v>2</v>
      </c>
      <c r="I86" s="33">
        <v>8</v>
      </c>
      <c r="J86" s="51">
        <v>45275</v>
      </c>
      <c r="K86" s="367">
        <v>2</v>
      </c>
      <c r="L86" s="36" t="s">
        <v>77</v>
      </c>
      <c r="M86" s="228" t="b">
        <f>+ISNUMBER(PAGOS[[#This Row],[REG]])</f>
        <v>1</v>
      </c>
    </row>
    <row r="87" spans="1:13" x14ac:dyDescent="0.3">
      <c r="A87" s="50">
        <v>85</v>
      </c>
      <c r="B87" s="281" t="s">
        <v>532</v>
      </c>
      <c r="C87" s="52">
        <v>16</v>
      </c>
      <c r="D87" s="50" t="s">
        <v>23</v>
      </c>
      <c r="E87" s="203">
        <v>30</v>
      </c>
      <c r="F87" s="33">
        <v>50</v>
      </c>
      <c r="G87" s="51">
        <v>45275</v>
      </c>
      <c r="H87" s="363">
        <v>2</v>
      </c>
      <c r="I87" s="33">
        <v>4</v>
      </c>
      <c r="J87" s="51">
        <v>45275</v>
      </c>
      <c r="K87" s="367">
        <v>2</v>
      </c>
      <c r="L87" s="36" t="s">
        <v>77</v>
      </c>
      <c r="M87" s="228" t="b">
        <f>+ISNUMBER(PAGOS[[#This Row],[REG]])</f>
        <v>1</v>
      </c>
    </row>
    <row r="88" spans="1:13" x14ac:dyDescent="0.3">
      <c r="A88" s="50">
        <v>86</v>
      </c>
      <c r="B88" s="281" t="s">
        <v>532</v>
      </c>
      <c r="C88" s="52">
        <v>9</v>
      </c>
      <c r="D88" s="50" t="s">
        <v>17</v>
      </c>
      <c r="E88" s="203">
        <v>29</v>
      </c>
      <c r="F88" s="33">
        <v>0</v>
      </c>
      <c r="G88" s="51">
        <v>45275</v>
      </c>
      <c r="H88" s="363">
        <v>2</v>
      </c>
      <c r="I88" s="33">
        <v>12</v>
      </c>
      <c r="J88" s="51">
        <v>45275</v>
      </c>
      <c r="K88" s="367">
        <v>2</v>
      </c>
      <c r="L88" s="36" t="s">
        <v>84</v>
      </c>
      <c r="M88" s="228" t="b">
        <f>+ISNUMBER(PAGOS[[#This Row],[REG]])</f>
        <v>1</v>
      </c>
    </row>
    <row r="89" spans="1:13" x14ac:dyDescent="0.3">
      <c r="A89" s="50">
        <v>87</v>
      </c>
      <c r="B89" s="281" t="s">
        <v>532</v>
      </c>
      <c r="C89" s="52">
        <v>14</v>
      </c>
      <c r="D89" s="50" t="s">
        <v>21</v>
      </c>
      <c r="E89" s="203">
        <v>33</v>
      </c>
      <c r="F89" s="33">
        <v>0</v>
      </c>
      <c r="G89" s="51">
        <v>45275</v>
      </c>
      <c r="H89" s="363">
        <v>1</v>
      </c>
      <c r="I89" s="33">
        <v>5</v>
      </c>
      <c r="J89" s="51">
        <v>45275</v>
      </c>
      <c r="K89" s="367">
        <v>2</v>
      </c>
      <c r="L89" s="36" t="s">
        <v>83</v>
      </c>
      <c r="M89" s="228" t="b">
        <f>+ISNUMBER(PAGOS[[#This Row],[REG]])</f>
        <v>1</v>
      </c>
    </row>
    <row r="90" spans="1:13" x14ac:dyDescent="0.3">
      <c r="A90" s="50">
        <v>88</v>
      </c>
      <c r="B90" s="281" t="s">
        <v>532</v>
      </c>
      <c r="C90" s="52">
        <v>3</v>
      </c>
      <c r="D90" s="50" t="s">
        <v>13</v>
      </c>
      <c r="E90" s="203">
        <v>28</v>
      </c>
      <c r="F90" s="33">
        <v>25</v>
      </c>
      <c r="G90" s="51">
        <v>45275</v>
      </c>
      <c r="H90" s="363">
        <v>2</v>
      </c>
      <c r="I90" s="33">
        <v>2</v>
      </c>
      <c r="J90" s="51">
        <v>45275</v>
      </c>
      <c r="K90" s="367">
        <v>2</v>
      </c>
      <c r="L90" s="36" t="s">
        <v>77</v>
      </c>
      <c r="M90" s="228" t="b">
        <f>+ISNUMBER(PAGOS[[#This Row],[REG]])</f>
        <v>1</v>
      </c>
    </row>
    <row r="91" spans="1:13" x14ac:dyDescent="0.3">
      <c r="A91" s="50">
        <v>89</v>
      </c>
      <c r="B91" s="281" t="s">
        <v>531</v>
      </c>
      <c r="C91" s="52">
        <v>14</v>
      </c>
      <c r="D91" s="50" t="s">
        <v>21</v>
      </c>
      <c r="E91" s="203">
        <v>33</v>
      </c>
      <c r="F91" s="33">
        <v>0</v>
      </c>
      <c r="G91" s="51">
        <v>45306</v>
      </c>
      <c r="H91" s="363" t="s">
        <v>491</v>
      </c>
      <c r="I91" s="33">
        <v>10</v>
      </c>
      <c r="J91" s="51">
        <v>45306</v>
      </c>
      <c r="K91" s="367" t="s">
        <v>491</v>
      </c>
      <c r="L91" s="36" t="s">
        <v>406</v>
      </c>
      <c r="M91" s="228" t="b">
        <f>+ISNUMBER(PAGOS[[#This Row],[REG]])</f>
        <v>1</v>
      </c>
    </row>
    <row r="92" spans="1:13" x14ac:dyDescent="0.3">
      <c r="A92" s="50">
        <v>90</v>
      </c>
      <c r="B92" s="281" t="s">
        <v>532</v>
      </c>
      <c r="C92" s="52">
        <v>14</v>
      </c>
      <c r="D92" s="50" t="s">
        <v>21</v>
      </c>
      <c r="E92" s="203">
        <v>33</v>
      </c>
      <c r="F92" s="33">
        <v>250</v>
      </c>
      <c r="G92" s="51">
        <v>45306</v>
      </c>
      <c r="H92" s="363">
        <v>4</v>
      </c>
      <c r="I92" s="33">
        <v>0</v>
      </c>
      <c r="J92" s="51">
        <v>45306</v>
      </c>
      <c r="K92" s="367">
        <v>4</v>
      </c>
      <c r="L92" s="36" t="s">
        <v>399</v>
      </c>
      <c r="M92" s="228" t="b">
        <f>+ISNUMBER(PAGOS[[#This Row],[REG]])</f>
        <v>1</v>
      </c>
    </row>
    <row r="93" spans="1:13" x14ac:dyDescent="0.3">
      <c r="A93" s="50">
        <v>91</v>
      </c>
      <c r="B93" s="281" t="s">
        <v>532</v>
      </c>
      <c r="C93" s="52">
        <v>5</v>
      </c>
      <c r="D93" s="50" t="s">
        <v>14</v>
      </c>
      <c r="E93" s="203">
        <v>32</v>
      </c>
      <c r="F93" s="33">
        <v>0</v>
      </c>
      <c r="G93" s="51">
        <v>45306</v>
      </c>
      <c r="H93" s="363">
        <v>3</v>
      </c>
      <c r="I93" s="33">
        <v>4</v>
      </c>
      <c r="J93" s="51">
        <v>45306</v>
      </c>
      <c r="K93" s="367">
        <v>3</v>
      </c>
      <c r="L93" s="36" t="s">
        <v>84</v>
      </c>
      <c r="M93" s="228" t="b">
        <f>+ISNUMBER(PAGOS[[#This Row],[REG]])</f>
        <v>1</v>
      </c>
    </row>
    <row r="94" spans="1:13" x14ac:dyDescent="0.3">
      <c r="A94" s="50">
        <v>92</v>
      </c>
      <c r="B94" s="281" t="s">
        <v>532</v>
      </c>
      <c r="C94" s="52">
        <v>6</v>
      </c>
      <c r="D94" s="50" t="s">
        <v>24</v>
      </c>
      <c r="E94" s="203">
        <v>26</v>
      </c>
      <c r="F94" s="33">
        <v>0</v>
      </c>
      <c r="G94" s="51">
        <v>45306</v>
      </c>
      <c r="H94" s="363">
        <v>3</v>
      </c>
      <c r="I94" s="33">
        <v>10</v>
      </c>
      <c r="J94" s="51">
        <v>45306</v>
      </c>
      <c r="K94" s="367">
        <v>3</v>
      </c>
      <c r="L94" s="36" t="s">
        <v>150</v>
      </c>
      <c r="M94" s="228" t="b">
        <f>+ISNUMBER(PAGOS[[#This Row],[REG]])</f>
        <v>1</v>
      </c>
    </row>
    <row r="95" spans="1:13" x14ac:dyDescent="0.3">
      <c r="A95" s="50">
        <v>93</v>
      </c>
      <c r="B95" s="281" t="s">
        <v>532</v>
      </c>
      <c r="C95" s="52">
        <v>12</v>
      </c>
      <c r="D95" s="50" t="s">
        <v>20</v>
      </c>
      <c r="E95" s="203">
        <v>31</v>
      </c>
      <c r="F95" s="33">
        <v>57.14</v>
      </c>
      <c r="G95" s="51">
        <v>45306</v>
      </c>
      <c r="H95" s="363">
        <v>3</v>
      </c>
      <c r="I95" s="33">
        <v>8</v>
      </c>
      <c r="J95" s="51">
        <v>45306</v>
      </c>
      <c r="K95" s="367">
        <v>3</v>
      </c>
      <c r="L95" s="36" t="s">
        <v>80</v>
      </c>
      <c r="M95" s="228" t="b">
        <f>+ISNUMBER(PAGOS[[#This Row],[REG]])</f>
        <v>1</v>
      </c>
    </row>
    <row r="96" spans="1:13" x14ac:dyDescent="0.3">
      <c r="A96" s="50">
        <v>94</v>
      </c>
      <c r="B96" s="281" t="s">
        <v>532</v>
      </c>
      <c r="C96" s="52">
        <v>16</v>
      </c>
      <c r="D96" s="50" t="s">
        <v>23</v>
      </c>
      <c r="E96" s="203">
        <v>30</v>
      </c>
      <c r="F96" s="33">
        <v>100</v>
      </c>
      <c r="G96" s="51">
        <v>45306</v>
      </c>
      <c r="H96" s="363">
        <v>4</v>
      </c>
      <c r="I96" s="33">
        <v>8</v>
      </c>
      <c r="J96" s="51">
        <v>45306</v>
      </c>
      <c r="K96" s="367">
        <v>4</v>
      </c>
      <c r="L96" s="36" t="s">
        <v>122</v>
      </c>
      <c r="M96" s="228" t="b">
        <f>+ISNUMBER(PAGOS[[#This Row],[REG]])</f>
        <v>1</v>
      </c>
    </row>
    <row r="97" spans="1:13" x14ac:dyDescent="0.3">
      <c r="A97" s="50">
        <v>95</v>
      </c>
      <c r="B97" s="281" t="s">
        <v>532</v>
      </c>
      <c r="C97" s="52">
        <v>9</v>
      </c>
      <c r="D97" s="50" t="s">
        <v>17</v>
      </c>
      <c r="E97" s="203">
        <v>29</v>
      </c>
      <c r="F97" s="33">
        <v>0</v>
      </c>
      <c r="G97" s="51">
        <v>45306</v>
      </c>
      <c r="H97" s="363">
        <v>3</v>
      </c>
      <c r="I97" s="33">
        <v>12</v>
      </c>
      <c r="J97" s="51">
        <v>45306</v>
      </c>
      <c r="K97" s="367">
        <v>3</v>
      </c>
      <c r="L97" s="36" t="s">
        <v>80</v>
      </c>
      <c r="M97" s="228" t="b">
        <f>+ISNUMBER(PAGOS[[#This Row],[REG]])</f>
        <v>1</v>
      </c>
    </row>
    <row r="98" spans="1:13" x14ac:dyDescent="0.3">
      <c r="A98" s="50">
        <v>96</v>
      </c>
      <c r="B98" s="281" t="s">
        <v>532</v>
      </c>
      <c r="C98" s="52">
        <v>14</v>
      </c>
      <c r="D98" s="50" t="s">
        <v>21</v>
      </c>
      <c r="E98" s="203">
        <v>33</v>
      </c>
      <c r="F98" s="33">
        <v>0</v>
      </c>
      <c r="G98" s="51">
        <v>45306</v>
      </c>
      <c r="H98" s="363">
        <v>2</v>
      </c>
      <c r="I98" s="33">
        <v>5</v>
      </c>
      <c r="J98" s="51">
        <v>45306</v>
      </c>
      <c r="K98" s="367">
        <v>3</v>
      </c>
      <c r="L98" s="36" t="s">
        <v>341</v>
      </c>
      <c r="M98" s="228" t="b">
        <f>+ISNUMBER(PAGOS[[#This Row],[REG]])</f>
        <v>1</v>
      </c>
    </row>
    <row r="99" spans="1:13" x14ac:dyDescent="0.3">
      <c r="A99" s="50">
        <v>97</v>
      </c>
      <c r="B99" s="281" t="s">
        <v>532</v>
      </c>
      <c r="C99" s="52">
        <v>3</v>
      </c>
      <c r="D99" s="50" t="s">
        <v>13</v>
      </c>
      <c r="E99" s="203">
        <v>28</v>
      </c>
      <c r="F99" s="33">
        <v>25</v>
      </c>
      <c r="G99" s="51">
        <v>45306</v>
      </c>
      <c r="H99" s="363">
        <v>3</v>
      </c>
      <c r="I99" s="33">
        <v>2</v>
      </c>
      <c r="J99" s="51">
        <v>45306</v>
      </c>
      <c r="K99" s="367">
        <v>3</v>
      </c>
      <c r="L99" s="36" t="s">
        <v>80</v>
      </c>
      <c r="M99" s="228" t="b">
        <f>+ISNUMBER(PAGOS[[#This Row],[REG]])</f>
        <v>1</v>
      </c>
    </row>
    <row r="100" spans="1:13" x14ac:dyDescent="0.3">
      <c r="A100" s="50">
        <v>98</v>
      </c>
      <c r="B100" s="281" t="s">
        <v>532</v>
      </c>
      <c r="C100" s="52">
        <v>9</v>
      </c>
      <c r="D100" s="50" t="s">
        <v>17</v>
      </c>
      <c r="E100" s="203">
        <v>29</v>
      </c>
      <c r="F100" s="33">
        <v>600</v>
      </c>
      <c r="G100" s="51">
        <v>45337</v>
      </c>
      <c r="H100" s="363">
        <v>4</v>
      </c>
      <c r="I100" s="33">
        <v>0</v>
      </c>
      <c r="J100" s="51">
        <v>45337</v>
      </c>
      <c r="K100" s="367">
        <v>4</v>
      </c>
      <c r="L100" s="36" t="s">
        <v>400</v>
      </c>
      <c r="M100" s="228" t="b">
        <f>+ISNUMBER(PAGOS[[#This Row],[REG]])</f>
        <v>1</v>
      </c>
    </row>
    <row r="101" spans="1:13" x14ac:dyDescent="0.3">
      <c r="A101" s="50">
        <v>99</v>
      </c>
      <c r="B101" s="281" t="s">
        <v>532</v>
      </c>
      <c r="C101" s="52">
        <v>5</v>
      </c>
      <c r="D101" s="50" t="s">
        <v>14</v>
      </c>
      <c r="E101" s="203">
        <v>32</v>
      </c>
      <c r="F101" s="33">
        <v>0</v>
      </c>
      <c r="G101" s="51">
        <v>45337</v>
      </c>
      <c r="H101" s="363">
        <v>4</v>
      </c>
      <c r="I101" s="33">
        <v>4</v>
      </c>
      <c r="J101" s="51">
        <v>45337</v>
      </c>
      <c r="K101" s="367">
        <v>4</v>
      </c>
      <c r="L101" s="36" t="s">
        <v>121</v>
      </c>
      <c r="M101" s="228" t="b">
        <f>+ISNUMBER(PAGOS[[#This Row],[REG]])</f>
        <v>1</v>
      </c>
    </row>
    <row r="102" spans="1:13" x14ac:dyDescent="0.3">
      <c r="A102" s="50">
        <v>100</v>
      </c>
      <c r="B102" s="281" t="s">
        <v>532</v>
      </c>
      <c r="C102" s="52">
        <v>6</v>
      </c>
      <c r="D102" s="50" t="s">
        <v>24</v>
      </c>
      <c r="E102" s="203">
        <v>26</v>
      </c>
      <c r="F102" s="33">
        <v>0</v>
      </c>
      <c r="G102" s="51">
        <v>45337</v>
      </c>
      <c r="H102" s="363">
        <v>5</v>
      </c>
      <c r="I102" s="33">
        <v>10</v>
      </c>
      <c r="J102" s="51">
        <v>45337</v>
      </c>
      <c r="K102" s="367">
        <v>5</v>
      </c>
      <c r="L102" s="36" t="s">
        <v>151</v>
      </c>
      <c r="M102" s="228" t="b">
        <f>+ISNUMBER(PAGOS[[#This Row],[REG]])</f>
        <v>1</v>
      </c>
    </row>
    <row r="103" spans="1:13" x14ac:dyDescent="0.3">
      <c r="A103" s="50">
        <v>101</v>
      </c>
      <c r="B103" s="281" t="s">
        <v>532</v>
      </c>
      <c r="C103" s="52">
        <v>12</v>
      </c>
      <c r="D103" s="50" t="s">
        <v>20</v>
      </c>
      <c r="E103" s="203">
        <v>31</v>
      </c>
      <c r="F103" s="33">
        <v>57.14</v>
      </c>
      <c r="G103" s="51">
        <v>45337</v>
      </c>
      <c r="H103" s="363">
        <v>4</v>
      </c>
      <c r="I103" s="33">
        <v>8</v>
      </c>
      <c r="J103" s="51">
        <v>45337</v>
      </c>
      <c r="K103" s="367">
        <v>4</v>
      </c>
      <c r="L103" s="36" t="s">
        <v>82</v>
      </c>
      <c r="M103" s="228" t="b">
        <f>+ISNUMBER(PAGOS[[#This Row],[REG]])</f>
        <v>1</v>
      </c>
    </row>
    <row r="104" spans="1:13" x14ac:dyDescent="0.3">
      <c r="A104" s="50">
        <v>102</v>
      </c>
      <c r="B104" s="281" t="s">
        <v>532</v>
      </c>
      <c r="C104" s="52">
        <v>15</v>
      </c>
      <c r="D104" s="50" t="s">
        <v>22</v>
      </c>
      <c r="E104" s="203">
        <v>35</v>
      </c>
      <c r="F104" s="33">
        <v>0</v>
      </c>
      <c r="G104" s="51">
        <v>45337</v>
      </c>
      <c r="H104" s="363">
        <v>1</v>
      </c>
      <c r="I104" s="33">
        <v>2</v>
      </c>
      <c r="J104" s="51">
        <v>45337</v>
      </c>
      <c r="K104" s="367">
        <v>1</v>
      </c>
      <c r="L104" s="36" t="s">
        <v>83</v>
      </c>
      <c r="M104" s="228" t="b">
        <f>+ISNUMBER(PAGOS[[#This Row],[REG]])</f>
        <v>1</v>
      </c>
    </row>
    <row r="105" spans="1:13" x14ac:dyDescent="0.3">
      <c r="A105" s="50">
        <v>103</v>
      </c>
      <c r="B105" s="281" t="s">
        <v>532</v>
      </c>
      <c r="C105" s="52">
        <v>9</v>
      </c>
      <c r="D105" s="50" t="s">
        <v>17</v>
      </c>
      <c r="E105" s="203">
        <v>29</v>
      </c>
      <c r="F105" s="33">
        <v>0</v>
      </c>
      <c r="G105" s="51">
        <v>45337</v>
      </c>
      <c r="H105" s="363">
        <v>4</v>
      </c>
      <c r="I105" s="33">
        <v>12</v>
      </c>
      <c r="J105" s="51">
        <v>45337</v>
      </c>
      <c r="K105" s="367">
        <v>4</v>
      </c>
      <c r="L105" s="36" t="s">
        <v>152</v>
      </c>
      <c r="M105" s="228" t="b">
        <f>+ISNUMBER(PAGOS[[#This Row],[REG]])</f>
        <v>1</v>
      </c>
    </row>
    <row r="106" spans="1:13" x14ac:dyDescent="0.3">
      <c r="A106" s="50">
        <v>104</v>
      </c>
      <c r="B106" s="281" t="s">
        <v>532</v>
      </c>
      <c r="C106" s="52">
        <v>14</v>
      </c>
      <c r="D106" s="50" t="s">
        <v>21</v>
      </c>
      <c r="E106" s="203">
        <v>34</v>
      </c>
      <c r="F106" s="33">
        <v>0</v>
      </c>
      <c r="G106" s="51">
        <v>45337</v>
      </c>
      <c r="H106" s="363">
        <v>1</v>
      </c>
      <c r="I106" s="33">
        <v>10</v>
      </c>
      <c r="J106" s="51">
        <v>45337</v>
      </c>
      <c r="K106" s="367">
        <v>1</v>
      </c>
      <c r="L106" s="36" t="s">
        <v>153</v>
      </c>
      <c r="M106" s="228" t="b">
        <f>+ISNUMBER(PAGOS[[#This Row],[REG]])</f>
        <v>1</v>
      </c>
    </row>
    <row r="107" spans="1:13" x14ac:dyDescent="0.3">
      <c r="A107" s="50">
        <v>105</v>
      </c>
      <c r="B107" s="281" t="s">
        <v>530</v>
      </c>
      <c r="C107" s="52">
        <v>1</v>
      </c>
      <c r="D107" s="50" t="s">
        <v>355</v>
      </c>
      <c r="E107" s="283">
        <v>0</v>
      </c>
      <c r="F107" s="33">
        <v>0</v>
      </c>
      <c r="G107" s="51">
        <v>45337</v>
      </c>
      <c r="H107" s="364" t="s">
        <v>490</v>
      </c>
      <c r="I107" s="33">
        <v>4</v>
      </c>
      <c r="J107" s="51">
        <v>45337</v>
      </c>
      <c r="K107" s="368" t="s">
        <v>490</v>
      </c>
      <c r="L107" s="36" t="s">
        <v>154</v>
      </c>
      <c r="M107" s="228" t="b">
        <f>+ISNUMBER(PAGOS[[#This Row],[REG]])</f>
        <v>1</v>
      </c>
    </row>
    <row r="108" spans="1:13" x14ac:dyDescent="0.3">
      <c r="A108" s="50">
        <v>106</v>
      </c>
      <c r="B108" s="281" t="s">
        <v>530</v>
      </c>
      <c r="C108" s="52">
        <v>1</v>
      </c>
      <c r="D108" s="50" t="s">
        <v>356</v>
      </c>
      <c r="E108" s="283">
        <v>0</v>
      </c>
      <c r="F108" s="33">
        <v>0</v>
      </c>
      <c r="G108" s="51">
        <v>45337</v>
      </c>
      <c r="H108" s="364" t="s">
        <v>490</v>
      </c>
      <c r="I108" s="33">
        <v>4</v>
      </c>
      <c r="J108" s="51">
        <v>45337</v>
      </c>
      <c r="K108" s="368" t="s">
        <v>490</v>
      </c>
      <c r="L108" s="36" t="s">
        <v>154</v>
      </c>
      <c r="M108" s="228" t="b">
        <f>+ISNUMBER(PAGOS[[#This Row],[REG]])</f>
        <v>1</v>
      </c>
    </row>
    <row r="109" spans="1:13" x14ac:dyDescent="0.3">
      <c r="A109" s="50">
        <v>107</v>
      </c>
      <c r="B109" s="281" t="s">
        <v>532</v>
      </c>
      <c r="C109" s="52">
        <v>6</v>
      </c>
      <c r="D109" s="50" t="s">
        <v>24</v>
      </c>
      <c r="E109" s="203">
        <v>26</v>
      </c>
      <c r="F109" s="33">
        <v>500</v>
      </c>
      <c r="G109" s="51">
        <v>45366</v>
      </c>
      <c r="H109" s="363">
        <v>6</v>
      </c>
      <c r="I109" s="33">
        <v>0</v>
      </c>
      <c r="J109" s="51">
        <v>45366</v>
      </c>
      <c r="K109" s="367">
        <v>6</v>
      </c>
      <c r="L109" s="36" t="s">
        <v>407</v>
      </c>
      <c r="M109" s="228" t="b">
        <f>+ISNUMBER(PAGOS[[#This Row],[REG]])</f>
        <v>1</v>
      </c>
    </row>
    <row r="110" spans="1:13" x14ac:dyDescent="0.3">
      <c r="A110" s="50">
        <v>108</v>
      </c>
      <c r="B110" s="281" t="s">
        <v>532</v>
      </c>
      <c r="C110" s="52">
        <v>14</v>
      </c>
      <c r="D110" s="50" t="s">
        <v>21</v>
      </c>
      <c r="E110" s="203">
        <v>34</v>
      </c>
      <c r="F110" s="33">
        <v>500</v>
      </c>
      <c r="G110" s="51">
        <v>45366</v>
      </c>
      <c r="H110" s="363">
        <v>2</v>
      </c>
      <c r="I110" s="33">
        <v>0</v>
      </c>
      <c r="J110" s="51">
        <v>45366</v>
      </c>
      <c r="K110" s="367">
        <v>2</v>
      </c>
      <c r="L110" s="36" t="s">
        <v>342</v>
      </c>
      <c r="M110" s="228" t="b">
        <f>+ISNUMBER(PAGOS[[#This Row],[REG]])</f>
        <v>1</v>
      </c>
    </row>
    <row r="111" spans="1:13" x14ac:dyDescent="0.3">
      <c r="A111" s="50">
        <v>109</v>
      </c>
      <c r="B111" s="281" t="s">
        <v>531</v>
      </c>
      <c r="C111" s="52">
        <v>15</v>
      </c>
      <c r="D111" s="50" t="s">
        <v>22</v>
      </c>
      <c r="E111" s="203">
        <v>35</v>
      </c>
      <c r="F111" s="33">
        <v>0</v>
      </c>
      <c r="G111" s="51">
        <v>45366</v>
      </c>
      <c r="H111" s="363" t="s">
        <v>491</v>
      </c>
      <c r="I111" s="33">
        <v>6</v>
      </c>
      <c r="J111" s="51">
        <v>45366</v>
      </c>
      <c r="K111" s="367" t="s">
        <v>491</v>
      </c>
      <c r="L111" s="36" t="s">
        <v>408</v>
      </c>
      <c r="M111" s="228" t="b">
        <f>+ISNUMBER(PAGOS[[#This Row],[REG]])</f>
        <v>1</v>
      </c>
    </row>
    <row r="112" spans="1:13" x14ac:dyDescent="0.3">
      <c r="A112" s="50">
        <v>110</v>
      </c>
      <c r="B112" s="281" t="s">
        <v>532</v>
      </c>
      <c r="C112" s="52">
        <v>15</v>
      </c>
      <c r="D112" s="50" t="s">
        <v>22</v>
      </c>
      <c r="E112" s="203">
        <v>35</v>
      </c>
      <c r="F112" s="33">
        <v>100</v>
      </c>
      <c r="G112" s="51">
        <v>45366</v>
      </c>
      <c r="H112" s="363">
        <v>5</v>
      </c>
      <c r="I112" s="33">
        <v>0</v>
      </c>
      <c r="J112" s="51">
        <v>45366</v>
      </c>
      <c r="K112" s="367">
        <v>5</v>
      </c>
      <c r="L112" s="36" t="s">
        <v>409</v>
      </c>
      <c r="M112" s="228" t="b">
        <f>+ISNUMBER(PAGOS[[#This Row],[REG]])</f>
        <v>1</v>
      </c>
    </row>
    <row r="113" spans="1:13" x14ac:dyDescent="0.3">
      <c r="A113" s="50">
        <v>111</v>
      </c>
      <c r="B113" s="281" t="s">
        <v>532</v>
      </c>
      <c r="C113" s="52">
        <v>12</v>
      </c>
      <c r="D113" s="50" t="s">
        <v>20</v>
      </c>
      <c r="E113" s="203">
        <v>31</v>
      </c>
      <c r="F113" s="33">
        <v>57.14</v>
      </c>
      <c r="G113" s="51">
        <v>45366</v>
      </c>
      <c r="H113" s="363">
        <v>5</v>
      </c>
      <c r="I113" s="33">
        <v>8</v>
      </c>
      <c r="J113" s="51">
        <v>45366</v>
      </c>
      <c r="K113" s="367">
        <v>5</v>
      </c>
      <c r="L113" s="36" t="s">
        <v>179</v>
      </c>
      <c r="M113" s="228" t="b">
        <f>+ISNUMBER(PAGOS[[#This Row],[REG]])</f>
        <v>1</v>
      </c>
    </row>
    <row r="114" spans="1:13" x14ac:dyDescent="0.3">
      <c r="A114" s="50">
        <v>112</v>
      </c>
      <c r="B114" s="281" t="s">
        <v>532</v>
      </c>
      <c r="C114" s="52">
        <v>5</v>
      </c>
      <c r="D114" s="50" t="s">
        <v>14</v>
      </c>
      <c r="E114" s="203">
        <v>32</v>
      </c>
      <c r="F114" s="33">
        <v>200</v>
      </c>
      <c r="G114" s="51">
        <v>45366</v>
      </c>
      <c r="H114" s="363">
        <v>4</v>
      </c>
      <c r="I114" s="33">
        <v>4</v>
      </c>
      <c r="J114" s="51">
        <v>45366</v>
      </c>
      <c r="K114" s="367">
        <v>4</v>
      </c>
      <c r="L114" s="36" t="s">
        <v>231</v>
      </c>
      <c r="M114" s="228" t="b">
        <f>+ISNUMBER(PAGOS[[#This Row],[REG]])</f>
        <v>1</v>
      </c>
    </row>
    <row r="115" spans="1:13" x14ac:dyDescent="0.3">
      <c r="A115" s="50">
        <v>113</v>
      </c>
      <c r="B115" s="281" t="s">
        <v>532</v>
      </c>
      <c r="C115" s="52">
        <v>6</v>
      </c>
      <c r="D115" s="50" t="s">
        <v>24</v>
      </c>
      <c r="E115" s="203">
        <v>26</v>
      </c>
      <c r="F115" s="33">
        <v>0</v>
      </c>
      <c r="G115" s="51">
        <v>45366</v>
      </c>
      <c r="H115" s="363">
        <v>6</v>
      </c>
      <c r="I115" s="33">
        <v>10</v>
      </c>
      <c r="J115" s="51">
        <v>45366</v>
      </c>
      <c r="K115" s="367">
        <v>6</v>
      </c>
      <c r="L115" s="36" t="s">
        <v>181</v>
      </c>
      <c r="M115" s="228" t="b">
        <f>+ISNUMBER(PAGOS[[#This Row],[REG]])</f>
        <v>1</v>
      </c>
    </row>
    <row r="116" spans="1:13" x14ac:dyDescent="0.3">
      <c r="A116" s="50">
        <v>114</v>
      </c>
      <c r="B116" s="281" t="s">
        <v>532</v>
      </c>
      <c r="C116" s="52">
        <v>15</v>
      </c>
      <c r="D116" s="50" t="s">
        <v>22</v>
      </c>
      <c r="E116" s="203">
        <v>35</v>
      </c>
      <c r="F116" s="33">
        <v>0</v>
      </c>
      <c r="G116" s="51">
        <v>45366</v>
      </c>
      <c r="H116" s="363">
        <v>3</v>
      </c>
      <c r="I116" s="33">
        <v>2</v>
      </c>
      <c r="J116" s="51">
        <v>45366</v>
      </c>
      <c r="K116" s="367">
        <v>3</v>
      </c>
      <c r="L116" s="36" t="s">
        <v>343</v>
      </c>
      <c r="M116" s="228" t="b">
        <f>+ISNUMBER(PAGOS[[#This Row],[REG]])</f>
        <v>1</v>
      </c>
    </row>
    <row r="117" spans="1:13" x14ac:dyDescent="0.3">
      <c r="A117" s="50">
        <v>115</v>
      </c>
      <c r="B117" s="281" t="s">
        <v>532</v>
      </c>
      <c r="C117" s="52">
        <v>9</v>
      </c>
      <c r="D117" s="50" t="s">
        <v>17</v>
      </c>
      <c r="E117" s="203">
        <v>36</v>
      </c>
      <c r="F117" s="33">
        <v>120</v>
      </c>
      <c r="G117" s="51">
        <v>45366</v>
      </c>
      <c r="H117" s="363">
        <v>1</v>
      </c>
      <c r="I117" s="33">
        <v>12</v>
      </c>
      <c r="J117" s="51">
        <v>45366</v>
      </c>
      <c r="K117" s="367">
        <v>1</v>
      </c>
      <c r="L117" s="36" t="s">
        <v>180</v>
      </c>
      <c r="M117" s="228" t="b">
        <f>+ISNUMBER(PAGOS[[#This Row],[REG]])</f>
        <v>1</v>
      </c>
    </row>
    <row r="118" spans="1:13" x14ac:dyDescent="0.3">
      <c r="A118" s="50">
        <v>116</v>
      </c>
      <c r="B118" s="281" t="s">
        <v>532</v>
      </c>
      <c r="C118" s="52">
        <v>14</v>
      </c>
      <c r="D118" s="50" t="s">
        <v>21</v>
      </c>
      <c r="E118" s="203">
        <v>34</v>
      </c>
      <c r="F118" s="33">
        <v>0</v>
      </c>
      <c r="G118" s="51">
        <v>45366</v>
      </c>
      <c r="H118" s="363">
        <v>2</v>
      </c>
      <c r="I118" s="33">
        <v>10</v>
      </c>
      <c r="J118" s="51">
        <v>45366</v>
      </c>
      <c r="K118" s="367">
        <v>2</v>
      </c>
      <c r="L118" s="36" t="s">
        <v>84</v>
      </c>
      <c r="M118" s="228" t="b">
        <f>+ISNUMBER(PAGOS[[#This Row],[REG]])</f>
        <v>1</v>
      </c>
    </row>
    <row r="119" spans="1:13" x14ac:dyDescent="0.3">
      <c r="A119" s="50">
        <v>117</v>
      </c>
      <c r="B119" s="281" t="s">
        <v>532</v>
      </c>
      <c r="C119" s="52">
        <v>4</v>
      </c>
      <c r="D119" s="50" t="s">
        <v>12</v>
      </c>
      <c r="E119" s="203">
        <v>37</v>
      </c>
      <c r="F119" s="33">
        <v>25</v>
      </c>
      <c r="G119" s="51">
        <v>45366</v>
      </c>
      <c r="H119" s="363">
        <v>1</v>
      </c>
      <c r="I119" s="33">
        <v>2</v>
      </c>
      <c r="J119" s="51">
        <v>45366</v>
      </c>
      <c r="K119" s="367">
        <v>1</v>
      </c>
      <c r="L119" s="36" t="s">
        <v>76</v>
      </c>
      <c r="M119" s="228" t="b">
        <f>+ISNUMBER(PAGOS[[#This Row],[REG]])</f>
        <v>1</v>
      </c>
    </row>
    <row r="120" spans="1:13" x14ac:dyDescent="0.3">
      <c r="A120" s="50">
        <v>118</v>
      </c>
      <c r="B120" s="281" t="s">
        <v>532</v>
      </c>
      <c r="C120" s="52">
        <v>4</v>
      </c>
      <c r="D120" s="50" t="s">
        <v>12</v>
      </c>
      <c r="E120" s="203">
        <v>37</v>
      </c>
      <c r="F120" s="33">
        <v>25</v>
      </c>
      <c r="G120" s="51">
        <v>45397</v>
      </c>
      <c r="H120" s="363">
        <v>2</v>
      </c>
      <c r="I120" s="33">
        <v>2</v>
      </c>
      <c r="J120" s="51">
        <v>45397</v>
      </c>
      <c r="K120" s="367">
        <v>2</v>
      </c>
      <c r="L120" s="36" t="s">
        <v>77</v>
      </c>
      <c r="M120" s="228" t="b">
        <f>+ISNUMBER(PAGOS[[#This Row],[REG]])</f>
        <v>1</v>
      </c>
    </row>
    <row r="121" spans="1:13" x14ac:dyDescent="0.3">
      <c r="A121" s="50">
        <v>119</v>
      </c>
      <c r="B121" s="281" t="s">
        <v>532</v>
      </c>
      <c r="C121" s="52">
        <v>5</v>
      </c>
      <c r="D121" s="50" t="s">
        <v>14</v>
      </c>
      <c r="E121" s="203">
        <v>38</v>
      </c>
      <c r="F121" s="33">
        <v>100</v>
      </c>
      <c r="G121" s="51">
        <v>45397</v>
      </c>
      <c r="H121" s="363">
        <v>1</v>
      </c>
      <c r="I121" s="33">
        <v>20</v>
      </c>
      <c r="J121" s="51">
        <v>45397</v>
      </c>
      <c r="K121" s="367">
        <v>1</v>
      </c>
      <c r="L121" s="36" t="s">
        <v>76</v>
      </c>
      <c r="M121" s="228" t="b">
        <f>+ISNUMBER(PAGOS[[#This Row],[REG]])</f>
        <v>1</v>
      </c>
    </row>
    <row r="122" spans="1:13" x14ac:dyDescent="0.3">
      <c r="A122" s="50">
        <v>120</v>
      </c>
      <c r="B122" s="281" t="s">
        <v>532</v>
      </c>
      <c r="C122" s="52">
        <v>9</v>
      </c>
      <c r="D122" s="50" t="s">
        <v>17</v>
      </c>
      <c r="E122" s="203">
        <v>36</v>
      </c>
      <c r="F122" s="33">
        <v>120</v>
      </c>
      <c r="G122" s="51">
        <v>45397</v>
      </c>
      <c r="H122" s="363">
        <v>1</v>
      </c>
      <c r="I122" s="33">
        <v>12</v>
      </c>
      <c r="J122" s="51">
        <v>45397</v>
      </c>
      <c r="K122" s="367">
        <v>1</v>
      </c>
      <c r="L122" s="36" t="s">
        <v>76</v>
      </c>
      <c r="M122" s="228" t="b">
        <f>+ISNUMBER(PAGOS[[#This Row],[REG]])</f>
        <v>1</v>
      </c>
    </row>
    <row r="123" spans="1:13" x14ac:dyDescent="0.3">
      <c r="A123" s="50">
        <v>121</v>
      </c>
      <c r="B123" s="281" t="s">
        <v>532</v>
      </c>
      <c r="C123" s="52">
        <v>10</v>
      </c>
      <c r="D123" s="50" t="s">
        <v>18</v>
      </c>
      <c r="E123" s="203">
        <v>41</v>
      </c>
      <c r="F123" s="33">
        <v>20</v>
      </c>
      <c r="G123" s="51">
        <v>45397</v>
      </c>
      <c r="H123" s="363">
        <v>1</v>
      </c>
      <c r="I123" s="33">
        <v>2</v>
      </c>
      <c r="J123" s="51">
        <v>45397</v>
      </c>
      <c r="K123" s="367">
        <v>1</v>
      </c>
      <c r="L123" s="36" t="s">
        <v>76</v>
      </c>
      <c r="M123" s="228" t="b">
        <f>+ISNUMBER(PAGOS[[#This Row],[REG]])</f>
        <v>1</v>
      </c>
    </row>
    <row r="124" spans="1:13" x14ac:dyDescent="0.3">
      <c r="A124" s="50">
        <v>122</v>
      </c>
      <c r="B124" s="281" t="s">
        <v>532</v>
      </c>
      <c r="C124" s="52">
        <v>12</v>
      </c>
      <c r="D124" s="50" t="s">
        <v>20</v>
      </c>
      <c r="E124" s="203">
        <v>31</v>
      </c>
      <c r="F124" s="33">
        <v>57.14</v>
      </c>
      <c r="G124" s="51">
        <v>45397</v>
      </c>
      <c r="H124" s="363">
        <v>6</v>
      </c>
      <c r="I124" s="33">
        <v>8</v>
      </c>
      <c r="J124" s="51">
        <v>45397</v>
      </c>
      <c r="K124" s="367">
        <v>6</v>
      </c>
      <c r="L124" s="36" t="s">
        <v>189</v>
      </c>
      <c r="M124" s="228" t="b">
        <f>+ISNUMBER(PAGOS[[#This Row],[REG]])</f>
        <v>1</v>
      </c>
    </row>
    <row r="125" spans="1:13" x14ac:dyDescent="0.3">
      <c r="A125" s="50">
        <v>123</v>
      </c>
      <c r="B125" s="281" t="s">
        <v>532</v>
      </c>
      <c r="C125" s="52">
        <v>14</v>
      </c>
      <c r="D125" s="50" t="s">
        <v>21</v>
      </c>
      <c r="E125" s="203">
        <v>40</v>
      </c>
      <c r="F125" s="33">
        <v>100</v>
      </c>
      <c r="G125" s="51">
        <v>45397</v>
      </c>
      <c r="H125" s="363">
        <v>1</v>
      </c>
      <c r="I125" s="33">
        <v>8</v>
      </c>
      <c r="J125" s="51">
        <v>45397</v>
      </c>
      <c r="K125" s="367">
        <v>1</v>
      </c>
      <c r="L125" s="36" t="s">
        <v>76</v>
      </c>
      <c r="M125" s="228" t="b">
        <f>+ISNUMBER(PAGOS[[#This Row],[REG]])</f>
        <v>1</v>
      </c>
    </row>
    <row r="126" spans="1:13" x14ac:dyDescent="0.3">
      <c r="A126" s="50">
        <v>124</v>
      </c>
      <c r="B126" s="281" t="s">
        <v>532</v>
      </c>
      <c r="C126" s="52">
        <v>15</v>
      </c>
      <c r="D126" s="50" t="s">
        <v>22</v>
      </c>
      <c r="E126" s="203">
        <v>39</v>
      </c>
      <c r="F126" s="33">
        <v>50</v>
      </c>
      <c r="G126" s="51">
        <v>45397</v>
      </c>
      <c r="H126" s="363">
        <v>1</v>
      </c>
      <c r="I126" s="33">
        <v>12</v>
      </c>
      <c r="J126" s="51">
        <v>45397</v>
      </c>
      <c r="K126" s="367">
        <v>1</v>
      </c>
      <c r="L126" s="36" t="s">
        <v>76</v>
      </c>
      <c r="M126" s="228" t="b">
        <f>+ISNUMBER(PAGOS[[#This Row],[REG]])</f>
        <v>1</v>
      </c>
    </row>
    <row r="127" spans="1:13" x14ac:dyDescent="0.3">
      <c r="A127" s="50">
        <v>125</v>
      </c>
      <c r="B127" s="281" t="s">
        <v>532</v>
      </c>
      <c r="C127" s="52">
        <v>5</v>
      </c>
      <c r="D127" s="50" t="s">
        <v>14</v>
      </c>
      <c r="E127" s="203">
        <v>38</v>
      </c>
      <c r="F127" s="33">
        <v>100</v>
      </c>
      <c r="G127" s="51">
        <v>45427</v>
      </c>
      <c r="H127" s="363">
        <v>2</v>
      </c>
      <c r="I127" s="33">
        <v>20</v>
      </c>
      <c r="J127" s="51">
        <v>45427</v>
      </c>
      <c r="K127" s="367">
        <v>2</v>
      </c>
      <c r="L127" s="36" t="s">
        <v>77</v>
      </c>
      <c r="M127" s="228" t="b">
        <f>+ISNUMBER(PAGOS[[#This Row],[REG]])</f>
        <v>1</v>
      </c>
    </row>
    <row r="128" spans="1:13" x14ac:dyDescent="0.3">
      <c r="A128" s="50">
        <v>126</v>
      </c>
      <c r="B128" s="281" t="s">
        <v>532</v>
      </c>
      <c r="C128" s="52">
        <v>4</v>
      </c>
      <c r="D128" s="50" t="s">
        <v>12</v>
      </c>
      <c r="E128" s="203">
        <v>37</v>
      </c>
      <c r="F128" s="33">
        <v>25</v>
      </c>
      <c r="G128" s="51">
        <v>45427</v>
      </c>
      <c r="H128" s="363">
        <v>3</v>
      </c>
      <c r="I128" s="33">
        <v>2</v>
      </c>
      <c r="J128" s="51">
        <v>45427</v>
      </c>
      <c r="K128" s="367">
        <v>3</v>
      </c>
      <c r="L128" s="36" t="s">
        <v>80</v>
      </c>
      <c r="M128" s="228" t="b">
        <f>+ISNUMBER(PAGOS[[#This Row],[REG]])</f>
        <v>1</v>
      </c>
    </row>
    <row r="129" spans="1:13" x14ac:dyDescent="0.3">
      <c r="A129" s="50">
        <v>127</v>
      </c>
      <c r="B129" s="281" t="s">
        <v>532</v>
      </c>
      <c r="C129" s="52">
        <v>12</v>
      </c>
      <c r="D129" s="50" t="s">
        <v>20</v>
      </c>
      <c r="E129" s="203">
        <v>31</v>
      </c>
      <c r="F129" s="33">
        <v>57.14</v>
      </c>
      <c r="G129" s="51">
        <v>45427</v>
      </c>
      <c r="H129" s="363">
        <v>7</v>
      </c>
      <c r="I129" s="33">
        <v>8</v>
      </c>
      <c r="J129" s="51">
        <v>45427</v>
      </c>
      <c r="K129" s="367">
        <v>7</v>
      </c>
      <c r="L129" s="36" t="s">
        <v>193</v>
      </c>
      <c r="M129" s="228" t="b">
        <f>+ISNUMBER(PAGOS[[#This Row],[REG]])</f>
        <v>1</v>
      </c>
    </row>
    <row r="130" spans="1:13" x14ac:dyDescent="0.3">
      <c r="A130" s="50">
        <v>128</v>
      </c>
      <c r="B130" s="281" t="s">
        <v>532</v>
      </c>
      <c r="C130" s="52">
        <v>15</v>
      </c>
      <c r="D130" s="50" t="s">
        <v>22</v>
      </c>
      <c r="E130" s="203">
        <v>39</v>
      </c>
      <c r="F130" s="33">
        <v>50</v>
      </c>
      <c r="G130" s="51">
        <v>45427</v>
      </c>
      <c r="H130" s="363">
        <v>2</v>
      </c>
      <c r="I130" s="33">
        <v>12</v>
      </c>
      <c r="J130" s="51">
        <v>45427</v>
      </c>
      <c r="K130" s="367">
        <v>2</v>
      </c>
      <c r="L130" s="36" t="s">
        <v>77</v>
      </c>
      <c r="M130" s="228" t="b">
        <f>+ISNUMBER(PAGOS[[#This Row],[REG]])</f>
        <v>1</v>
      </c>
    </row>
    <row r="131" spans="1:13" x14ac:dyDescent="0.3">
      <c r="A131" s="50">
        <v>129</v>
      </c>
      <c r="B131" s="281" t="s">
        <v>532</v>
      </c>
      <c r="C131" s="52">
        <v>10</v>
      </c>
      <c r="D131" s="50" t="s">
        <v>18</v>
      </c>
      <c r="E131" s="203">
        <v>41</v>
      </c>
      <c r="F131" s="33">
        <v>20</v>
      </c>
      <c r="G131" s="51">
        <v>45427</v>
      </c>
      <c r="H131" s="363">
        <v>2</v>
      </c>
      <c r="I131" s="33">
        <v>2</v>
      </c>
      <c r="J131" s="51">
        <v>45427</v>
      </c>
      <c r="K131" s="367">
        <v>2</v>
      </c>
      <c r="L131" s="36" t="s">
        <v>77</v>
      </c>
      <c r="M131" s="228" t="b">
        <f>+ISNUMBER(PAGOS[[#This Row],[REG]])</f>
        <v>1</v>
      </c>
    </row>
    <row r="132" spans="1:13" x14ac:dyDescent="0.3">
      <c r="A132" s="50">
        <v>130</v>
      </c>
      <c r="B132" s="281" t="s">
        <v>532</v>
      </c>
      <c r="C132" s="52">
        <v>9</v>
      </c>
      <c r="D132" s="50" t="s">
        <v>17</v>
      </c>
      <c r="E132" s="203">
        <v>36</v>
      </c>
      <c r="F132" s="33">
        <v>120</v>
      </c>
      <c r="G132" s="51">
        <v>45427</v>
      </c>
      <c r="H132" s="363">
        <v>3</v>
      </c>
      <c r="I132" s="33">
        <v>12</v>
      </c>
      <c r="J132" s="51">
        <v>45427</v>
      </c>
      <c r="K132" s="367">
        <v>3</v>
      </c>
      <c r="L132" s="36" t="s">
        <v>80</v>
      </c>
      <c r="M132" s="228" t="b">
        <f>+ISNUMBER(PAGOS[[#This Row],[REG]])</f>
        <v>1</v>
      </c>
    </row>
    <row r="133" spans="1:13" x14ac:dyDescent="0.3">
      <c r="A133" s="50">
        <v>131</v>
      </c>
      <c r="B133" s="281" t="s">
        <v>532</v>
      </c>
      <c r="C133" s="52">
        <v>14</v>
      </c>
      <c r="D133" s="50" t="s">
        <v>21</v>
      </c>
      <c r="E133" s="203">
        <v>40</v>
      </c>
      <c r="F133" s="33">
        <v>100</v>
      </c>
      <c r="G133" s="51">
        <v>45427</v>
      </c>
      <c r="H133" s="363">
        <v>2</v>
      </c>
      <c r="I133" s="33">
        <v>8</v>
      </c>
      <c r="J133" s="51">
        <v>45427</v>
      </c>
      <c r="K133" s="367">
        <v>2</v>
      </c>
      <c r="L133" s="36" t="s">
        <v>77</v>
      </c>
      <c r="M133" s="228" t="b">
        <f>+ISNUMBER(PAGOS[[#This Row],[REG]])</f>
        <v>1</v>
      </c>
    </row>
    <row r="134" spans="1:13" x14ac:dyDescent="0.3">
      <c r="A134" s="50">
        <v>132</v>
      </c>
      <c r="B134" s="281" t="s">
        <v>530</v>
      </c>
      <c r="C134" s="52">
        <v>1</v>
      </c>
      <c r="D134" s="50" t="s">
        <v>19</v>
      </c>
      <c r="E134" s="283">
        <v>0</v>
      </c>
      <c r="F134" s="33">
        <v>0</v>
      </c>
      <c r="G134" s="51">
        <v>45427</v>
      </c>
      <c r="H134" s="364" t="s">
        <v>490</v>
      </c>
      <c r="I134" s="33">
        <v>4</v>
      </c>
      <c r="J134" s="51">
        <v>45427</v>
      </c>
      <c r="K134" s="368" t="s">
        <v>490</v>
      </c>
      <c r="L134" s="36" t="s">
        <v>154</v>
      </c>
      <c r="M134" s="228" t="b">
        <f>+ISNUMBER(PAGOS[[#This Row],[REG]])</f>
        <v>1</v>
      </c>
    </row>
    <row r="135" spans="1:13" x14ac:dyDescent="0.3">
      <c r="A135" s="50">
        <v>133</v>
      </c>
      <c r="B135" s="281" t="s">
        <v>532</v>
      </c>
      <c r="C135" s="52">
        <v>14</v>
      </c>
      <c r="D135" s="50" t="s">
        <v>21</v>
      </c>
      <c r="E135" s="203">
        <v>40</v>
      </c>
      <c r="F135" s="33">
        <v>200</v>
      </c>
      <c r="G135" s="288">
        <v>45458</v>
      </c>
      <c r="H135" s="363">
        <v>4</v>
      </c>
      <c r="I135" s="33">
        <v>0</v>
      </c>
      <c r="J135" s="288">
        <v>45458</v>
      </c>
      <c r="K135" s="367">
        <v>4</v>
      </c>
      <c r="L135" s="36" t="s">
        <v>410</v>
      </c>
      <c r="M135" s="236" t="b">
        <f>+ISNUMBER(PAGOS[[#This Row],[REG]])</f>
        <v>1</v>
      </c>
    </row>
    <row r="136" spans="1:13" x14ac:dyDescent="0.3">
      <c r="A136" s="50">
        <v>134</v>
      </c>
      <c r="B136" s="281" t="s">
        <v>531</v>
      </c>
      <c r="C136" s="52">
        <v>14</v>
      </c>
      <c r="D136" s="50" t="s">
        <v>21</v>
      </c>
      <c r="E136" s="203">
        <v>40</v>
      </c>
      <c r="F136" s="33">
        <v>0</v>
      </c>
      <c r="G136" s="288">
        <v>45458</v>
      </c>
      <c r="H136" s="363" t="s">
        <v>491</v>
      </c>
      <c r="I136" s="33">
        <v>8</v>
      </c>
      <c r="J136" s="288">
        <v>45458</v>
      </c>
      <c r="K136" s="367" t="s">
        <v>491</v>
      </c>
      <c r="L136" s="36" t="s">
        <v>411</v>
      </c>
      <c r="M136" s="236" t="b">
        <f>+ISNUMBER(PAGOS[[#This Row],[REG]])</f>
        <v>1</v>
      </c>
    </row>
    <row r="137" spans="1:13" x14ac:dyDescent="0.3">
      <c r="A137" s="50">
        <v>135</v>
      </c>
      <c r="B137" s="281" t="s">
        <v>532</v>
      </c>
      <c r="C137" s="52">
        <v>5</v>
      </c>
      <c r="D137" s="50" t="s">
        <v>14</v>
      </c>
      <c r="E137" s="203">
        <v>38</v>
      </c>
      <c r="F137" s="33">
        <v>100</v>
      </c>
      <c r="G137" s="51">
        <v>45458</v>
      </c>
      <c r="H137" s="363">
        <v>3</v>
      </c>
      <c r="I137" s="33">
        <v>20</v>
      </c>
      <c r="J137" s="51">
        <v>45458</v>
      </c>
      <c r="K137" s="367">
        <v>3</v>
      </c>
      <c r="L137" s="36" t="s">
        <v>80</v>
      </c>
      <c r="M137" s="228" t="b">
        <f>+ISNUMBER(PAGOS[[#This Row],[REG]])</f>
        <v>1</v>
      </c>
    </row>
    <row r="138" spans="1:13" x14ac:dyDescent="0.3">
      <c r="A138" s="50">
        <v>136</v>
      </c>
      <c r="B138" s="281" t="s">
        <v>532</v>
      </c>
      <c r="C138" s="52">
        <v>4</v>
      </c>
      <c r="D138" s="50" t="s">
        <v>12</v>
      </c>
      <c r="E138" s="203">
        <v>37</v>
      </c>
      <c r="F138" s="33">
        <v>25</v>
      </c>
      <c r="G138" s="51">
        <v>45458</v>
      </c>
      <c r="H138" s="363">
        <v>4</v>
      </c>
      <c r="I138" s="33">
        <v>2</v>
      </c>
      <c r="J138" s="51">
        <v>45458</v>
      </c>
      <c r="K138" s="367">
        <v>4</v>
      </c>
      <c r="L138" s="36" t="s">
        <v>82</v>
      </c>
      <c r="M138" s="228" t="b">
        <f>+ISNUMBER(PAGOS[[#This Row],[REG]])</f>
        <v>1</v>
      </c>
    </row>
    <row r="139" spans="1:13" x14ac:dyDescent="0.3">
      <c r="A139" s="50">
        <v>137</v>
      </c>
      <c r="B139" s="281" t="s">
        <v>532</v>
      </c>
      <c r="C139" s="52">
        <v>12</v>
      </c>
      <c r="D139" s="50" t="s">
        <v>20</v>
      </c>
      <c r="E139" s="203">
        <v>44</v>
      </c>
      <c r="F139" s="33">
        <v>85.74</v>
      </c>
      <c r="G139" s="51">
        <v>45458</v>
      </c>
      <c r="H139" s="363">
        <v>1</v>
      </c>
      <c r="I139" s="33">
        <v>12</v>
      </c>
      <c r="J139" s="51">
        <v>45458</v>
      </c>
      <c r="K139" s="367">
        <v>1</v>
      </c>
      <c r="L139" s="36" t="s">
        <v>76</v>
      </c>
      <c r="M139" s="228" t="b">
        <f>+ISNUMBER(PAGOS[[#This Row],[REG]])</f>
        <v>1</v>
      </c>
    </row>
    <row r="140" spans="1:13" x14ac:dyDescent="0.3">
      <c r="A140" s="50">
        <v>138</v>
      </c>
      <c r="B140" s="281" t="s">
        <v>532</v>
      </c>
      <c r="C140" s="52">
        <v>15</v>
      </c>
      <c r="D140" s="50" t="s">
        <v>22</v>
      </c>
      <c r="E140" s="203">
        <v>39</v>
      </c>
      <c r="F140" s="33">
        <v>50</v>
      </c>
      <c r="G140" s="51">
        <v>45458</v>
      </c>
      <c r="H140" s="363">
        <v>3</v>
      </c>
      <c r="I140" s="33">
        <v>12</v>
      </c>
      <c r="J140" s="51">
        <v>45458</v>
      </c>
      <c r="K140" s="367">
        <v>3</v>
      </c>
      <c r="L140" s="36" t="s">
        <v>80</v>
      </c>
      <c r="M140" s="228" t="b">
        <f>+ISNUMBER(PAGOS[[#This Row],[REG]])</f>
        <v>1</v>
      </c>
    </row>
    <row r="141" spans="1:13" x14ac:dyDescent="0.3">
      <c r="A141" s="50">
        <v>139</v>
      </c>
      <c r="B141" s="281" t="s">
        <v>532</v>
      </c>
      <c r="C141" s="52">
        <v>10</v>
      </c>
      <c r="D141" s="50" t="s">
        <v>18</v>
      </c>
      <c r="E141" s="203">
        <v>41</v>
      </c>
      <c r="F141" s="33">
        <v>20</v>
      </c>
      <c r="G141" s="51">
        <v>45458</v>
      </c>
      <c r="H141" s="363">
        <v>3</v>
      </c>
      <c r="I141" s="33">
        <v>2</v>
      </c>
      <c r="J141" s="51">
        <v>45458</v>
      </c>
      <c r="K141" s="367">
        <v>3</v>
      </c>
      <c r="L141" s="36" t="s">
        <v>80</v>
      </c>
      <c r="M141" s="228" t="b">
        <f>+ISNUMBER(PAGOS[[#This Row],[REG]])</f>
        <v>1</v>
      </c>
    </row>
    <row r="142" spans="1:13" x14ac:dyDescent="0.3">
      <c r="A142" s="50">
        <v>140</v>
      </c>
      <c r="B142" s="281" t="s">
        <v>532</v>
      </c>
      <c r="C142" s="52">
        <v>7</v>
      </c>
      <c r="D142" s="50" t="s">
        <v>15</v>
      </c>
      <c r="E142" s="203">
        <v>45</v>
      </c>
      <c r="F142" s="33">
        <v>100</v>
      </c>
      <c r="G142" s="51">
        <v>45458</v>
      </c>
      <c r="H142" s="363">
        <v>1</v>
      </c>
      <c r="I142" s="33">
        <v>8</v>
      </c>
      <c r="J142" s="51">
        <v>45458</v>
      </c>
      <c r="K142" s="367">
        <v>1</v>
      </c>
      <c r="L142" s="36" t="s">
        <v>76</v>
      </c>
      <c r="M142" s="228" t="b">
        <f>+ISNUMBER(PAGOS[[#This Row],[REG]])</f>
        <v>1</v>
      </c>
    </row>
    <row r="143" spans="1:13" x14ac:dyDescent="0.3">
      <c r="A143" s="50">
        <v>141</v>
      </c>
      <c r="B143" s="281" t="s">
        <v>532</v>
      </c>
      <c r="C143" s="52">
        <v>9</v>
      </c>
      <c r="D143" s="50" t="s">
        <v>17</v>
      </c>
      <c r="E143" s="203">
        <v>36</v>
      </c>
      <c r="F143" s="33">
        <v>120</v>
      </c>
      <c r="G143" s="51">
        <v>45458</v>
      </c>
      <c r="H143" s="363">
        <v>4</v>
      </c>
      <c r="I143" s="33">
        <v>12</v>
      </c>
      <c r="J143" s="51">
        <v>45458</v>
      </c>
      <c r="K143" s="367">
        <v>4</v>
      </c>
      <c r="L143" s="36" t="s">
        <v>82</v>
      </c>
      <c r="M143" s="228" t="b">
        <f>+ISNUMBER(PAGOS[[#This Row],[REG]])</f>
        <v>1</v>
      </c>
    </row>
    <row r="144" spans="1:13" x14ac:dyDescent="0.3">
      <c r="A144" s="50">
        <v>142</v>
      </c>
      <c r="B144" s="281" t="s">
        <v>532</v>
      </c>
      <c r="C144" s="52">
        <v>14</v>
      </c>
      <c r="D144" s="50" t="s">
        <v>21</v>
      </c>
      <c r="E144" s="203">
        <v>40</v>
      </c>
      <c r="F144" s="33">
        <v>0</v>
      </c>
      <c r="G144" s="51">
        <v>45458</v>
      </c>
      <c r="H144" s="363">
        <v>3</v>
      </c>
      <c r="I144" s="33">
        <v>8</v>
      </c>
      <c r="J144" s="51">
        <v>45458</v>
      </c>
      <c r="K144" s="367">
        <v>3</v>
      </c>
      <c r="L144" s="36" t="s">
        <v>197</v>
      </c>
      <c r="M144" s="228" t="b">
        <f>+ISNUMBER(PAGOS[[#This Row],[REG]])</f>
        <v>1</v>
      </c>
    </row>
    <row r="145" spans="1:13" x14ac:dyDescent="0.3">
      <c r="A145" s="50">
        <v>143</v>
      </c>
      <c r="B145" s="281" t="s">
        <v>532</v>
      </c>
      <c r="C145" s="52">
        <v>5</v>
      </c>
      <c r="D145" s="50" t="s">
        <v>14</v>
      </c>
      <c r="E145" s="203">
        <v>38</v>
      </c>
      <c r="F145" s="33">
        <v>100</v>
      </c>
      <c r="G145" s="51">
        <v>45488</v>
      </c>
      <c r="H145" s="363">
        <v>4</v>
      </c>
      <c r="I145" s="33">
        <v>20</v>
      </c>
      <c r="J145" s="51">
        <v>45488</v>
      </c>
      <c r="K145" s="367">
        <v>4</v>
      </c>
      <c r="L145" s="36" t="s">
        <v>82</v>
      </c>
      <c r="M145" s="228" t="b">
        <f>+ISNUMBER(PAGOS[[#This Row],[REG]])</f>
        <v>1</v>
      </c>
    </row>
    <row r="146" spans="1:13" x14ac:dyDescent="0.3">
      <c r="A146" s="50">
        <v>144</v>
      </c>
      <c r="B146" s="281" t="s">
        <v>532</v>
      </c>
      <c r="C146" s="52">
        <v>12</v>
      </c>
      <c r="D146" s="50" t="s">
        <v>20</v>
      </c>
      <c r="E146" s="203">
        <v>44</v>
      </c>
      <c r="F146" s="33">
        <v>85.71</v>
      </c>
      <c r="G146" s="51">
        <v>45488</v>
      </c>
      <c r="H146" s="363">
        <v>2</v>
      </c>
      <c r="I146" s="33">
        <v>12</v>
      </c>
      <c r="J146" s="51">
        <v>45488</v>
      </c>
      <c r="K146" s="367">
        <v>2</v>
      </c>
      <c r="L146" s="36" t="s">
        <v>77</v>
      </c>
      <c r="M146" s="228" t="b">
        <f>+ISNUMBER(PAGOS[[#This Row],[REG]])</f>
        <v>1</v>
      </c>
    </row>
    <row r="147" spans="1:13" x14ac:dyDescent="0.3">
      <c r="A147" s="50">
        <v>145</v>
      </c>
      <c r="B147" s="281" t="s">
        <v>532</v>
      </c>
      <c r="C147" s="52">
        <v>15</v>
      </c>
      <c r="D147" s="50" t="s">
        <v>22</v>
      </c>
      <c r="E147" s="203">
        <v>39</v>
      </c>
      <c r="F147" s="33">
        <v>50</v>
      </c>
      <c r="G147" s="51">
        <v>45488</v>
      </c>
      <c r="H147" s="363">
        <v>4</v>
      </c>
      <c r="I147" s="33">
        <v>12</v>
      </c>
      <c r="J147" s="51">
        <v>45488</v>
      </c>
      <c r="K147" s="367">
        <v>4</v>
      </c>
      <c r="L147" s="36" t="s">
        <v>82</v>
      </c>
      <c r="M147" s="228" t="b">
        <f>+ISNUMBER(PAGOS[[#This Row],[REG]])</f>
        <v>1</v>
      </c>
    </row>
    <row r="148" spans="1:13" x14ac:dyDescent="0.3">
      <c r="A148" s="50">
        <v>146</v>
      </c>
      <c r="B148" s="281" t="s">
        <v>532</v>
      </c>
      <c r="C148" s="52">
        <v>16</v>
      </c>
      <c r="D148" s="50" t="s">
        <v>23</v>
      </c>
      <c r="E148" s="203">
        <v>42</v>
      </c>
      <c r="F148" s="33">
        <v>150</v>
      </c>
      <c r="G148" s="51">
        <v>45488</v>
      </c>
      <c r="H148" s="363">
        <v>3</v>
      </c>
      <c r="I148" s="33">
        <v>9</v>
      </c>
      <c r="J148" s="51">
        <v>45488</v>
      </c>
      <c r="K148" s="367">
        <v>3</v>
      </c>
      <c r="L148" s="36" t="s">
        <v>198</v>
      </c>
      <c r="M148" s="228" t="b">
        <f>+ISNUMBER(PAGOS[[#This Row],[REG]])</f>
        <v>1</v>
      </c>
    </row>
    <row r="149" spans="1:13" x14ac:dyDescent="0.3">
      <c r="A149" s="50">
        <v>147</v>
      </c>
      <c r="B149" s="281" t="s">
        <v>532</v>
      </c>
      <c r="C149" s="52">
        <v>10</v>
      </c>
      <c r="D149" s="50" t="s">
        <v>18</v>
      </c>
      <c r="E149" s="203">
        <v>41</v>
      </c>
      <c r="F149" s="33">
        <v>20</v>
      </c>
      <c r="G149" s="51">
        <v>45488</v>
      </c>
      <c r="H149" s="363">
        <v>4</v>
      </c>
      <c r="I149" s="33">
        <v>2</v>
      </c>
      <c r="J149" s="51">
        <v>45488</v>
      </c>
      <c r="K149" s="367">
        <v>4</v>
      </c>
      <c r="L149" s="36" t="s">
        <v>82</v>
      </c>
      <c r="M149" s="228" t="b">
        <f>+ISNUMBER(PAGOS[[#This Row],[REG]])</f>
        <v>1</v>
      </c>
    </row>
    <row r="150" spans="1:13" x14ac:dyDescent="0.3">
      <c r="A150" s="50">
        <v>148</v>
      </c>
      <c r="B150" s="281" t="s">
        <v>532</v>
      </c>
      <c r="C150" s="52">
        <v>7</v>
      </c>
      <c r="D150" s="50" t="s">
        <v>15</v>
      </c>
      <c r="E150" s="203">
        <v>45</v>
      </c>
      <c r="F150" s="33">
        <v>100</v>
      </c>
      <c r="G150" s="51">
        <v>45488</v>
      </c>
      <c r="H150" s="363">
        <v>2</v>
      </c>
      <c r="I150" s="33">
        <v>8</v>
      </c>
      <c r="J150" s="51">
        <v>45488</v>
      </c>
      <c r="K150" s="367">
        <v>2</v>
      </c>
      <c r="L150" s="36" t="s">
        <v>77</v>
      </c>
      <c r="M150" s="228" t="b">
        <f>+ISNUMBER(PAGOS[[#This Row],[REG]])</f>
        <v>1</v>
      </c>
    </row>
    <row r="151" spans="1:13" x14ac:dyDescent="0.3">
      <c r="A151" s="50">
        <v>149</v>
      </c>
      <c r="B151" s="281" t="s">
        <v>532</v>
      </c>
      <c r="C151" s="52">
        <v>8</v>
      </c>
      <c r="D151" s="50" t="s">
        <v>16</v>
      </c>
      <c r="E151" s="203">
        <v>47</v>
      </c>
      <c r="F151" s="33">
        <v>100</v>
      </c>
      <c r="G151" s="51">
        <v>45488</v>
      </c>
      <c r="H151" s="363">
        <v>1</v>
      </c>
      <c r="I151" s="33">
        <v>6</v>
      </c>
      <c r="J151" s="51">
        <v>45488</v>
      </c>
      <c r="K151" s="367">
        <v>1</v>
      </c>
      <c r="L151" s="36" t="s">
        <v>76</v>
      </c>
      <c r="M151" s="228" t="b">
        <f>+ISNUMBER(PAGOS[[#This Row],[REG]])</f>
        <v>1</v>
      </c>
    </row>
    <row r="152" spans="1:13" x14ac:dyDescent="0.3">
      <c r="A152" s="50">
        <v>150</v>
      </c>
      <c r="B152" s="281" t="s">
        <v>532</v>
      </c>
      <c r="C152" s="52">
        <v>9</v>
      </c>
      <c r="D152" s="50" t="s">
        <v>17</v>
      </c>
      <c r="E152" s="203">
        <v>36</v>
      </c>
      <c r="F152" s="33">
        <v>120</v>
      </c>
      <c r="G152" s="51">
        <v>45488</v>
      </c>
      <c r="H152" s="363">
        <v>5</v>
      </c>
      <c r="I152" s="33">
        <v>12</v>
      </c>
      <c r="J152" s="51">
        <v>45488</v>
      </c>
      <c r="K152" s="367">
        <v>5</v>
      </c>
      <c r="L152" s="36" t="s">
        <v>199</v>
      </c>
      <c r="M152" s="228" t="b">
        <f>+ISNUMBER(PAGOS[[#This Row],[REG]])</f>
        <v>1</v>
      </c>
    </row>
    <row r="153" spans="1:13" x14ac:dyDescent="0.3">
      <c r="A153" s="50">
        <v>151</v>
      </c>
      <c r="B153" s="281" t="s">
        <v>532</v>
      </c>
      <c r="C153" s="52">
        <v>14</v>
      </c>
      <c r="D153" s="50" t="s">
        <v>21</v>
      </c>
      <c r="E153" s="203">
        <v>46</v>
      </c>
      <c r="F153" s="33">
        <v>140</v>
      </c>
      <c r="G153" s="51">
        <v>45488</v>
      </c>
      <c r="H153" s="363">
        <v>1</v>
      </c>
      <c r="I153" s="33">
        <v>14</v>
      </c>
      <c r="J153" s="51">
        <v>45488</v>
      </c>
      <c r="K153" s="367">
        <v>1</v>
      </c>
      <c r="L153" s="36" t="s">
        <v>76</v>
      </c>
      <c r="M153" s="228" t="b">
        <f>+ISNUMBER(PAGOS[[#This Row],[REG]])</f>
        <v>1</v>
      </c>
    </row>
    <row r="154" spans="1:13" x14ac:dyDescent="0.3">
      <c r="A154" s="50">
        <v>152</v>
      </c>
      <c r="B154" s="281" t="s">
        <v>532</v>
      </c>
      <c r="C154" s="52">
        <v>5</v>
      </c>
      <c r="D154" s="50" t="s">
        <v>14</v>
      </c>
      <c r="E154" s="203">
        <v>38</v>
      </c>
      <c r="F154" s="33">
        <v>100</v>
      </c>
      <c r="G154" s="51">
        <v>45519</v>
      </c>
      <c r="H154" s="363">
        <v>5</v>
      </c>
      <c r="I154" s="33">
        <v>20</v>
      </c>
      <c r="J154" s="51">
        <v>45519</v>
      </c>
      <c r="K154" s="367">
        <v>5</v>
      </c>
      <c r="L154" s="36" t="s">
        <v>179</v>
      </c>
      <c r="M154" s="228" t="b">
        <f>+ISNUMBER(PAGOS[[#This Row],[REG]])</f>
        <v>1</v>
      </c>
    </row>
    <row r="155" spans="1:13" x14ac:dyDescent="0.3">
      <c r="A155" s="50">
        <v>153</v>
      </c>
      <c r="B155" s="281" t="s">
        <v>532</v>
      </c>
      <c r="C155" s="52">
        <v>6</v>
      </c>
      <c r="D155" s="50" t="s">
        <v>24</v>
      </c>
      <c r="E155" s="203">
        <v>48</v>
      </c>
      <c r="F155" s="33">
        <v>100</v>
      </c>
      <c r="G155" s="51">
        <v>45519</v>
      </c>
      <c r="H155" s="363">
        <v>1</v>
      </c>
      <c r="I155" s="33">
        <v>10</v>
      </c>
      <c r="J155" s="51">
        <v>45519</v>
      </c>
      <c r="K155" s="367">
        <v>1</v>
      </c>
      <c r="L155" s="36" t="s">
        <v>76</v>
      </c>
      <c r="M155" s="228" t="b">
        <f>+ISNUMBER(PAGOS[[#This Row],[REG]])</f>
        <v>1</v>
      </c>
    </row>
    <row r="156" spans="1:13" x14ac:dyDescent="0.3">
      <c r="A156" s="50">
        <v>154</v>
      </c>
      <c r="B156" s="281" t="s">
        <v>532</v>
      </c>
      <c r="C156" s="52">
        <v>12</v>
      </c>
      <c r="D156" s="50" t="s">
        <v>20</v>
      </c>
      <c r="E156" s="203">
        <v>44</v>
      </c>
      <c r="F156" s="33">
        <v>85.71</v>
      </c>
      <c r="G156" s="51">
        <v>45519</v>
      </c>
      <c r="H156" s="363">
        <v>3</v>
      </c>
      <c r="I156" s="33">
        <v>12</v>
      </c>
      <c r="J156" s="51">
        <v>45519</v>
      </c>
      <c r="K156" s="367">
        <v>3</v>
      </c>
      <c r="L156" s="36" t="s">
        <v>80</v>
      </c>
      <c r="M156" s="228" t="b">
        <f>+ISNUMBER(PAGOS[[#This Row],[REG]])</f>
        <v>1</v>
      </c>
    </row>
    <row r="157" spans="1:13" x14ac:dyDescent="0.3">
      <c r="A157" s="50">
        <v>155</v>
      </c>
      <c r="B157" s="281" t="s">
        <v>532</v>
      </c>
      <c r="C157" s="52">
        <v>15</v>
      </c>
      <c r="D157" s="50" t="s">
        <v>22</v>
      </c>
      <c r="E157" s="203">
        <v>39</v>
      </c>
      <c r="F157" s="33">
        <v>50</v>
      </c>
      <c r="G157" s="51">
        <v>45519</v>
      </c>
      <c r="H157" s="363">
        <v>5</v>
      </c>
      <c r="I157" s="33">
        <v>12</v>
      </c>
      <c r="J157" s="51">
        <v>45519</v>
      </c>
      <c r="K157" s="367">
        <v>5</v>
      </c>
      <c r="L157" s="36" t="s">
        <v>179</v>
      </c>
      <c r="M157" s="228" t="b">
        <f>+ISNUMBER(PAGOS[[#This Row],[REG]])</f>
        <v>1</v>
      </c>
    </row>
    <row r="158" spans="1:13" x14ac:dyDescent="0.3">
      <c r="A158" s="50">
        <v>156</v>
      </c>
      <c r="B158" s="281" t="s">
        <v>532</v>
      </c>
      <c r="C158" s="52">
        <v>16</v>
      </c>
      <c r="D158" s="50" t="s">
        <v>23</v>
      </c>
      <c r="E158" s="203">
        <v>49</v>
      </c>
      <c r="F158" s="33">
        <v>41.67</v>
      </c>
      <c r="G158" s="51">
        <v>45519</v>
      </c>
      <c r="H158" s="363">
        <v>1</v>
      </c>
      <c r="I158" s="33">
        <v>10</v>
      </c>
      <c r="J158" s="51">
        <v>45519</v>
      </c>
      <c r="K158" s="367">
        <v>1</v>
      </c>
      <c r="L158" s="36" t="s">
        <v>76</v>
      </c>
      <c r="M158" s="228" t="b">
        <f>+ISNUMBER(PAGOS[[#This Row],[REG]])</f>
        <v>1</v>
      </c>
    </row>
    <row r="159" spans="1:13" x14ac:dyDescent="0.3">
      <c r="A159" s="50">
        <v>157</v>
      </c>
      <c r="B159" s="281" t="s">
        <v>532</v>
      </c>
      <c r="C159" s="52">
        <v>10</v>
      </c>
      <c r="D159" s="50" t="s">
        <v>18</v>
      </c>
      <c r="E159" s="203">
        <v>41</v>
      </c>
      <c r="F159" s="33">
        <v>20</v>
      </c>
      <c r="G159" s="51">
        <v>45519</v>
      </c>
      <c r="H159" s="363">
        <v>5</v>
      </c>
      <c r="I159" s="33">
        <v>2</v>
      </c>
      <c r="J159" s="51">
        <v>45519</v>
      </c>
      <c r="K159" s="367">
        <v>5</v>
      </c>
      <c r="L159" s="36" t="s">
        <v>179</v>
      </c>
      <c r="M159" s="228" t="b">
        <f>+ISNUMBER(PAGOS[[#This Row],[REG]])</f>
        <v>1</v>
      </c>
    </row>
    <row r="160" spans="1:13" x14ac:dyDescent="0.3">
      <c r="A160" s="50">
        <v>158</v>
      </c>
      <c r="B160" s="281" t="s">
        <v>532</v>
      </c>
      <c r="C160" s="52">
        <v>7</v>
      </c>
      <c r="D160" s="50" t="s">
        <v>15</v>
      </c>
      <c r="E160" s="203">
        <v>45</v>
      </c>
      <c r="F160" s="33">
        <v>100</v>
      </c>
      <c r="G160" s="51">
        <v>45519</v>
      </c>
      <c r="H160" s="363">
        <v>3</v>
      </c>
      <c r="I160" s="33">
        <v>8</v>
      </c>
      <c r="J160" s="51">
        <v>45519</v>
      </c>
      <c r="K160" s="367">
        <v>3</v>
      </c>
      <c r="L160" s="36" t="s">
        <v>80</v>
      </c>
      <c r="M160" s="228" t="b">
        <f>+ISNUMBER(PAGOS[[#This Row],[REG]])</f>
        <v>1</v>
      </c>
    </row>
    <row r="161" spans="1:13" x14ac:dyDescent="0.3">
      <c r="A161" s="50">
        <v>159</v>
      </c>
      <c r="B161" s="281" t="s">
        <v>532</v>
      </c>
      <c r="C161" s="52">
        <v>14</v>
      </c>
      <c r="D161" s="50" t="s">
        <v>21</v>
      </c>
      <c r="E161" s="203">
        <v>46</v>
      </c>
      <c r="F161" s="33">
        <v>140</v>
      </c>
      <c r="G161" s="51">
        <v>45519</v>
      </c>
      <c r="H161" s="363">
        <v>2</v>
      </c>
      <c r="I161" s="33">
        <v>14</v>
      </c>
      <c r="J161" s="51">
        <v>45519</v>
      </c>
      <c r="K161" s="367">
        <v>2</v>
      </c>
      <c r="L161" s="36" t="s">
        <v>77</v>
      </c>
      <c r="M161" s="228" t="b">
        <f>+ISNUMBER(PAGOS[[#This Row],[REG]])</f>
        <v>1</v>
      </c>
    </row>
    <row r="162" spans="1:13" x14ac:dyDescent="0.3">
      <c r="A162" s="50">
        <v>160</v>
      </c>
      <c r="B162" s="281" t="s">
        <v>532</v>
      </c>
      <c r="C162" s="52">
        <v>8</v>
      </c>
      <c r="D162" s="50" t="s">
        <v>16</v>
      </c>
      <c r="E162" s="203">
        <v>47</v>
      </c>
      <c r="F162" s="33">
        <v>100</v>
      </c>
      <c r="G162" s="51">
        <v>45519</v>
      </c>
      <c r="H162" s="363">
        <v>2</v>
      </c>
      <c r="I162" s="33">
        <v>6</v>
      </c>
      <c r="J162" s="51">
        <v>45519</v>
      </c>
      <c r="K162" s="367">
        <v>2</v>
      </c>
      <c r="L162" s="36" t="s">
        <v>77</v>
      </c>
      <c r="M162" s="228" t="b">
        <f>+ISNUMBER(PAGOS[[#This Row],[REG]])</f>
        <v>1</v>
      </c>
    </row>
    <row r="163" spans="1:13" x14ac:dyDescent="0.3">
      <c r="A163" s="50">
        <v>161</v>
      </c>
      <c r="B163" s="281" t="s">
        <v>532</v>
      </c>
      <c r="C163" s="52">
        <v>4</v>
      </c>
      <c r="D163" s="50" t="s">
        <v>12</v>
      </c>
      <c r="E163" s="203">
        <v>51</v>
      </c>
      <c r="F163" s="33">
        <v>50</v>
      </c>
      <c r="G163" s="51">
        <v>45550</v>
      </c>
      <c r="H163" s="363">
        <v>1</v>
      </c>
      <c r="I163" s="33">
        <v>6</v>
      </c>
      <c r="J163" s="51">
        <v>45550</v>
      </c>
      <c r="K163" s="367">
        <v>1</v>
      </c>
      <c r="L163" s="36" t="s">
        <v>212</v>
      </c>
      <c r="M163" s="228" t="b">
        <f>+ISNUMBER(PAGOS[[#This Row],[REG]])</f>
        <v>1</v>
      </c>
    </row>
    <row r="164" spans="1:13" x14ac:dyDescent="0.3">
      <c r="A164" s="50">
        <v>162</v>
      </c>
      <c r="B164" s="281" t="s">
        <v>532</v>
      </c>
      <c r="C164" s="52">
        <v>5</v>
      </c>
      <c r="D164" s="50" t="s">
        <v>14</v>
      </c>
      <c r="E164" s="203">
        <v>38</v>
      </c>
      <c r="F164" s="33">
        <v>100</v>
      </c>
      <c r="G164" s="51">
        <v>45550</v>
      </c>
      <c r="H164" s="363">
        <v>6</v>
      </c>
      <c r="I164" s="33">
        <v>20</v>
      </c>
      <c r="J164" s="51">
        <v>45550</v>
      </c>
      <c r="K164" s="367">
        <v>6</v>
      </c>
      <c r="L164" s="36" t="s">
        <v>213</v>
      </c>
      <c r="M164" s="228" t="b">
        <f>+ISNUMBER(PAGOS[[#This Row],[REG]])</f>
        <v>1</v>
      </c>
    </row>
    <row r="165" spans="1:13" x14ac:dyDescent="0.3">
      <c r="A165" s="50">
        <v>163</v>
      </c>
      <c r="B165" s="281" t="s">
        <v>532</v>
      </c>
      <c r="C165" s="52">
        <v>7</v>
      </c>
      <c r="D165" s="50" t="s">
        <v>15</v>
      </c>
      <c r="E165" s="203">
        <v>45</v>
      </c>
      <c r="F165" s="33">
        <v>100</v>
      </c>
      <c r="G165" s="51">
        <v>45550</v>
      </c>
      <c r="H165" s="363">
        <v>4</v>
      </c>
      <c r="I165" s="33">
        <v>8</v>
      </c>
      <c r="J165" s="51">
        <v>45550</v>
      </c>
      <c r="K165" s="367">
        <v>4</v>
      </c>
      <c r="L165" s="36" t="s">
        <v>214</v>
      </c>
      <c r="M165" s="228" t="b">
        <f>+ISNUMBER(PAGOS[[#This Row],[REG]])</f>
        <v>1</v>
      </c>
    </row>
    <row r="166" spans="1:13" x14ac:dyDescent="0.3">
      <c r="A166" s="50">
        <v>164</v>
      </c>
      <c r="B166" s="281" t="s">
        <v>532</v>
      </c>
      <c r="C166" s="52">
        <v>8</v>
      </c>
      <c r="D166" s="50" t="s">
        <v>16</v>
      </c>
      <c r="E166" s="203">
        <v>47</v>
      </c>
      <c r="F166" s="33">
        <v>100</v>
      </c>
      <c r="G166" s="51">
        <v>45550</v>
      </c>
      <c r="H166" s="363">
        <v>3</v>
      </c>
      <c r="I166" s="33">
        <v>6</v>
      </c>
      <c r="J166" s="51">
        <v>45550</v>
      </c>
      <c r="K166" s="367">
        <v>3</v>
      </c>
      <c r="L166" s="36" t="s">
        <v>215</v>
      </c>
      <c r="M166" s="228" t="b">
        <f>+ISNUMBER(PAGOS[[#This Row],[REG]])</f>
        <v>1</v>
      </c>
    </row>
    <row r="167" spans="1:13" x14ac:dyDescent="0.3">
      <c r="A167" s="50">
        <v>165</v>
      </c>
      <c r="B167" s="281" t="s">
        <v>532</v>
      </c>
      <c r="C167" s="52">
        <v>9</v>
      </c>
      <c r="D167" s="50" t="s">
        <v>17</v>
      </c>
      <c r="E167" s="203">
        <v>50</v>
      </c>
      <c r="F167" s="33">
        <v>100</v>
      </c>
      <c r="G167" s="51">
        <v>45550</v>
      </c>
      <c r="H167" s="363">
        <v>1</v>
      </c>
      <c r="I167" s="33">
        <v>12</v>
      </c>
      <c r="J167" s="51">
        <v>45550</v>
      </c>
      <c r="K167" s="367">
        <v>1</v>
      </c>
      <c r="L167" s="36" t="s">
        <v>212</v>
      </c>
      <c r="M167" s="228" t="b">
        <f>+ISNUMBER(PAGOS[[#This Row],[REG]])</f>
        <v>1</v>
      </c>
    </row>
    <row r="168" spans="1:13" x14ac:dyDescent="0.3">
      <c r="A168" s="50">
        <v>166</v>
      </c>
      <c r="B168" s="281" t="s">
        <v>532</v>
      </c>
      <c r="C168" s="52">
        <v>12</v>
      </c>
      <c r="D168" s="50" t="s">
        <v>20</v>
      </c>
      <c r="E168" s="203">
        <v>44</v>
      </c>
      <c r="F168" s="33">
        <v>85.71</v>
      </c>
      <c r="G168" s="51">
        <v>45550</v>
      </c>
      <c r="H168" s="363">
        <v>4</v>
      </c>
      <c r="I168" s="33">
        <v>12</v>
      </c>
      <c r="J168" s="51">
        <v>45550</v>
      </c>
      <c r="K168" s="367">
        <v>4</v>
      </c>
      <c r="L168" s="36" t="s">
        <v>214</v>
      </c>
      <c r="M168" s="228" t="b">
        <f>+ISNUMBER(PAGOS[[#This Row],[REG]])</f>
        <v>1</v>
      </c>
    </row>
    <row r="169" spans="1:13" x14ac:dyDescent="0.3">
      <c r="A169" s="50">
        <v>167</v>
      </c>
      <c r="B169" s="281" t="s">
        <v>532</v>
      </c>
      <c r="C169" s="52">
        <v>14</v>
      </c>
      <c r="D169" s="50" t="s">
        <v>21</v>
      </c>
      <c r="E169" s="203">
        <v>46</v>
      </c>
      <c r="F169" s="33">
        <v>140</v>
      </c>
      <c r="G169" s="51">
        <v>45550</v>
      </c>
      <c r="H169" s="363">
        <v>3</v>
      </c>
      <c r="I169" s="33">
        <v>14</v>
      </c>
      <c r="J169" s="51">
        <v>45550</v>
      </c>
      <c r="K169" s="367">
        <v>3</v>
      </c>
      <c r="L169" s="36" t="s">
        <v>215</v>
      </c>
      <c r="M169" s="228" t="b">
        <f>+ISNUMBER(PAGOS[[#This Row],[REG]])</f>
        <v>1</v>
      </c>
    </row>
    <row r="170" spans="1:13" x14ac:dyDescent="0.3">
      <c r="A170" s="50">
        <v>168</v>
      </c>
      <c r="B170" s="281" t="s">
        <v>532</v>
      </c>
      <c r="C170" s="52">
        <v>15</v>
      </c>
      <c r="D170" s="50" t="s">
        <v>22</v>
      </c>
      <c r="E170" s="203">
        <v>39</v>
      </c>
      <c r="F170" s="33">
        <v>50</v>
      </c>
      <c r="G170" s="51">
        <v>45550</v>
      </c>
      <c r="H170" s="363">
        <v>6</v>
      </c>
      <c r="I170" s="33">
        <v>12</v>
      </c>
      <c r="J170" s="51">
        <v>45550</v>
      </c>
      <c r="K170" s="367">
        <v>6</v>
      </c>
      <c r="L170" s="36" t="s">
        <v>213</v>
      </c>
      <c r="M170" s="228" t="b">
        <f>+ISNUMBER(PAGOS[[#This Row],[REG]])</f>
        <v>1</v>
      </c>
    </row>
    <row r="171" spans="1:13" x14ac:dyDescent="0.3">
      <c r="A171" s="50">
        <v>169</v>
      </c>
      <c r="B171" s="281" t="s">
        <v>532</v>
      </c>
      <c r="C171" s="52">
        <v>16</v>
      </c>
      <c r="D171" s="50" t="s">
        <v>23</v>
      </c>
      <c r="E171" s="203">
        <v>49</v>
      </c>
      <c r="F171" s="33">
        <v>41.67</v>
      </c>
      <c r="G171" s="51">
        <v>45550</v>
      </c>
      <c r="H171" s="363">
        <v>2</v>
      </c>
      <c r="I171" s="33">
        <v>10</v>
      </c>
      <c r="J171" s="51">
        <v>45550</v>
      </c>
      <c r="K171" s="367">
        <v>2</v>
      </c>
      <c r="L171" s="36" t="s">
        <v>216</v>
      </c>
      <c r="M171" s="228" t="b">
        <f>+ISNUMBER(PAGOS[[#This Row],[REG]])</f>
        <v>1</v>
      </c>
    </row>
    <row r="172" spans="1:13" x14ac:dyDescent="0.3">
      <c r="A172" s="50">
        <v>170</v>
      </c>
      <c r="B172" s="281" t="s">
        <v>532</v>
      </c>
      <c r="C172" s="52">
        <v>6</v>
      </c>
      <c r="D172" s="50" t="s">
        <v>24</v>
      </c>
      <c r="E172" s="203">
        <v>48</v>
      </c>
      <c r="F172" s="33">
        <v>100</v>
      </c>
      <c r="G172" s="51">
        <v>45550</v>
      </c>
      <c r="H172" s="363">
        <v>2</v>
      </c>
      <c r="I172" s="33">
        <v>10</v>
      </c>
      <c r="J172" s="51">
        <v>45550</v>
      </c>
      <c r="K172" s="367">
        <v>2</v>
      </c>
      <c r="L172" s="36" t="s">
        <v>216</v>
      </c>
      <c r="M172" s="228" t="b">
        <f>+ISNUMBER(PAGOS[[#This Row],[REG]])</f>
        <v>1</v>
      </c>
    </row>
    <row r="173" spans="1:13" x14ac:dyDescent="0.3">
      <c r="A173" s="50">
        <v>171</v>
      </c>
      <c r="B173" s="281" t="s">
        <v>531</v>
      </c>
      <c r="C173" s="52">
        <v>14</v>
      </c>
      <c r="D173" s="50" t="s">
        <v>21</v>
      </c>
      <c r="E173" s="203">
        <v>46</v>
      </c>
      <c r="F173" s="33">
        <v>0</v>
      </c>
      <c r="G173" s="51">
        <v>45580</v>
      </c>
      <c r="H173" s="363" t="s">
        <v>491</v>
      </c>
      <c r="I173" s="33">
        <v>14</v>
      </c>
      <c r="J173" s="51">
        <v>45580</v>
      </c>
      <c r="K173" s="367" t="s">
        <v>491</v>
      </c>
      <c r="L173" s="36" t="s">
        <v>239</v>
      </c>
      <c r="M173" s="228" t="b">
        <f>+ISNUMBER(PAGOS[[#This Row],[REG]])</f>
        <v>1</v>
      </c>
    </row>
    <row r="174" spans="1:13" x14ac:dyDescent="0.3">
      <c r="A174" s="50">
        <v>172</v>
      </c>
      <c r="B174" s="281" t="s">
        <v>531</v>
      </c>
      <c r="C174" s="52">
        <v>2</v>
      </c>
      <c r="D174" s="50" t="s">
        <v>71</v>
      </c>
      <c r="E174" s="203">
        <v>0</v>
      </c>
      <c r="F174" s="33">
        <v>200</v>
      </c>
      <c r="G174" s="51">
        <v>45580</v>
      </c>
      <c r="H174" s="363" t="s">
        <v>491</v>
      </c>
      <c r="I174" s="33">
        <v>0</v>
      </c>
      <c r="J174" s="51">
        <v>45580</v>
      </c>
      <c r="K174" s="367" t="s">
        <v>491</v>
      </c>
      <c r="L174" s="36" t="s">
        <v>226</v>
      </c>
      <c r="M174" s="228" t="b">
        <f>+ISNUMBER(PAGOS[[#This Row],[REG]])</f>
        <v>1</v>
      </c>
    </row>
    <row r="175" spans="1:13" x14ac:dyDescent="0.3">
      <c r="A175" s="50">
        <v>173</v>
      </c>
      <c r="B175" s="281" t="s">
        <v>532</v>
      </c>
      <c r="C175" s="52">
        <v>5</v>
      </c>
      <c r="D175" s="50" t="s">
        <v>14</v>
      </c>
      <c r="E175" s="203">
        <v>38</v>
      </c>
      <c r="F175" s="33">
        <v>100</v>
      </c>
      <c r="G175" s="51">
        <v>45580</v>
      </c>
      <c r="H175" s="363">
        <v>7</v>
      </c>
      <c r="I175" s="33">
        <v>20</v>
      </c>
      <c r="J175" s="51">
        <v>45580</v>
      </c>
      <c r="K175" s="367">
        <v>7</v>
      </c>
      <c r="L175" s="36" t="s">
        <v>219</v>
      </c>
      <c r="M175" s="228" t="b">
        <f>+ISNUMBER(PAGOS[[#This Row],[REG]])</f>
        <v>1</v>
      </c>
    </row>
    <row r="176" spans="1:13" x14ac:dyDescent="0.3">
      <c r="A176" s="50">
        <v>174</v>
      </c>
      <c r="B176" s="281" t="s">
        <v>532</v>
      </c>
      <c r="C176" s="52">
        <v>4</v>
      </c>
      <c r="D176" s="50" t="s">
        <v>12</v>
      </c>
      <c r="E176" s="203">
        <v>51</v>
      </c>
      <c r="F176" s="33">
        <v>50</v>
      </c>
      <c r="G176" s="51">
        <v>45580</v>
      </c>
      <c r="H176" s="363">
        <v>2</v>
      </c>
      <c r="I176" s="33">
        <v>6</v>
      </c>
      <c r="J176" s="51">
        <v>45580</v>
      </c>
      <c r="K176" s="367">
        <v>2</v>
      </c>
      <c r="L176" s="36" t="s">
        <v>216</v>
      </c>
      <c r="M176" s="228" t="b">
        <f>+ISNUMBER(PAGOS[[#This Row],[REG]])</f>
        <v>1</v>
      </c>
    </row>
    <row r="177" spans="1:13" x14ac:dyDescent="0.3">
      <c r="A177" s="50">
        <v>175</v>
      </c>
      <c r="B177" s="281" t="s">
        <v>532</v>
      </c>
      <c r="C177" s="52">
        <v>6</v>
      </c>
      <c r="D177" s="50" t="s">
        <v>24</v>
      </c>
      <c r="E177" s="203">
        <v>48</v>
      </c>
      <c r="F177" s="33">
        <v>100</v>
      </c>
      <c r="G177" s="51">
        <v>45580</v>
      </c>
      <c r="H177" s="363">
        <v>3</v>
      </c>
      <c r="I177" s="33">
        <v>10</v>
      </c>
      <c r="J177" s="51">
        <v>45580</v>
      </c>
      <c r="K177" s="367">
        <v>3</v>
      </c>
      <c r="L177" s="36" t="s">
        <v>215</v>
      </c>
      <c r="M177" s="228" t="b">
        <f>+ISNUMBER(PAGOS[[#This Row],[REG]])</f>
        <v>1</v>
      </c>
    </row>
    <row r="178" spans="1:13" x14ac:dyDescent="0.3">
      <c r="A178" s="50">
        <v>176</v>
      </c>
      <c r="B178" s="281" t="s">
        <v>532</v>
      </c>
      <c r="C178" s="52">
        <v>12</v>
      </c>
      <c r="D178" s="50" t="s">
        <v>20</v>
      </c>
      <c r="E178" s="203">
        <v>44</v>
      </c>
      <c r="F178" s="33">
        <v>85.71</v>
      </c>
      <c r="G178" s="51">
        <v>45580</v>
      </c>
      <c r="H178" s="363">
        <v>5</v>
      </c>
      <c r="I178" s="33">
        <v>12</v>
      </c>
      <c r="J178" s="51">
        <v>45580</v>
      </c>
      <c r="K178" s="367">
        <v>5</v>
      </c>
      <c r="L178" s="36" t="s">
        <v>220</v>
      </c>
      <c r="M178" s="228" t="b">
        <f>+ISNUMBER(PAGOS[[#This Row],[REG]])</f>
        <v>1</v>
      </c>
    </row>
    <row r="179" spans="1:13" x14ac:dyDescent="0.3">
      <c r="A179" s="50">
        <v>177</v>
      </c>
      <c r="B179" s="281" t="s">
        <v>532</v>
      </c>
      <c r="C179" s="52">
        <v>15</v>
      </c>
      <c r="D179" s="50" t="s">
        <v>22</v>
      </c>
      <c r="E179" s="203">
        <v>39</v>
      </c>
      <c r="F179" s="33">
        <v>50</v>
      </c>
      <c r="G179" s="51">
        <v>45580</v>
      </c>
      <c r="H179" s="363">
        <v>7</v>
      </c>
      <c r="I179" s="33">
        <v>12</v>
      </c>
      <c r="J179" s="51">
        <v>45580</v>
      </c>
      <c r="K179" s="367">
        <v>7</v>
      </c>
      <c r="L179" s="36" t="s">
        <v>219</v>
      </c>
      <c r="M179" s="228" t="b">
        <f>+ISNUMBER(PAGOS[[#This Row],[REG]])</f>
        <v>1</v>
      </c>
    </row>
    <row r="180" spans="1:13" x14ac:dyDescent="0.3">
      <c r="A180" s="50">
        <v>178</v>
      </c>
      <c r="B180" s="281" t="s">
        <v>532</v>
      </c>
      <c r="C180" s="52">
        <v>16</v>
      </c>
      <c r="D180" s="50" t="s">
        <v>23</v>
      </c>
      <c r="E180" s="203">
        <v>49</v>
      </c>
      <c r="F180" s="33">
        <v>41.67</v>
      </c>
      <c r="G180" s="51">
        <v>45580</v>
      </c>
      <c r="H180" s="363">
        <v>3</v>
      </c>
      <c r="I180" s="33">
        <v>10</v>
      </c>
      <c r="J180" s="51">
        <v>45580</v>
      </c>
      <c r="K180" s="367">
        <v>3</v>
      </c>
      <c r="L180" s="36" t="s">
        <v>215</v>
      </c>
      <c r="M180" s="228" t="b">
        <f>+ISNUMBER(PAGOS[[#This Row],[REG]])</f>
        <v>1</v>
      </c>
    </row>
    <row r="181" spans="1:13" x14ac:dyDescent="0.3">
      <c r="A181" s="50">
        <v>179</v>
      </c>
      <c r="B181" s="281" t="s">
        <v>532</v>
      </c>
      <c r="C181" s="52">
        <v>11</v>
      </c>
      <c r="D181" s="50" t="s">
        <v>19</v>
      </c>
      <c r="E181" s="203">
        <v>52</v>
      </c>
      <c r="F181" s="33">
        <v>100</v>
      </c>
      <c r="G181" s="51">
        <v>45580</v>
      </c>
      <c r="H181" s="363">
        <v>1</v>
      </c>
      <c r="I181" s="33">
        <v>8</v>
      </c>
      <c r="J181" s="51">
        <v>45580</v>
      </c>
      <c r="K181" s="367">
        <v>1</v>
      </c>
      <c r="L181" s="36" t="s">
        <v>212</v>
      </c>
      <c r="M181" s="228" t="b">
        <f>+ISNUMBER(PAGOS[[#This Row],[REG]])</f>
        <v>1</v>
      </c>
    </row>
    <row r="182" spans="1:13" x14ac:dyDescent="0.3">
      <c r="A182" s="50">
        <v>180</v>
      </c>
      <c r="B182" s="281" t="s">
        <v>532</v>
      </c>
      <c r="C182" s="52">
        <v>9</v>
      </c>
      <c r="D182" s="50" t="s">
        <v>17</v>
      </c>
      <c r="E182" s="203">
        <v>50</v>
      </c>
      <c r="F182" s="33">
        <v>100</v>
      </c>
      <c r="G182" s="51">
        <v>45580</v>
      </c>
      <c r="H182" s="363">
        <v>2</v>
      </c>
      <c r="I182" s="33">
        <v>12</v>
      </c>
      <c r="J182" s="51">
        <v>45580</v>
      </c>
      <c r="K182" s="367">
        <v>2</v>
      </c>
      <c r="L182" s="36" t="s">
        <v>216</v>
      </c>
      <c r="M182" s="228" t="b">
        <f>+ISNUMBER(PAGOS[[#This Row],[REG]])</f>
        <v>1</v>
      </c>
    </row>
    <row r="183" spans="1:13" x14ac:dyDescent="0.3">
      <c r="A183" s="50">
        <v>181</v>
      </c>
      <c r="B183" s="281" t="s">
        <v>532</v>
      </c>
      <c r="C183" s="52">
        <v>14</v>
      </c>
      <c r="D183" s="50" t="s">
        <v>21</v>
      </c>
      <c r="E183" s="203">
        <v>46</v>
      </c>
      <c r="F183" s="33">
        <v>280</v>
      </c>
      <c r="G183" s="51">
        <v>45580</v>
      </c>
      <c r="H183" s="363">
        <v>4</v>
      </c>
      <c r="I183" s="33">
        <v>14</v>
      </c>
      <c r="J183" s="51">
        <v>45580</v>
      </c>
      <c r="K183" s="367">
        <v>4</v>
      </c>
      <c r="L183" s="36" t="s">
        <v>223</v>
      </c>
      <c r="M183" s="228" t="b">
        <f>+ISNUMBER(PAGOS[[#This Row],[REG]])</f>
        <v>1</v>
      </c>
    </row>
    <row r="184" spans="1:13" x14ac:dyDescent="0.3">
      <c r="A184" s="50">
        <v>182</v>
      </c>
      <c r="B184" s="281" t="s">
        <v>530</v>
      </c>
      <c r="C184" s="52">
        <v>1</v>
      </c>
      <c r="D184" s="50" t="s">
        <v>14</v>
      </c>
      <c r="E184" s="203">
        <v>0</v>
      </c>
      <c r="F184" s="33">
        <v>13.35</v>
      </c>
      <c r="G184" s="51">
        <v>45580</v>
      </c>
      <c r="H184" s="364" t="s">
        <v>490</v>
      </c>
      <c r="I184" s="33">
        <v>0</v>
      </c>
      <c r="J184" s="51">
        <v>45580</v>
      </c>
      <c r="K184" s="368" t="s">
        <v>490</v>
      </c>
      <c r="L184" s="36" t="s">
        <v>249</v>
      </c>
      <c r="M184" s="228" t="b">
        <f>+ISNUMBER(PAGOS[[#This Row],[REG]])</f>
        <v>1</v>
      </c>
    </row>
    <row r="185" spans="1:13" x14ac:dyDescent="0.3">
      <c r="A185" s="50">
        <v>183</v>
      </c>
      <c r="B185" s="281" t="s">
        <v>530</v>
      </c>
      <c r="C185" s="52">
        <v>1</v>
      </c>
      <c r="D185" s="50" t="s">
        <v>355</v>
      </c>
      <c r="E185" s="203">
        <v>0</v>
      </c>
      <c r="F185" s="33">
        <v>13.35</v>
      </c>
      <c r="G185" s="51">
        <v>45580</v>
      </c>
      <c r="H185" s="364" t="s">
        <v>490</v>
      </c>
      <c r="I185" s="33">
        <v>0</v>
      </c>
      <c r="J185" s="51">
        <v>45580</v>
      </c>
      <c r="K185" s="368" t="s">
        <v>490</v>
      </c>
      <c r="L185" s="36" t="s">
        <v>249</v>
      </c>
      <c r="M185" s="228" t="b">
        <f>+ISNUMBER(PAGOS[[#This Row],[REG]])</f>
        <v>1</v>
      </c>
    </row>
    <row r="186" spans="1:13" x14ac:dyDescent="0.3">
      <c r="A186" s="50">
        <v>184</v>
      </c>
      <c r="B186" s="281" t="s">
        <v>532</v>
      </c>
      <c r="C186" s="52">
        <v>12</v>
      </c>
      <c r="D186" s="50" t="s">
        <v>20</v>
      </c>
      <c r="E186" s="203">
        <v>44</v>
      </c>
      <c r="F186" s="33">
        <v>85.71</v>
      </c>
      <c r="G186" s="51">
        <v>45611</v>
      </c>
      <c r="H186" s="363">
        <v>7</v>
      </c>
      <c r="I186" s="33">
        <v>0</v>
      </c>
      <c r="J186" s="51">
        <v>45611</v>
      </c>
      <c r="K186" s="367">
        <v>7</v>
      </c>
      <c r="L186" s="36" t="s">
        <v>412</v>
      </c>
      <c r="M186" s="228" t="b">
        <f>+ISNUMBER(PAGOS[[#This Row],[REG]])</f>
        <v>1</v>
      </c>
    </row>
    <row r="187" spans="1:13" x14ac:dyDescent="0.3">
      <c r="A187" s="50">
        <v>185</v>
      </c>
      <c r="B187" s="281" t="s">
        <v>531</v>
      </c>
      <c r="C187" s="52">
        <v>12</v>
      </c>
      <c r="D187" s="50" t="s">
        <v>20</v>
      </c>
      <c r="E187" s="203">
        <v>44</v>
      </c>
      <c r="F187" s="33">
        <v>0</v>
      </c>
      <c r="G187" s="51">
        <v>45611</v>
      </c>
      <c r="H187" s="363" t="s">
        <v>491</v>
      </c>
      <c r="I187" s="33">
        <v>12</v>
      </c>
      <c r="J187" s="51">
        <v>45611</v>
      </c>
      <c r="K187" s="367" t="s">
        <v>491</v>
      </c>
      <c r="L187" s="36" t="s">
        <v>247</v>
      </c>
      <c r="M187" s="228" t="b">
        <f>+ISNUMBER(PAGOS[[#This Row],[REG]])</f>
        <v>1</v>
      </c>
    </row>
    <row r="188" spans="1:13" x14ac:dyDescent="0.3">
      <c r="A188" s="50">
        <v>186</v>
      </c>
      <c r="B188" s="281" t="s">
        <v>532</v>
      </c>
      <c r="C188" s="52">
        <v>15</v>
      </c>
      <c r="D188" s="50" t="s">
        <v>22</v>
      </c>
      <c r="E188" s="203">
        <v>39</v>
      </c>
      <c r="F188" s="33">
        <v>50</v>
      </c>
      <c r="G188" s="51">
        <v>45611</v>
      </c>
      <c r="H188" s="363">
        <v>8</v>
      </c>
      <c r="I188" s="33">
        <v>12</v>
      </c>
      <c r="J188" s="51">
        <v>45611</v>
      </c>
      <c r="K188" s="367">
        <v>8</v>
      </c>
      <c r="L188" s="36" t="s">
        <v>241</v>
      </c>
      <c r="M188" s="228" t="b">
        <f>+ISNUMBER(PAGOS[[#This Row],[REG]])</f>
        <v>1</v>
      </c>
    </row>
    <row r="189" spans="1:13" x14ac:dyDescent="0.3">
      <c r="A189" s="50">
        <v>187</v>
      </c>
      <c r="B189" s="281" t="s">
        <v>532</v>
      </c>
      <c r="C189" s="52">
        <v>12</v>
      </c>
      <c r="D189" s="50" t="s">
        <v>20</v>
      </c>
      <c r="E189" s="203">
        <v>44</v>
      </c>
      <c r="F189" s="33">
        <v>85.71</v>
      </c>
      <c r="G189" s="51">
        <v>45611</v>
      </c>
      <c r="H189" s="363">
        <v>6</v>
      </c>
      <c r="I189" s="33">
        <v>12</v>
      </c>
      <c r="J189" s="51">
        <v>45611</v>
      </c>
      <c r="K189" s="367">
        <v>6</v>
      </c>
      <c r="L189" s="36" t="s">
        <v>213</v>
      </c>
      <c r="M189" s="228" t="b">
        <f>+ISNUMBER(PAGOS[[#This Row],[REG]])</f>
        <v>1</v>
      </c>
    </row>
    <row r="190" spans="1:13" x14ac:dyDescent="0.3">
      <c r="A190" s="50">
        <v>188</v>
      </c>
      <c r="B190" s="281" t="s">
        <v>532</v>
      </c>
      <c r="C190" s="52">
        <v>16</v>
      </c>
      <c r="D190" s="50" t="s">
        <v>23</v>
      </c>
      <c r="E190" s="203">
        <v>49</v>
      </c>
      <c r="F190" s="33">
        <v>41.67</v>
      </c>
      <c r="G190" s="51">
        <v>45611</v>
      </c>
      <c r="H190" s="363">
        <v>4</v>
      </c>
      <c r="I190" s="33">
        <v>10</v>
      </c>
      <c r="J190" s="51">
        <v>45611</v>
      </c>
      <c r="K190" s="367">
        <v>4</v>
      </c>
      <c r="L190" s="36" t="s">
        <v>214</v>
      </c>
      <c r="M190" s="228" t="b">
        <f>+ISNUMBER(PAGOS[[#This Row],[REG]])</f>
        <v>1</v>
      </c>
    </row>
    <row r="191" spans="1:13" x14ac:dyDescent="0.3">
      <c r="A191" s="50">
        <v>189</v>
      </c>
      <c r="B191" s="281" t="s">
        <v>532</v>
      </c>
      <c r="C191" s="52">
        <v>4</v>
      </c>
      <c r="D191" s="50" t="s">
        <v>12</v>
      </c>
      <c r="E191" s="203">
        <v>51</v>
      </c>
      <c r="F191" s="33">
        <v>50</v>
      </c>
      <c r="G191" s="51">
        <v>45611</v>
      </c>
      <c r="H191" s="363">
        <v>3</v>
      </c>
      <c r="I191" s="33">
        <v>6</v>
      </c>
      <c r="J191" s="51">
        <v>45611</v>
      </c>
      <c r="K191" s="367">
        <v>3</v>
      </c>
      <c r="L191" s="36" t="s">
        <v>215</v>
      </c>
      <c r="M191" s="228" t="b">
        <f>+ISNUMBER(PAGOS[[#This Row],[REG]])</f>
        <v>1</v>
      </c>
    </row>
    <row r="192" spans="1:13" x14ac:dyDescent="0.3">
      <c r="A192" s="50">
        <v>190</v>
      </c>
      <c r="B192" s="281" t="s">
        <v>532</v>
      </c>
      <c r="C192" s="52">
        <v>11</v>
      </c>
      <c r="D192" s="50" t="s">
        <v>19</v>
      </c>
      <c r="E192" s="203">
        <v>52</v>
      </c>
      <c r="F192" s="33">
        <v>100</v>
      </c>
      <c r="G192" s="51">
        <v>45611</v>
      </c>
      <c r="H192" s="363">
        <v>2</v>
      </c>
      <c r="I192" s="33">
        <v>8</v>
      </c>
      <c r="J192" s="51">
        <v>45611</v>
      </c>
      <c r="K192" s="367">
        <v>50</v>
      </c>
      <c r="L192" s="36" t="s">
        <v>216</v>
      </c>
      <c r="M192" s="228" t="b">
        <f>+ISNUMBER(PAGOS[[#This Row],[REG]])</f>
        <v>1</v>
      </c>
    </row>
    <row r="193" spans="1:13" x14ac:dyDescent="0.3">
      <c r="A193" s="50">
        <v>191</v>
      </c>
      <c r="B193" s="281" t="s">
        <v>532</v>
      </c>
      <c r="C193" s="52">
        <v>7</v>
      </c>
      <c r="D193" s="50" t="s">
        <v>15</v>
      </c>
      <c r="E193" s="203">
        <v>54</v>
      </c>
      <c r="F193" s="33">
        <v>62.5</v>
      </c>
      <c r="G193" s="51">
        <v>45611</v>
      </c>
      <c r="H193" s="363">
        <v>1</v>
      </c>
      <c r="I193" s="33">
        <v>5</v>
      </c>
      <c r="J193" s="51">
        <v>45611</v>
      </c>
      <c r="K193" s="367">
        <v>1</v>
      </c>
      <c r="L193" s="36" t="s">
        <v>212</v>
      </c>
      <c r="M193" s="228" t="b">
        <f>+ISNUMBER(PAGOS[[#This Row],[REG]])</f>
        <v>1</v>
      </c>
    </row>
    <row r="194" spans="1:13" x14ac:dyDescent="0.3">
      <c r="A194" s="50">
        <v>192</v>
      </c>
      <c r="B194" s="281" t="s">
        <v>532</v>
      </c>
      <c r="C194" s="52">
        <v>8</v>
      </c>
      <c r="D194" s="50" t="s">
        <v>16</v>
      </c>
      <c r="E194" s="203">
        <v>55</v>
      </c>
      <c r="F194" s="33">
        <v>62.5</v>
      </c>
      <c r="G194" s="51">
        <v>45611</v>
      </c>
      <c r="H194" s="363">
        <v>1</v>
      </c>
      <c r="I194" s="33">
        <v>5</v>
      </c>
      <c r="J194" s="51">
        <v>45611</v>
      </c>
      <c r="K194" s="367">
        <v>1</v>
      </c>
      <c r="L194" s="36" t="s">
        <v>212</v>
      </c>
      <c r="M194" s="228" t="b">
        <f>+ISNUMBER(PAGOS[[#This Row],[REG]])</f>
        <v>1</v>
      </c>
    </row>
    <row r="195" spans="1:13" x14ac:dyDescent="0.3">
      <c r="A195" s="50">
        <v>193</v>
      </c>
      <c r="B195" s="281" t="s">
        <v>532</v>
      </c>
      <c r="C195" s="52">
        <v>14</v>
      </c>
      <c r="D195" s="50" t="s">
        <v>21</v>
      </c>
      <c r="E195" s="203">
        <v>56</v>
      </c>
      <c r="F195" s="33">
        <v>125</v>
      </c>
      <c r="G195" s="51">
        <v>45611</v>
      </c>
      <c r="H195" s="363">
        <v>1</v>
      </c>
      <c r="I195" s="33">
        <v>10</v>
      </c>
      <c r="J195" s="51">
        <v>45611</v>
      </c>
      <c r="K195" s="367">
        <v>1</v>
      </c>
      <c r="L195" s="36" t="s">
        <v>212</v>
      </c>
      <c r="M195" s="228" t="b">
        <f>+ISNUMBER(PAGOS[[#This Row],[REG]])</f>
        <v>1</v>
      </c>
    </row>
    <row r="196" spans="1:13" x14ac:dyDescent="0.3">
      <c r="A196" s="50">
        <v>194</v>
      </c>
      <c r="B196" s="281" t="s">
        <v>532</v>
      </c>
      <c r="C196" s="52">
        <v>5</v>
      </c>
      <c r="D196" s="50" t="s">
        <v>14</v>
      </c>
      <c r="E196" s="203">
        <v>38</v>
      </c>
      <c r="F196" s="33">
        <v>100</v>
      </c>
      <c r="G196" s="51">
        <v>45611</v>
      </c>
      <c r="H196" s="363">
        <v>8</v>
      </c>
      <c r="I196" s="33">
        <v>20</v>
      </c>
      <c r="J196" s="51">
        <v>45611</v>
      </c>
      <c r="K196" s="367">
        <v>8</v>
      </c>
      <c r="L196" s="36" t="s">
        <v>242</v>
      </c>
      <c r="M196" s="228" t="b">
        <f>+ISNUMBER(PAGOS[[#This Row],[REG]])</f>
        <v>1</v>
      </c>
    </row>
    <row r="197" spans="1:13" x14ac:dyDescent="0.3">
      <c r="A197" s="50">
        <v>195</v>
      </c>
      <c r="B197" s="281" t="s">
        <v>532</v>
      </c>
      <c r="C197" s="52">
        <v>6</v>
      </c>
      <c r="D197" s="50" t="s">
        <v>24</v>
      </c>
      <c r="E197" s="203">
        <v>48</v>
      </c>
      <c r="F197" s="33">
        <v>100</v>
      </c>
      <c r="G197" s="51">
        <v>45611</v>
      </c>
      <c r="H197" s="363">
        <v>4</v>
      </c>
      <c r="I197" s="33">
        <v>10</v>
      </c>
      <c r="J197" s="51">
        <v>45611</v>
      </c>
      <c r="K197" s="367">
        <v>4</v>
      </c>
      <c r="L197" s="36" t="s">
        <v>214</v>
      </c>
      <c r="M197" s="228" t="b">
        <f>+ISNUMBER(PAGOS[[#This Row],[REG]])</f>
        <v>1</v>
      </c>
    </row>
    <row r="198" spans="1:13" x14ac:dyDescent="0.3">
      <c r="A198" s="50">
        <v>196</v>
      </c>
      <c r="B198" s="281" t="s">
        <v>530</v>
      </c>
      <c r="C198" s="52">
        <v>1</v>
      </c>
      <c r="D198" s="50" t="s">
        <v>13</v>
      </c>
      <c r="E198" s="203">
        <v>0</v>
      </c>
      <c r="F198" s="33">
        <v>13.35</v>
      </c>
      <c r="G198" s="51">
        <v>45611</v>
      </c>
      <c r="H198" s="364" t="s">
        <v>490</v>
      </c>
      <c r="I198" s="33">
        <v>0</v>
      </c>
      <c r="J198" s="51">
        <v>45611</v>
      </c>
      <c r="K198" s="368" t="s">
        <v>490</v>
      </c>
      <c r="L198" s="36" t="s">
        <v>249</v>
      </c>
      <c r="M198" s="228" t="b">
        <f>+ISNUMBER(PAGOS[[#This Row],[REG]])</f>
        <v>1</v>
      </c>
    </row>
    <row r="199" spans="1:13" x14ac:dyDescent="0.3">
      <c r="A199" s="50">
        <v>197</v>
      </c>
      <c r="B199" s="281" t="s">
        <v>530</v>
      </c>
      <c r="C199" s="52">
        <v>1</v>
      </c>
      <c r="D199" s="50" t="s">
        <v>17</v>
      </c>
      <c r="E199" s="203">
        <v>0</v>
      </c>
      <c r="F199" s="33">
        <v>13.35</v>
      </c>
      <c r="G199" s="51">
        <v>45611</v>
      </c>
      <c r="H199" s="364" t="s">
        <v>490</v>
      </c>
      <c r="I199" s="33">
        <v>0</v>
      </c>
      <c r="J199" s="51">
        <v>45611</v>
      </c>
      <c r="K199" s="368" t="s">
        <v>490</v>
      </c>
      <c r="L199" s="36" t="s">
        <v>249</v>
      </c>
      <c r="M199" s="228" t="b">
        <f>+ISNUMBER(PAGOS[[#This Row],[REG]])</f>
        <v>1</v>
      </c>
    </row>
    <row r="200" spans="1:13" x14ac:dyDescent="0.3">
      <c r="A200" s="50">
        <v>198</v>
      </c>
      <c r="B200" s="281" t="s">
        <v>530</v>
      </c>
      <c r="C200" s="52">
        <v>1</v>
      </c>
      <c r="D200" s="50" t="s">
        <v>18</v>
      </c>
      <c r="E200" s="203">
        <v>0</v>
      </c>
      <c r="F200" s="33">
        <v>13.35</v>
      </c>
      <c r="G200" s="51">
        <v>45611</v>
      </c>
      <c r="H200" s="364" t="s">
        <v>490</v>
      </c>
      <c r="I200" s="33">
        <v>0</v>
      </c>
      <c r="J200" s="51">
        <v>45611</v>
      </c>
      <c r="K200" s="368" t="s">
        <v>490</v>
      </c>
      <c r="L200" s="36" t="s">
        <v>249</v>
      </c>
      <c r="M200" s="228" t="b">
        <f>+ISNUMBER(PAGOS[[#This Row],[REG]])</f>
        <v>1</v>
      </c>
    </row>
    <row r="201" spans="1:13" x14ac:dyDescent="0.3">
      <c r="A201" s="50">
        <v>199</v>
      </c>
      <c r="B201" s="281" t="s">
        <v>530</v>
      </c>
      <c r="C201" s="52">
        <v>1</v>
      </c>
      <c r="D201" s="50" t="s">
        <v>19</v>
      </c>
      <c r="E201" s="203">
        <v>0</v>
      </c>
      <c r="F201" s="33">
        <v>13.35</v>
      </c>
      <c r="G201" s="51">
        <v>45611</v>
      </c>
      <c r="H201" s="364" t="s">
        <v>490</v>
      </c>
      <c r="I201" s="33">
        <v>0</v>
      </c>
      <c r="J201" s="51">
        <v>45611</v>
      </c>
      <c r="K201" s="368" t="s">
        <v>490</v>
      </c>
      <c r="L201" s="36" t="s">
        <v>249</v>
      </c>
      <c r="M201" s="228" t="b">
        <f>+ISNUMBER(PAGOS[[#This Row],[REG]])</f>
        <v>1</v>
      </c>
    </row>
    <row r="202" spans="1:13" x14ac:dyDescent="0.3">
      <c r="A202" s="50">
        <v>200</v>
      </c>
      <c r="B202" s="281" t="s">
        <v>530</v>
      </c>
      <c r="C202" s="52">
        <v>1</v>
      </c>
      <c r="D202" s="50" t="s">
        <v>20</v>
      </c>
      <c r="E202" s="203">
        <v>0</v>
      </c>
      <c r="F202" s="33">
        <v>13.35</v>
      </c>
      <c r="G202" s="51">
        <v>45611</v>
      </c>
      <c r="H202" s="364" t="s">
        <v>490</v>
      </c>
      <c r="I202" s="33">
        <v>0</v>
      </c>
      <c r="J202" s="51">
        <v>45611</v>
      </c>
      <c r="K202" s="368" t="s">
        <v>490</v>
      </c>
      <c r="L202" s="36" t="s">
        <v>249</v>
      </c>
      <c r="M202" s="228" t="b">
        <f>+ISNUMBER(PAGOS[[#This Row],[REG]])</f>
        <v>1</v>
      </c>
    </row>
    <row r="203" spans="1:13" x14ac:dyDescent="0.3">
      <c r="A203" s="50">
        <v>201</v>
      </c>
      <c r="B203" s="281" t="s">
        <v>530</v>
      </c>
      <c r="C203" s="52">
        <v>1</v>
      </c>
      <c r="D203" s="50" t="s">
        <v>21</v>
      </c>
      <c r="E203" s="203">
        <v>0</v>
      </c>
      <c r="F203" s="33">
        <v>13.35</v>
      </c>
      <c r="G203" s="51">
        <v>45611</v>
      </c>
      <c r="H203" s="364" t="s">
        <v>490</v>
      </c>
      <c r="I203" s="33">
        <v>0</v>
      </c>
      <c r="J203" s="51">
        <v>45611</v>
      </c>
      <c r="K203" s="368" t="s">
        <v>490</v>
      </c>
      <c r="L203" s="36" t="s">
        <v>249</v>
      </c>
      <c r="M203" s="228" t="b">
        <f>+ISNUMBER(PAGOS[[#This Row],[REG]])</f>
        <v>1</v>
      </c>
    </row>
    <row r="204" spans="1:13" x14ac:dyDescent="0.3">
      <c r="A204" s="50">
        <v>202</v>
      </c>
      <c r="B204" s="281" t="s">
        <v>530</v>
      </c>
      <c r="C204" s="52">
        <v>1</v>
      </c>
      <c r="D204" s="50" t="s">
        <v>22</v>
      </c>
      <c r="E204" s="203">
        <v>0</v>
      </c>
      <c r="F204" s="33">
        <v>13.35</v>
      </c>
      <c r="G204" s="51">
        <v>45611</v>
      </c>
      <c r="H204" s="364" t="s">
        <v>490</v>
      </c>
      <c r="I204" s="33">
        <v>0</v>
      </c>
      <c r="J204" s="51">
        <v>45611</v>
      </c>
      <c r="K204" s="368" t="s">
        <v>490</v>
      </c>
      <c r="L204" s="36" t="s">
        <v>249</v>
      </c>
      <c r="M204" s="228" t="b">
        <f>+ISNUMBER(PAGOS[[#This Row],[REG]])</f>
        <v>1</v>
      </c>
    </row>
    <row r="205" spans="1:13" x14ac:dyDescent="0.3">
      <c r="A205" s="50">
        <v>203</v>
      </c>
      <c r="B205" s="281" t="s">
        <v>530</v>
      </c>
      <c r="C205" s="52">
        <v>1</v>
      </c>
      <c r="D205" s="50" t="s">
        <v>23</v>
      </c>
      <c r="E205" s="203">
        <v>0</v>
      </c>
      <c r="F205" s="33">
        <v>13.35</v>
      </c>
      <c r="G205" s="51">
        <v>45611</v>
      </c>
      <c r="H205" s="364" t="s">
        <v>490</v>
      </c>
      <c r="I205" s="33">
        <v>0</v>
      </c>
      <c r="J205" s="51">
        <v>45611</v>
      </c>
      <c r="K205" s="368" t="s">
        <v>490</v>
      </c>
      <c r="L205" s="36" t="s">
        <v>249</v>
      </c>
      <c r="M205" s="228" t="b">
        <f>+ISNUMBER(PAGOS[[#This Row],[REG]])</f>
        <v>1</v>
      </c>
    </row>
    <row r="206" spans="1:13" x14ac:dyDescent="0.3">
      <c r="A206" s="50">
        <v>204</v>
      </c>
      <c r="B206" s="281" t="s">
        <v>532</v>
      </c>
      <c r="C206" s="52">
        <v>9</v>
      </c>
      <c r="D206" s="50" t="s">
        <v>17</v>
      </c>
      <c r="E206" s="203">
        <v>50</v>
      </c>
      <c r="F206" s="33">
        <v>100</v>
      </c>
      <c r="G206" s="51">
        <v>45611</v>
      </c>
      <c r="H206" s="363">
        <v>3</v>
      </c>
      <c r="I206" s="33">
        <v>12</v>
      </c>
      <c r="J206" s="51">
        <v>45611</v>
      </c>
      <c r="K206" s="367">
        <v>3</v>
      </c>
      <c r="L206" s="36" t="s">
        <v>215</v>
      </c>
      <c r="M206" s="228" t="b">
        <f>+ISNUMBER(PAGOS[[#This Row],[REG]])</f>
        <v>1</v>
      </c>
    </row>
    <row r="207" spans="1:13" x14ac:dyDescent="0.3">
      <c r="A207" s="50">
        <v>205</v>
      </c>
      <c r="B207" s="281" t="s">
        <v>532</v>
      </c>
      <c r="C207" s="52">
        <v>6</v>
      </c>
      <c r="D207" s="50" t="s">
        <v>24</v>
      </c>
      <c r="E207" s="203">
        <v>48</v>
      </c>
      <c r="F207" s="33">
        <v>100</v>
      </c>
      <c r="G207" s="51">
        <v>45641</v>
      </c>
      <c r="H207" s="363">
        <v>5</v>
      </c>
      <c r="I207" s="33">
        <v>0</v>
      </c>
      <c r="J207" s="51">
        <v>45641</v>
      </c>
      <c r="K207" s="367">
        <v>5</v>
      </c>
      <c r="L207" s="36" t="s">
        <v>253</v>
      </c>
      <c r="M207" s="228" t="b">
        <f>+ISNUMBER(PAGOS[[#This Row],[REG]])</f>
        <v>1</v>
      </c>
    </row>
    <row r="208" spans="1:13" x14ac:dyDescent="0.3">
      <c r="A208" s="50">
        <v>206</v>
      </c>
      <c r="B208" s="281" t="s">
        <v>531</v>
      </c>
      <c r="C208" s="52">
        <v>6</v>
      </c>
      <c r="D208" s="50" t="s">
        <v>24</v>
      </c>
      <c r="E208" s="203">
        <v>48</v>
      </c>
      <c r="F208" s="33">
        <v>0</v>
      </c>
      <c r="G208" s="51">
        <v>45641</v>
      </c>
      <c r="H208" s="363" t="s">
        <v>491</v>
      </c>
      <c r="I208" s="33">
        <v>10</v>
      </c>
      <c r="J208" s="51">
        <v>45641</v>
      </c>
      <c r="K208" s="367" t="s">
        <v>491</v>
      </c>
      <c r="L208" s="36" t="s">
        <v>247</v>
      </c>
      <c r="M208" s="228" t="b">
        <f>+ISNUMBER(PAGOS[[#This Row],[REG]])</f>
        <v>1</v>
      </c>
    </row>
    <row r="209" spans="1:13" x14ac:dyDescent="0.3">
      <c r="A209" s="50">
        <v>207</v>
      </c>
      <c r="B209" s="281" t="s">
        <v>532</v>
      </c>
      <c r="C209" s="52">
        <v>11</v>
      </c>
      <c r="D209" s="50" t="s">
        <v>19</v>
      </c>
      <c r="E209" s="203">
        <v>52</v>
      </c>
      <c r="F209" s="33">
        <v>100</v>
      </c>
      <c r="G209" s="51">
        <v>45641</v>
      </c>
      <c r="H209" s="363">
        <v>4</v>
      </c>
      <c r="I209" s="33">
        <v>0</v>
      </c>
      <c r="J209" s="51">
        <v>45641</v>
      </c>
      <c r="K209" s="367">
        <v>4</v>
      </c>
      <c r="L209" s="36" t="s">
        <v>401</v>
      </c>
      <c r="M209" s="228" t="b">
        <f>+ISNUMBER(PAGOS[[#This Row],[REG]])</f>
        <v>1</v>
      </c>
    </row>
    <row r="210" spans="1:13" x14ac:dyDescent="0.3">
      <c r="A210" s="50">
        <v>208</v>
      </c>
      <c r="B210" s="281" t="s">
        <v>531</v>
      </c>
      <c r="C210" s="52">
        <v>11</v>
      </c>
      <c r="D210" s="50" t="s">
        <v>19</v>
      </c>
      <c r="E210" s="203">
        <v>52</v>
      </c>
      <c r="F210" s="33">
        <v>0</v>
      </c>
      <c r="G210" s="51">
        <v>45641</v>
      </c>
      <c r="H210" s="363" t="s">
        <v>491</v>
      </c>
      <c r="I210" s="33">
        <v>8</v>
      </c>
      <c r="J210" s="51">
        <v>45641</v>
      </c>
      <c r="K210" s="367" t="s">
        <v>491</v>
      </c>
      <c r="L210" s="36" t="s">
        <v>256</v>
      </c>
      <c r="M210" s="228" t="b">
        <f>+ISNUMBER(PAGOS[[#This Row],[REG]])</f>
        <v>1</v>
      </c>
    </row>
    <row r="211" spans="1:13" x14ac:dyDescent="0.3">
      <c r="A211" s="50">
        <v>209</v>
      </c>
      <c r="B211" s="281" t="s">
        <v>532</v>
      </c>
      <c r="C211" s="52">
        <v>15</v>
      </c>
      <c r="D211" s="50" t="s">
        <v>22</v>
      </c>
      <c r="E211" s="203">
        <v>39</v>
      </c>
      <c r="F211" s="33">
        <v>50</v>
      </c>
      <c r="G211" s="51">
        <v>45641</v>
      </c>
      <c r="H211" s="363">
        <v>9</v>
      </c>
      <c r="I211" s="33">
        <v>12</v>
      </c>
      <c r="J211" s="51">
        <v>45641</v>
      </c>
      <c r="K211" s="367">
        <v>9</v>
      </c>
      <c r="L211" s="36" t="s">
        <v>250</v>
      </c>
      <c r="M211" s="228" t="b">
        <f>+ISNUMBER(PAGOS[[#This Row],[REG]])</f>
        <v>1</v>
      </c>
    </row>
    <row r="212" spans="1:13" x14ac:dyDescent="0.3">
      <c r="A212" s="50">
        <v>210</v>
      </c>
      <c r="B212" s="281" t="s">
        <v>532</v>
      </c>
      <c r="C212" s="52">
        <v>5</v>
      </c>
      <c r="D212" s="50" t="s">
        <v>14</v>
      </c>
      <c r="E212" s="203">
        <v>38</v>
      </c>
      <c r="F212" s="33">
        <v>100</v>
      </c>
      <c r="G212" s="51">
        <v>45641</v>
      </c>
      <c r="H212" s="363">
        <v>9</v>
      </c>
      <c r="I212" s="33">
        <v>20</v>
      </c>
      <c r="J212" s="51">
        <v>45641</v>
      </c>
      <c r="K212" s="367">
        <v>9</v>
      </c>
      <c r="L212" s="36" t="s">
        <v>250</v>
      </c>
      <c r="M212" s="228" t="b">
        <f>+ISNUMBER(PAGOS[[#This Row],[REG]])</f>
        <v>1</v>
      </c>
    </row>
    <row r="213" spans="1:13" x14ac:dyDescent="0.3">
      <c r="A213" s="50">
        <v>211</v>
      </c>
      <c r="B213" s="281" t="s">
        <v>532</v>
      </c>
      <c r="C213" s="52">
        <v>12</v>
      </c>
      <c r="D213" s="50" t="s">
        <v>20</v>
      </c>
      <c r="E213" s="203">
        <v>58</v>
      </c>
      <c r="F213" s="33">
        <v>100</v>
      </c>
      <c r="G213" s="51">
        <v>45641</v>
      </c>
      <c r="H213" s="363">
        <v>1</v>
      </c>
      <c r="I213" s="33">
        <v>20</v>
      </c>
      <c r="J213" s="51">
        <v>45641</v>
      </c>
      <c r="K213" s="367">
        <v>1</v>
      </c>
      <c r="L213" s="36" t="s">
        <v>212</v>
      </c>
      <c r="M213" s="228" t="b">
        <f>+ISNUMBER(PAGOS[[#This Row],[REG]])</f>
        <v>1</v>
      </c>
    </row>
    <row r="214" spans="1:13" x14ac:dyDescent="0.3">
      <c r="A214" s="50">
        <v>212</v>
      </c>
      <c r="B214" s="281" t="s">
        <v>532</v>
      </c>
      <c r="C214" s="52">
        <v>16</v>
      </c>
      <c r="D214" s="50" t="s">
        <v>23</v>
      </c>
      <c r="E214" s="203">
        <v>49</v>
      </c>
      <c r="F214" s="33">
        <v>41.67</v>
      </c>
      <c r="G214" s="51">
        <v>45641</v>
      </c>
      <c r="H214" s="363">
        <v>5</v>
      </c>
      <c r="I214" s="33">
        <v>10</v>
      </c>
      <c r="J214" s="51">
        <v>45641</v>
      </c>
      <c r="K214" s="367">
        <v>5</v>
      </c>
      <c r="L214" s="36" t="s">
        <v>220</v>
      </c>
      <c r="M214" s="228" t="b">
        <f>+ISNUMBER(PAGOS[[#This Row],[REG]])</f>
        <v>1</v>
      </c>
    </row>
    <row r="215" spans="1:13" x14ac:dyDescent="0.3">
      <c r="A215" s="50">
        <v>213</v>
      </c>
      <c r="B215" s="281" t="s">
        <v>532</v>
      </c>
      <c r="C215" s="52">
        <v>9</v>
      </c>
      <c r="D215" s="50" t="s">
        <v>17</v>
      </c>
      <c r="E215" s="203">
        <v>50</v>
      </c>
      <c r="F215" s="33">
        <v>100</v>
      </c>
      <c r="G215" s="51">
        <v>45641</v>
      </c>
      <c r="H215" s="363">
        <v>4</v>
      </c>
      <c r="I215" s="33">
        <v>12</v>
      </c>
      <c r="J215" s="51">
        <v>45641</v>
      </c>
      <c r="K215" s="367">
        <v>4</v>
      </c>
      <c r="L215" s="36" t="s">
        <v>214</v>
      </c>
      <c r="M215" s="228" t="b">
        <f>+ISNUMBER(PAGOS[[#This Row],[REG]])</f>
        <v>1</v>
      </c>
    </row>
    <row r="216" spans="1:13" x14ac:dyDescent="0.3">
      <c r="A216" s="50">
        <v>214</v>
      </c>
      <c r="B216" s="281" t="s">
        <v>532</v>
      </c>
      <c r="C216" s="52">
        <v>4</v>
      </c>
      <c r="D216" s="50" t="s">
        <v>12</v>
      </c>
      <c r="E216" s="203">
        <v>51</v>
      </c>
      <c r="F216" s="33">
        <v>50</v>
      </c>
      <c r="G216" s="51">
        <v>45641</v>
      </c>
      <c r="H216" s="363">
        <v>4</v>
      </c>
      <c r="I216" s="33">
        <v>6</v>
      </c>
      <c r="J216" s="51">
        <v>45641</v>
      </c>
      <c r="K216" s="367">
        <v>4</v>
      </c>
      <c r="L216" s="36" t="s">
        <v>214</v>
      </c>
      <c r="M216" s="228" t="b">
        <f>+ISNUMBER(PAGOS[[#This Row],[REG]])</f>
        <v>1</v>
      </c>
    </row>
    <row r="217" spans="1:13" x14ac:dyDescent="0.3">
      <c r="A217" s="50">
        <v>215</v>
      </c>
      <c r="B217" s="281" t="s">
        <v>532</v>
      </c>
      <c r="C217" s="52">
        <v>11</v>
      </c>
      <c r="D217" s="50" t="s">
        <v>19</v>
      </c>
      <c r="E217" s="203">
        <v>52</v>
      </c>
      <c r="F217" s="33">
        <v>100</v>
      </c>
      <c r="G217" s="51">
        <v>45641</v>
      </c>
      <c r="H217" s="363">
        <v>3</v>
      </c>
      <c r="I217" s="33">
        <v>8</v>
      </c>
      <c r="J217" s="51">
        <v>45641</v>
      </c>
      <c r="K217" s="367">
        <v>3</v>
      </c>
      <c r="L217" s="36" t="s">
        <v>215</v>
      </c>
      <c r="M217" s="228" t="b">
        <f>+ISNUMBER(PAGOS[[#This Row],[REG]])</f>
        <v>1</v>
      </c>
    </row>
    <row r="218" spans="1:13" x14ac:dyDescent="0.3">
      <c r="A218" s="50">
        <v>216</v>
      </c>
      <c r="B218" s="281" t="s">
        <v>532</v>
      </c>
      <c r="C218" s="52">
        <v>7</v>
      </c>
      <c r="D218" s="50" t="s">
        <v>15</v>
      </c>
      <c r="E218" s="203">
        <v>54</v>
      </c>
      <c r="F218" s="33">
        <v>62.5</v>
      </c>
      <c r="G218" s="51">
        <v>45641</v>
      </c>
      <c r="H218" s="363">
        <v>2</v>
      </c>
      <c r="I218" s="33">
        <v>5</v>
      </c>
      <c r="J218" s="51">
        <v>45641</v>
      </c>
      <c r="K218" s="367">
        <v>2</v>
      </c>
      <c r="L218" s="36" t="s">
        <v>216</v>
      </c>
      <c r="M218" s="228" t="b">
        <f>+ISNUMBER(PAGOS[[#This Row],[REG]])</f>
        <v>1</v>
      </c>
    </row>
    <row r="219" spans="1:13" x14ac:dyDescent="0.3">
      <c r="A219" s="50">
        <v>217</v>
      </c>
      <c r="B219" s="281" t="s">
        <v>532</v>
      </c>
      <c r="C219" s="52">
        <v>8</v>
      </c>
      <c r="D219" s="50" t="s">
        <v>16</v>
      </c>
      <c r="E219" s="203">
        <v>55</v>
      </c>
      <c r="F219" s="33">
        <v>62.5</v>
      </c>
      <c r="G219" s="51">
        <v>45641</v>
      </c>
      <c r="H219" s="363">
        <v>2</v>
      </c>
      <c r="I219" s="33">
        <v>5</v>
      </c>
      <c r="J219" s="51">
        <v>45641</v>
      </c>
      <c r="K219" s="367">
        <v>2</v>
      </c>
      <c r="L219" s="36" t="s">
        <v>216</v>
      </c>
      <c r="M219" s="228" t="b">
        <f>+ISNUMBER(PAGOS[[#This Row],[REG]])</f>
        <v>1</v>
      </c>
    </row>
    <row r="220" spans="1:13" x14ac:dyDescent="0.3">
      <c r="A220" s="50">
        <v>218</v>
      </c>
      <c r="B220" s="281" t="s">
        <v>532</v>
      </c>
      <c r="C220" s="52">
        <v>14</v>
      </c>
      <c r="D220" s="50" t="s">
        <v>21</v>
      </c>
      <c r="E220" s="203">
        <v>56</v>
      </c>
      <c r="F220" s="33">
        <v>125</v>
      </c>
      <c r="G220" s="51">
        <v>45641</v>
      </c>
      <c r="H220" s="363">
        <v>2</v>
      </c>
      <c r="I220" s="33">
        <v>10</v>
      </c>
      <c r="J220" s="51">
        <v>45641</v>
      </c>
      <c r="K220" s="367">
        <v>2</v>
      </c>
      <c r="L220" s="36" t="s">
        <v>216</v>
      </c>
      <c r="M220" s="228" t="b">
        <f>+ISNUMBER(PAGOS[[#This Row],[REG]])</f>
        <v>1</v>
      </c>
    </row>
    <row r="221" spans="1:13" x14ac:dyDescent="0.3">
      <c r="A221" s="50">
        <v>219</v>
      </c>
      <c r="B221" s="281" t="s">
        <v>532</v>
      </c>
      <c r="C221" s="52">
        <v>10</v>
      </c>
      <c r="D221" s="50" t="s">
        <v>18</v>
      </c>
      <c r="E221" s="203">
        <v>59</v>
      </c>
      <c r="F221" s="33">
        <v>40</v>
      </c>
      <c r="G221" s="51">
        <v>45641</v>
      </c>
      <c r="H221" s="363">
        <v>1</v>
      </c>
      <c r="I221" s="33">
        <v>4</v>
      </c>
      <c r="J221" s="51">
        <v>45641</v>
      </c>
      <c r="K221" s="367">
        <v>1</v>
      </c>
      <c r="L221" s="36" t="s">
        <v>212</v>
      </c>
      <c r="M221" s="228" t="b">
        <f>+ISNUMBER(PAGOS[[#This Row],[REG]])</f>
        <v>1</v>
      </c>
    </row>
    <row r="222" spans="1:13" x14ac:dyDescent="0.3">
      <c r="A222" s="50">
        <v>220</v>
      </c>
      <c r="B222" s="281" t="s">
        <v>530</v>
      </c>
      <c r="C222" s="52">
        <v>1</v>
      </c>
      <c r="D222" s="50" t="s">
        <v>24</v>
      </c>
      <c r="E222" s="283">
        <v>0</v>
      </c>
      <c r="F222" s="33">
        <v>13.35</v>
      </c>
      <c r="G222" s="51">
        <v>45641</v>
      </c>
      <c r="H222" s="364" t="s">
        <v>490</v>
      </c>
      <c r="I222" s="33">
        <v>0</v>
      </c>
      <c r="J222" s="51">
        <v>45641</v>
      </c>
      <c r="K222" s="368" t="s">
        <v>490</v>
      </c>
      <c r="L222" s="36" t="s">
        <v>249</v>
      </c>
      <c r="M222" s="228" t="b">
        <f>+ISNUMBER(PAGOS[[#This Row],[REG]])</f>
        <v>1</v>
      </c>
    </row>
    <row r="223" spans="1:13" x14ac:dyDescent="0.3">
      <c r="A223" s="50">
        <v>221</v>
      </c>
      <c r="B223" s="281" t="s">
        <v>530</v>
      </c>
      <c r="C223" s="52">
        <v>1</v>
      </c>
      <c r="D223" s="50" t="s">
        <v>356</v>
      </c>
      <c r="E223" s="283">
        <v>0</v>
      </c>
      <c r="F223" s="33">
        <v>13.35</v>
      </c>
      <c r="G223" s="51">
        <v>45641</v>
      </c>
      <c r="H223" s="364" t="s">
        <v>490</v>
      </c>
      <c r="I223" s="33">
        <v>0</v>
      </c>
      <c r="J223" s="51">
        <v>45641</v>
      </c>
      <c r="K223" s="368" t="s">
        <v>490</v>
      </c>
      <c r="L223" s="36" t="s">
        <v>249</v>
      </c>
      <c r="M223" s="228" t="b">
        <f>+ISNUMBER(PAGOS[[#This Row],[REG]])</f>
        <v>1</v>
      </c>
    </row>
    <row r="224" spans="1:13" x14ac:dyDescent="0.3">
      <c r="A224" s="50">
        <v>222</v>
      </c>
      <c r="B224" s="281" t="s">
        <v>532</v>
      </c>
      <c r="C224" s="52">
        <v>3</v>
      </c>
      <c r="D224" s="50" t="s">
        <v>13</v>
      </c>
      <c r="E224" s="203">
        <v>57</v>
      </c>
      <c r="F224" s="33">
        <v>166.67</v>
      </c>
      <c r="G224" s="51">
        <v>45641</v>
      </c>
      <c r="H224" s="363">
        <v>1</v>
      </c>
      <c r="I224" s="33">
        <v>10</v>
      </c>
      <c r="J224" s="51">
        <v>45641</v>
      </c>
      <c r="K224" s="367">
        <v>1</v>
      </c>
      <c r="L224" s="36" t="s">
        <v>212</v>
      </c>
      <c r="M224" s="228" t="b">
        <f>+ISNUMBER(PAGOS[[#This Row],[REG]])</f>
        <v>1</v>
      </c>
    </row>
    <row r="225" spans="1:13" x14ac:dyDescent="0.3">
      <c r="A225" s="50">
        <v>223</v>
      </c>
      <c r="B225" s="281" t="s">
        <v>532</v>
      </c>
      <c r="C225" s="52">
        <v>10</v>
      </c>
      <c r="D225" s="50" t="s">
        <v>18</v>
      </c>
      <c r="E225" s="203">
        <v>59</v>
      </c>
      <c r="F225" s="33">
        <v>40</v>
      </c>
      <c r="G225" s="288">
        <v>45672</v>
      </c>
      <c r="H225" s="363">
        <v>2</v>
      </c>
      <c r="I225" s="33">
        <v>0</v>
      </c>
      <c r="J225" s="288">
        <v>45672</v>
      </c>
      <c r="K225" s="367">
        <v>2</v>
      </c>
      <c r="L225" s="36" t="s">
        <v>402</v>
      </c>
      <c r="M225" s="235" t="b">
        <f>+ISNUMBER(PAGOS[[#This Row],[REG]])</f>
        <v>1</v>
      </c>
    </row>
    <row r="226" spans="1:13" x14ac:dyDescent="0.3">
      <c r="A226" s="50">
        <v>224</v>
      </c>
      <c r="B226" s="281" t="s">
        <v>531</v>
      </c>
      <c r="C226" s="52">
        <v>10</v>
      </c>
      <c r="D226" s="50" t="s">
        <v>18</v>
      </c>
      <c r="E226" s="203">
        <v>59</v>
      </c>
      <c r="F226" s="33">
        <v>0</v>
      </c>
      <c r="G226" s="288">
        <v>45672</v>
      </c>
      <c r="H226" s="363" t="s">
        <v>491</v>
      </c>
      <c r="I226" s="33">
        <v>4</v>
      </c>
      <c r="J226" s="288">
        <v>45672</v>
      </c>
      <c r="K226" s="367" t="s">
        <v>491</v>
      </c>
      <c r="L226" s="36" t="s">
        <v>403</v>
      </c>
      <c r="M226" s="235" t="b">
        <f>+ISNUMBER(PAGOS[[#This Row],[REG]])</f>
        <v>1</v>
      </c>
    </row>
    <row r="227" spans="1:13" x14ac:dyDescent="0.3">
      <c r="A227" s="50">
        <v>225</v>
      </c>
      <c r="B227" s="281" t="s">
        <v>532</v>
      </c>
      <c r="C227" s="52">
        <v>9</v>
      </c>
      <c r="D227" s="50" t="s">
        <v>17</v>
      </c>
      <c r="E227" s="203">
        <v>50</v>
      </c>
      <c r="F227" s="33">
        <v>100</v>
      </c>
      <c r="G227" s="288">
        <v>45672</v>
      </c>
      <c r="H227" s="363">
        <v>5</v>
      </c>
      <c r="I227" s="33">
        <v>0</v>
      </c>
      <c r="J227" s="288">
        <v>45672</v>
      </c>
      <c r="K227" s="367">
        <v>5</v>
      </c>
      <c r="L227" s="36" t="s">
        <v>296</v>
      </c>
      <c r="M227" s="235" t="b">
        <f>+ISNUMBER(PAGOS[[#This Row],[REG]])</f>
        <v>1</v>
      </c>
    </row>
    <row r="228" spans="1:13" x14ac:dyDescent="0.3">
      <c r="A228" s="50">
        <v>226</v>
      </c>
      <c r="B228" s="281" t="s">
        <v>531</v>
      </c>
      <c r="C228" s="52">
        <v>9</v>
      </c>
      <c r="D228" s="50" t="s">
        <v>17</v>
      </c>
      <c r="E228" s="203">
        <v>50</v>
      </c>
      <c r="F228" s="33">
        <v>0</v>
      </c>
      <c r="G228" s="288">
        <v>45672</v>
      </c>
      <c r="H228" s="363" t="s">
        <v>491</v>
      </c>
      <c r="I228" s="33">
        <v>12</v>
      </c>
      <c r="J228" s="288">
        <v>45672</v>
      </c>
      <c r="K228" s="367" t="s">
        <v>491</v>
      </c>
      <c r="L228" s="36" t="s">
        <v>404</v>
      </c>
      <c r="M228" s="235" t="b">
        <f>+ISNUMBER(PAGOS[[#This Row],[REG]])</f>
        <v>1</v>
      </c>
    </row>
    <row r="229" spans="1:13" x14ac:dyDescent="0.3">
      <c r="A229" s="50">
        <v>227</v>
      </c>
      <c r="B229" s="281" t="s">
        <v>532</v>
      </c>
      <c r="C229" s="52">
        <v>9</v>
      </c>
      <c r="D229" s="50" t="s">
        <v>17</v>
      </c>
      <c r="E229" s="203">
        <v>50</v>
      </c>
      <c r="F229" s="33">
        <v>100</v>
      </c>
      <c r="G229" s="51">
        <v>45672</v>
      </c>
      <c r="H229" s="363">
        <v>6</v>
      </c>
      <c r="I229" s="33">
        <v>0</v>
      </c>
      <c r="J229" s="51">
        <v>45672</v>
      </c>
      <c r="K229" s="367">
        <v>6</v>
      </c>
      <c r="L229" s="36" t="s">
        <v>413</v>
      </c>
      <c r="M229" s="228" t="b">
        <f>+ISNUMBER(PAGOS[[#This Row],[REG]])</f>
        <v>1</v>
      </c>
    </row>
    <row r="230" spans="1:13" x14ac:dyDescent="0.3">
      <c r="A230" s="50">
        <v>228</v>
      </c>
      <c r="B230" s="281" t="s">
        <v>531</v>
      </c>
      <c r="C230" s="52">
        <v>9</v>
      </c>
      <c r="D230" s="50" t="s">
        <v>17</v>
      </c>
      <c r="E230" s="203">
        <v>50</v>
      </c>
      <c r="F230" s="33">
        <v>0</v>
      </c>
      <c r="G230" s="51">
        <v>45672</v>
      </c>
      <c r="H230" s="363" t="s">
        <v>491</v>
      </c>
      <c r="I230" s="33">
        <v>12</v>
      </c>
      <c r="J230" s="51">
        <v>45672</v>
      </c>
      <c r="K230" s="367" t="s">
        <v>491</v>
      </c>
      <c r="L230" s="36" t="s">
        <v>414</v>
      </c>
      <c r="M230" s="228" t="b">
        <f>+ISNUMBER(PAGOS[[#This Row],[REG]])</f>
        <v>1</v>
      </c>
    </row>
    <row r="231" spans="1:13" x14ac:dyDescent="0.3">
      <c r="A231" s="50">
        <v>229</v>
      </c>
      <c r="B231" s="281" t="s">
        <v>532</v>
      </c>
      <c r="C231" s="52">
        <v>3</v>
      </c>
      <c r="D231" s="50" t="s">
        <v>13</v>
      </c>
      <c r="E231" s="203">
        <v>57</v>
      </c>
      <c r="F231" s="33">
        <v>22.1</v>
      </c>
      <c r="G231" s="51">
        <v>45672</v>
      </c>
      <c r="H231" s="363">
        <v>3</v>
      </c>
      <c r="I231" s="33">
        <v>0</v>
      </c>
      <c r="J231" s="51">
        <v>45672</v>
      </c>
      <c r="K231" s="367">
        <v>3</v>
      </c>
      <c r="L231" s="36" t="s">
        <v>415</v>
      </c>
      <c r="M231" s="228" t="b">
        <f>+ISNUMBER(PAGOS[[#This Row],[REG]])</f>
        <v>1</v>
      </c>
    </row>
    <row r="232" spans="1:13" x14ac:dyDescent="0.3">
      <c r="A232" s="50">
        <v>230</v>
      </c>
      <c r="B232" s="281" t="s">
        <v>532</v>
      </c>
      <c r="C232" s="52">
        <v>14</v>
      </c>
      <c r="D232" s="50" t="s">
        <v>21</v>
      </c>
      <c r="E232" s="203">
        <v>56</v>
      </c>
      <c r="F232" s="33">
        <v>125</v>
      </c>
      <c r="G232" s="51">
        <v>45672</v>
      </c>
      <c r="H232" s="363">
        <v>4</v>
      </c>
      <c r="I232" s="33">
        <v>0</v>
      </c>
      <c r="J232" s="51">
        <v>45672</v>
      </c>
      <c r="K232" s="367">
        <v>4</v>
      </c>
      <c r="L232" s="36" t="s">
        <v>416</v>
      </c>
      <c r="M232" s="228" t="b">
        <f>+ISNUMBER(PAGOS[[#This Row],[REG]])</f>
        <v>1</v>
      </c>
    </row>
    <row r="233" spans="1:13" x14ac:dyDescent="0.3">
      <c r="A233" s="50">
        <v>231</v>
      </c>
      <c r="B233" s="281" t="s">
        <v>531</v>
      </c>
      <c r="C233" s="52">
        <v>14</v>
      </c>
      <c r="D233" s="50" t="s">
        <v>21</v>
      </c>
      <c r="E233" s="203">
        <v>56</v>
      </c>
      <c r="F233" s="33">
        <v>0</v>
      </c>
      <c r="G233" s="51">
        <v>45672</v>
      </c>
      <c r="H233" s="363" t="s">
        <v>491</v>
      </c>
      <c r="I233" s="33">
        <v>10</v>
      </c>
      <c r="J233" s="51">
        <v>45672</v>
      </c>
      <c r="K233" s="367" t="s">
        <v>491</v>
      </c>
      <c r="L233" s="36" t="s">
        <v>414</v>
      </c>
      <c r="M233" s="228" t="b">
        <f>+ISNUMBER(PAGOS[[#This Row],[REG]])</f>
        <v>1</v>
      </c>
    </row>
    <row r="234" spans="1:13" x14ac:dyDescent="0.3">
      <c r="A234" s="50">
        <v>232</v>
      </c>
      <c r="B234" s="281" t="s">
        <v>532</v>
      </c>
      <c r="C234" s="52">
        <v>15</v>
      </c>
      <c r="D234" s="50" t="s">
        <v>22</v>
      </c>
      <c r="E234" s="203">
        <v>39</v>
      </c>
      <c r="F234" s="33">
        <v>50</v>
      </c>
      <c r="G234" s="51">
        <v>45672</v>
      </c>
      <c r="H234" s="363">
        <v>10</v>
      </c>
      <c r="I234" s="33">
        <v>12</v>
      </c>
      <c r="J234" s="51">
        <v>45672</v>
      </c>
      <c r="K234" s="367">
        <v>10</v>
      </c>
      <c r="L234" s="36" t="s">
        <v>349</v>
      </c>
      <c r="M234" s="228" t="b">
        <f>+ISNUMBER(PAGOS[[#This Row],[REG]])</f>
        <v>1</v>
      </c>
    </row>
    <row r="235" spans="1:13" x14ac:dyDescent="0.3">
      <c r="A235" s="50">
        <v>233</v>
      </c>
      <c r="B235" s="281" t="s">
        <v>532</v>
      </c>
      <c r="C235" s="52">
        <v>16</v>
      </c>
      <c r="D235" s="50" t="s">
        <v>23</v>
      </c>
      <c r="E235" s="203">
        <v>49</v>
      </c>
      <c r="F235" s="33">
        <v>41.67</v>
      </c>
      <c r="G235" s="51">
        <v>45672</v>
      </c>
      <c r="H235" s="363">
        <v>6</v>
      </c>
      <c r="I235" s="33">
        <v>10</v>
      </c>
      <c r="J235" s="51">
        <v>45672</v>
      </c>
      <c r="K235" s="367">
        <v>6</v>
      </c>
      <c r="L235" s="36" t="s">
        <v>189</v>
      </c>
      <c r="M235" s="228" t="b">
        <f>+ISNUMBER(PAGOS[[#This Row],[REG]])</f>
        <v>1</v>
      </c>
    </row>
    <row r="236" spans="1:13" x14ac:dyDescent="0.3">
      <c r="A236" s="50">
        <v>234</v>
      </c>
      <c r="B236" s="281" t="s">
        <v>532</v>
      </c>
      <c r="C236" s="52">
        <v>4</v>
      </c>
      <c r="D236" s="50" t="s">
        <v>12</v>
      </c>
      <c r="E236" s="203">
        <v>51</v>
      </c>
      <c r="F236" s="33">
        <v>50</v>
      </c>
      <c r="G236" s="51">
        <v>45672</v>
      </c>
      <c r="H236" s="363">
        <v>5</v>
      </c>
      <c r="I236" s="33">
        <v>6</v>
      </c>
      <c r="J236" s="51">
        <v>45672</v>
      </c>
      <c r="K236" s="367">
        <v>5</v>
      </c>
      <c r="L236" s="36" t="s">
        <v>179</v>
      </c>
      <c r="M236" s="228" t="b">
        <f>+ISNUMBER(PAGOS[[#This Row],[REG]])</f>
        <v>1</v>
      </c>
    </row>
    <row r="237" spans="1:13" x14ac:dyDescent="0.3">
      <c r="A237" s="50">
        <v>235</v>
      </c>
      <c r="B237" s="281" t="s">
        <v>532</v>
      </c>
      <c r="C237" s="52">
        <v>7</v>
      </c>
      <c r="D237" s="50" t="s">
        <v>15</v>
      </c>
      <c r="E237" s="203">
        <v>54</v>
      </c>
      <c r="F237" s="33">
        <v>62.5</v>
      </c>
      <c r="G237" s="51">
        <v>45672</v>
      </c>
      <c r="H237" s="363">
        <v>3</v>
      </c>
      <c r="I237" s="33">
        <v>5</v>
      </c>
      <c r="J237" s="51">
        <v>45672</v>
      </c>
      <c r="K237" s="367">
        <v>3</v>
      </c>
      <c r="L237" s="36" t="s">
        <v>264</v>
      </c>
      <c r="M237" s="228" t="b">
        <f>+ISNUMBER(PAGOS[[#This Row],[REG]])</f>
        <v>1</v>
      </c>
    </row>
    <row r="238" spans="1:13" x14ac:dyDescent="0.3">
      <c r="A238" s="50">
        <v>236</v>
      </c>
      <c r="B238" s="281" t="s">
        <v>532</v>
      </c>
      <c r="C238" s="52">
        <v>8</v>
      </c>
      <c r="D238" s="50" t="s">
        <v>16</v>
      </c>
      <c r="E238" s="203">
        <v>55</v>
      </c>
      <c r="F238" s="33">
        <v>62.5</v>
      </c>
      <c r="G238" s="51">
        <v>45672</v>
      </c>
      <c r="H238" s="363">
        <v>3</v>
      </c>
      <c r="I238" s="33">
        <v>5</v>
      </c>
      <c r="J238" s="51">
        <v>45672</v>
      </c>
      <c r="K238" s="367">
        <v>3</v>
      </c>
      <c r="L238" s="36" t="s">
        <v>80</v>
      </c>
      <c r="M238" s="228" t="b">
        <f>+ISNUMBER(PAGOS[[#This Row],[REG]])</f>
        <v>1</v>
      </c>
    </row>
    <row r="239" spans="1:13" x14ac:dyDescent="0.3">
      <c r="A239" s="50">
        <v>237</v>
      </c>
      <c r="B239" s="281" t="s">
        <v>532</v>
      </c>
      <c r="C239" s="52">
        <v>14</v>
      </c>
      <c r="D239" s="50" t="s">
        <v>21</v>
      </c>
      <c r="E239" s="203">
        <v>56</v>
      </c>
      <c r="F239" s="33">
        <v>125</v>
      </c>
      <c r="G239" s="51">
        <v>45672</v>
      </c>
      <c r="H239" s="363">
        <v>3</v>
      </c>
      <c r="I239" s="33">
        <v>10</v>
      </c>
      <c r="J239" s="51">
        <v>45672</v>
      </c>
      <c r="K239" s="367">
        <v>3</v>
      </c>
      <c r="L239" s="36" t="s">
        <v>80</v>
      </c>
      <c r="M239" s="228" t="b">
        <f>+ISNUMBER(PAGOS[[#This Row],[REG]])</f>
        <v>1</v>
      </c>
    </row>
    <row r="240" spans="1:13" x14ac:dyDescent="0.3">
      <c r="A240" s="50">
        <v>238</v>
      </c>
      <c r="B240" s="281" t="s">
        <v>532</v>
      </c>
      <c r="C240" s="52">
        <v>12</v>
      </c>
      <c r="D240" s="50" t="s">
        <v>20</v>
      </c>
      <c r="E240" s="203">
        <v>58</v>
      </c>
      <c r="F240" s="33">
        <v>100</v>
      </c>
      <c r="G240" s="51">
        <v>45672</v>
      </c>
      <c r="H240" s="363">
        <v>2</v>
      </c>
      <c r="I240" s="33">
        <v>20</v>
      </c>
      <c r="J240" s="51">
        <v>45672</v>
      </c>
      <c r="K240" s="367">
        <v>2</v>
      </c>
      <c r="L240" s="36" t="s">
        <v>265</v>
      </c>
      <c r="M240" s="228" t="b">
        <f>+ISNUMBER(PAGOS[[#This Row],[REG]])</f>
        <v>1</v>
      </c>
    </row>
    <row r="241" spans="1:13" x14ac:dyDescent="0.3">
      <c r="A241" s="50">
        <v>239</v>
      </c>
      <c r="B241" s="281" t="s">
        <v>532</v>
      </c>
      <c r="C241" s="52">
        <v>6</v>
      </c>
      <c r="D241" s="50" t="s">
        <v>24</v>
      </c>
      <c r="E241" s="203">
        <v>60</v>
      </c>
      <c r="F241" s="33">
        <v>100</v>
      </c>
      <c r="G241" s="51">
        <v>45672</v>
      </c>
      <c r="H241" s="363">
        <v>1</v>
      </c>
      <c r="I241" s="33">
        <v>20</v>
      </c>
      <c r="J241" s="51">
        <v>45672</v>
      </c>
      <c r="K241" s="367">
        <v>1</v>
      </c>
      <c r="L241" s="36" t="s">
        <v>212</v>
      </c>
      <c r="M241" s="228" t="b">
        <f>+ISNUMBER(PAGOS[[#This Row],[REG]])</f>
        <v>1</v>
      </c>
    </row>
    <row r="242" spans="1:13" x14ac:dyDescent="0.3">
      <c r="A242" s="50">
        <v>240</v>
      </c>
      <c r="B242" s="281" t="s">
        <v>532</v>
      </c>
      <c r="C242" s="52">
        <v>11</v>
      </c>
      <c r="D242" s="50" t="s">
        <v>19</v>
      </c>
      <c r="E242" s="203">
        <v>61</v>
      </c>
      <c r="F242" s="33">
        <v>100</v>
      </c>
      <c r="G242" s="51">
        <v>45672</v>
      </c>
      <c r="H242" s="363">
        <v>1</v>
      </c>
      <c r="I242" s="33">
        <v>10</v>
      </c>
      <c r="J242" s="51">
        <v>45672</v>
      </c>
      <c r="K242" s="367">
        <v>1</v>
      </c>
      <c r="L242" s="36" t="s">
        <v>266</v>
      </c>
      <c r="M242" s="228" t="b">
        <f>+ISNUMBER(PAGOS[[#This Row],[REG]])</f>
        <v>1</v>
      </c>
    </row>
    <row r="243" spans="1:13" x14ac:dyDescent="0.3">
      <c r="A243" s="50">
        <v>241</v>
      </c>
      <c r="B243" s="281" t="s">
        <v>532</v>
      </c>
      <c r="C243" s="52">
        <v>5</v>
      </c>
      <c r="D243" s="50" t="s">
        <v>14</v>
      </c>
      <c r="E243" s="203">
        <v>38</v>
      </c>
      <c r="F243" s="33">
        <v>100</v>
      </c>
      <c r="G243" s="51">
        <v>45672</v>
      </c>
      <c r="H243" s="363">
        <v>10</v>
      </c>
      <c r="I243" s="33">
        <v>20</v>
      </c>
      <c r="J243" s="51">
        <v>45672</v>
      </c>
      <c r="K243" s="367">
        <v>10</v>
      </c>
      <c r="L243" s="36" t="s">
        <v>267</v>
      </c>
      <c r="M243" s="228" t="b">
        <f>+ISNUMBER(PAGOS[[#This Row],[REG]])</f>
        <v>1</v>
      </c>
    </row>
    <row r="244" spans="1:13" x14ac:dyDescent="0.3">
      <c r="A244" s="50">
        <v>242</v>
      </c>
      <c r="B244" s="281" t="s">
        <v>532</v>
      </c>
      <c r="C244" s="52">
        <v>3</v>
      </c>
      <c r="D244" s="50" t="s">
        <v>13</v>
      </c>
      <c r="E244" s="203">
        <v>57</v>
      </c>
      <c r="F244" s="33">
        <v>144.57</v>
      </c>
      <c r="G244" s="51">
        <v>45672</v>
      </c>
      <c r="H244" s="363">
        <v>2</v>
      </c>
      <c r="I244" s="33">
        <v>10</v>
      </c>
      <c r="J244" s="51">
        <v>45672</v>
      </c>
      <c r="K244" s="367">
        <v>2</v>
      </c>
      <c r="L244" s="36" t="s">
        <v>493</v>
      </c>
      <c r="M244" s="228" t="b">
        <f>+ISNUMBER(PAGOS[[#This Row],[REG]])</f>
        <v>1</v>
      </c>
    </row>
    <row r="245" spans="1:13" x14ac:dyDescent="0.3">
      <c r="A245" s="50">
        <v>243</v>
      </c>
      <c r="B245" s="281" t="s">
        <v>532</v>
      </c>
      <c r="C245" s="52">
        <v>16</v>
      </c>
      <c r="D245" s="50" t="s">
        <v>23</v>
      </c>
      <c r="E245" s="203">
        <v>62</v>
      </c>
      <c r="F245" s="33">
        <v>80</v>
      </c>
      <c r="G245" s="51">
        <v>45672</v>
      </c>
      <c r="H245" s="363">
        <v>1</v>
      </c>
      <c r="I245" s="33">
        <v>1.6</v>
      </c>
      <c r="J245" s="51">
        <v>45672</v>
      </c>
      <c r="K245" s="367">
        <v>1</v>
      </c>
      <c r="L245" s="36" t="s">
        <v>272</v>
      </c>
      <c r="M245" s="228" t="b">
        <f>+ISNUMBER(PAGOS[[#This Row],[REG]])</f>
        <v>1</v>
      </c>
    </row>
    <row r="246" spans="1:13" x14ac:dyDescent="0.3">
      <c r="A246" s="50">
        <v>244</v>
      </c>
      <c r="B246" s="281" t="s">
        <v>532</v>
      </c>
      <c r="C246" s="52">
        <v>15</v>
      </c>
      <c r="D246" s="50" t="s">
        <v>22</v>
      </c>
      <c r="E246" s="203">
        <v>39</v>
      </c>
      <c r="F246" s="33">
        <v>50</v>
      </c>
      <c r="G246" s="51">
        <v>45704</v>
      </c>
      <c r="H246" s="363">
        <v>11</v>
      </c>
      <c r="I246" s="33">
        <v>12</v>
      </c>
      <c r="J246" s="51">
        <v>45704</v>
      </c>
      <c r="K246" s="367">
        <v>11</v>
      </c>
      <c r="L246" s="36" t="s">
        <v>350</v>
      </c>
      <c r="M246" s="228" t="b">
        <f>+ISNUMBER(PAGOS[[#This Row],[REG]])</f>
        <v>1</v>
      </c>
    </row>
    <row r="247" spans="1:13" x14ac:dyDescent="0.3">
      <c r="A247" s="50">
        <v>245</v>
      </c>
      <c r="B247" s="281" t="s">
        <v>532</v>
      </c>
      <c r="C247" s="52">
        <v>16</v>
      </c>
      <c r="D247" s="50" t="s">
        <v>23</v>
      </c>
      <c r="E247" s="203">
        <v>49</v>
      </c>
      <c r="F247" s="33">
        <v>41.67</v>
      </c>
      <c r="G247" s="51">
        <v>45704</v>
      </c>
      <c r="H247" s="363">
        <v>7</v>
      </c>
      <c r="I247" s="33">
        <v>10</v>
      </c>
      <c r="J247" s="51">
        <v>45704</v>
      </c>
      <c r="K247" s="367">
        <v>7</v>
      </c>
      <c r="L247" s="36" t="s">
        <v>219</v>
      </c>
      <c r="M247" s="228" t="b">
        <f>+ISNUMBER(PAGOS[[#This Row],[REG]])</f>
        <v>1</v>
      </c>
    </row>
    <row r="248" spans="1:13" x14ac:dyDescent="0.3">
      <c r="A248" s="50">
        <v>246</v>
      </c>
      <c r="B248" s="281" t="s">
        <v>532</v>
      </c>
      <c r="C248" s="52">
        <v>4</v>
      </c>
      <c r="D248" s="50" t="s">
        <v>12</v>
      </c>
      <c r="E248" s="203">
        <v>51</v>
      </c>
      <c r="F248" s="33">
        <v>50</v>
      </c>
      <c r="G248" s="51">
        <v>45704</v>
      </c>
      <c r="H248" s="363">
        <v>6</v>
      </c>
      <c r="I248" s="33">
        <v>6</v>
      </c>
      <c r="J248" s="51">
        <v>45704</v>
      </c>
      <c r="K248" s="367">
        <v>6</v>
      </c>
      <c r="L248" s="36" t="s">
        <v>275</v>
      </c>
      <c r="M248" s="228" t="b">
        <f>+ISNUMBER(PAGOS[[#This Row],[REG]])</f>
        <v>1</v>
      </c>
    </row>
    <row r="249" spans="1:13" x14ac:dyDescent="0.3">
      <c r="A249" s="50">
        <v>247</v>
      </c>
      <c r="B249" s="281" t="s">
        <v>532</v>
      </c>
      <c r="C249" s="52">
        <v>7</v>
      </c>
      <c r="D249" s="50" t="s">
        <v>15</v>
      </c>
      <c r="E249" s="203">
        <v>54</v>
      </c>
      <c r="F249" s="33">
        <v>62.5</v>
      </c>
      <c r="G249" s="51">
        <v>45704</v>
      </c>
      <c r="H249" s="363">
        <v>4</v>
      </c>
      <c r="I249" s="33">
        <v>5</v>
      </c>
      <c r="J249" s="51">
        <v>45704</v>
      </c>
      <c r="K249" s="367">
        <v>4</v>
      </c>
      <c r="L249" s="36" t="s">
        <v>276</v>
      </c>
      <c r="M249" s="228" t="b">
        <f>+ISNUMBER(PAGOS[[#This Row],[REG]])</f>
        <v>1</v>
      </c>
    </row>
    <row r="250" spans="1:13" x14ac:dyDescent="0.3">
      <c r="A250" s="50">
        <v>248</v>
      </c>
      <c r="B250" s="281" t="s">
        <v>532</v>
      </c>
      <c r="C250" s="52">
        <v>8</v>
      </c>
      <c r="D250" s="50" t="s">
        <v>16</v>
      </c>
      <c r="E250" s="203">
        <v>55</v>
      </c>
      <c r="F250" s="33">
        <v>62.5</v>
      </c>
      <c r="G250" s="51">
        <v>45704</v>
      </c>
      <c r="H250" s="363">
        <v>4</v>
      </c>
      <c r="I250" s="33">
        <v>5</v>
      </c>
      <c r="J250" s="51">
        <v>45704</v>
      </c>
      <c r="K250" s="367">
        <v>4</v>
      </c>
      <c r="L250" s="36" t="s">
        <v>277</v>
      </c>
      <c r="M250" s="228" t="b">
        <f>+ISNUMBER(PAGOS[[#This Row],[REG]])</f>
        <v>1</v>
      </c>
    </row>
    <row r="251" spans="1:13" x14ac:dyDescent="0.3">
      <c r="A251" s="50">
        <v>249</v>
      </c>
      <c r="B251" s="281" t="s">
        <v>532</v>
      </c>
      <c r="C251" s="52">
        <v>3</v>
      </c>
      <c r="D251" s="50" t="s">
        <v>13</v>
      </c>
      <c r="E251" s="203">
        <v>57</v>
      </c>
      <c r="F251" s="33">
        <v>166.67</v>
      </c>
      <c r="G251" s="51">
        <v>45704</v>
      </c>
      <c r="H251" s="363">
        <v>3</v>
      </c>
      <c r="I251" s="33">
        <v>10</v>
      </c>
      <c r="J251" s="51">
        <v>45704</v>
      </c>
      <c r="K251" s="367">
        <v>3</v>
      </c>
      <c r="L251" s="36" t="s">
        <v>278</v>
      </c>
      <c r="M251" s="228" t="b">
        <f>+ISNUMBER(PAGOS[[#This Row],[REG]])</f>
        <v>1</v>
      </c>
    </row>
    <row r="252" spans="1:13" x14ac:dyDescent="0.3">
      <c r="A252" s="50">
        <v>250</v>
      </c>
      <c r="B252" s="281" t="s">
        <v>532</v>
      </c>
      <c r="C252" s="52">
        <v>12</v>
      </c>
      <c r="D252" s="50" t="s">
        <v>20</v>
      </c>
      <c r="E252" s="203">
        <v>58</v>
      </c>
      <c r="F252" s="33">
        <v>100</v>
      </c>
      <c r="G252" s="51">
        <v>45704</v>
      </c>
      <c r="H252" s="363">
        <v>3</v>
      </c>
      <c r="I252" s="33">
        <v>20</v>
      </c>
      <c r="J252" s="51">
        <v>45704</v>
      </c>
      <c r="K252" s="367">
        <v>3</v>
      </c>
      <c r="L252" s="36" t="s">
        <v>215</v>
      </c>
      <c r="M252" s="228" t="b">
        <f>+ISNUMBER(PAGOS[[#This Row],[REG]])</f>
        <v>1</v>
      </c>
    </row>
    <row r="253" spans="1:13" x14ac:dyDescent="0.3">
      <c r="A253" s="50">
        <v>251</v>
      </c>
      <c r="B253" s="281" t="s">
        <v>532</v>
      </c>
      <c r="C253" s="52">
        <v>10</v>
      </c>
      <c r="D253" s="50" t="s">
        <v>18</v>
      </c>
      <c r="E253" s="203">
        <v>59</v>
      </c>
      <c r="F253" s="33">
        <v>40</v>
      </c>
      <c r="G253" s="51">
        <v>45704</v>
      </c>
      <c r="H253" s="363">
        <v>3</v>
      </c>
      <c r="I253" s="33">
        <v>4</v>
      </c>
      <c r="J253" s="51">
        <v>45704</v>
      </c>
      <c r="K253" s="367">
        <v>3</v>
      </c>
      <c r="L253" s="36" t="s">
        <v>215</v>
      </c>
      <c r="M253" s="228" t="b">
        <f>+ISNUMBER(PAGOS[[#This Row],[REG]])</f>
        <v>1</v>
      </c>
    </row>
    <row r="254" spans="1:13" x14ac:dyDescent="0.3">
      <c r="A254" s="50">
        <v>252</v>
      </c>
      <c r="B254" s="281" t="s">
        <v>532</v>
      </c>
      <c r="C254" s="52">
        <v>6</v>
      </c>
      <c r="D254" s="50" t="s">
        <v>24</v>
      </c>
      <c r="E254" s="203">
        <v>60</v>
      </c>
      <c r="F254" s="33">
        <v>100</v>
      </c>
      <c r="G254" s="51">
        <v>45704</v>
      </c>
      <c r="H254" s="363">
        <v>2</v>
      </c>
      <c r="I254" s="33">
        <v>20</v>
      </c>
      <c r="J254" s="51">
        <v>45704</v>
      </c>
      <c r="K254" s="367">
        <v>2</v>
      </c>
      <c r="L254" s="36" t="s">
        <v>216</v>
      </c>
      <c r="M254" s="228" t="b">
        <f>+ISNUMBER(PAGOS[[#This Row],[REG]])</f>
        <v>1</v>
      </c>
    </row>
    <row r="255" spans="1:13" x14ac:dyDescent="0.3">
      <c r="A255" s="50">
        <v>253</v>
      </c>
      <c r="B255" s="281" t="s">
        <v>532</v>
      </c>
      <c r="C255" s="52">
        <v>11</v>
      </c>
      <c r="D255" s="50" t="s">
        <v>19</v>
      </c>
      <c r="E255" s="203">
        <v>61</v>
      </c>
      <c r="F255" s="33">
        <v>100</v>
      </c>
      <c r="G255" s="51">
        <v>45704</v>
      </c>
      <c r="H255" s="363">
        <v>2</v>
      </c>
      <c r="I255" s="33">
        <v>10</v>
      </c>
      <c r="J255" s="51">
        <v>45704</v>
      </c>
      <c r="K255" s="367">
        <v>2</v>
      </c>
      <c r="L255" s="36" t="s">
        <v>216</v>
      </c>
      <c r="M255" s="228" t="b">
        <f>+ISNUMBER(PAGOS[[#This Row],[REG]])</f>
        <v>1</v>
      </c>
    </row>
    <row r="256" spans="1:13" x14ac:dyDescent="0.3">
      <c r="A256" s="50">
        <v>254</v>
      </c>
      <c r="B256" s="281" t="s">
        <v>532</v>
      </c>
      <c r="C256" s="52">
        <v>9</v>
      </c>
      <c r="D256" s="50" t="s">
        <v>17</v>
      </c>
      <c r="E256" s="203">
        <v>63</v>
      </c>
      <c r="F256" s="33">
        <v>100</v>
      </c>
      <c r="G256" s="51">
        <v>45704</v>
      </c>
      <c r="H256" s="363">
        <v>1</v>
      </c>
      <c r="I256" s="33">
        <v>14</v>
      </c>
      <c r="J256" s="51">
        <v>45704</v>
      </c>
      <c r="K256" s="367">
        <v>1</v>
      </c>
      <c r="L256" s="36" t="s">
        <v>212</v>
      </c>
      <c r="M256" s="228" t="b">
        <f>+ISNUMBER(PAGOS[[#This Row],[REG]])</f>
        <v>1</v>
      </c>
    </row>
    <row r="257" spans="1:13" x14ac:dyDescent="0.3">
      <c r="A257" s="50">
        <v>255</v>
      </c>
      <c r="B257" s="281" t="s">
        <v>532</v>
      </c>
      <c r="C257" s="52">
        <v>14</v>
      </c>
      <c r="D257" s="50" t="s">
        <v>21</v>
      </c>
      <c r="E257" s="203">
        <v>64</v>
      </c>
      <c r="F257" s="33">
        <v>100</v>
      </c>
      <c r="G257" s="51">
        <v>45704</v>
      </c>
      <c r="H257" s="363">
        <v>1</v>
      </c>
      <c r="I257" s="33">
        <v>14</v>
      </c>
      <c r="J257" s="51">
        <v>45704</v>
      </c>
      <c r="K257" s="367">
        <v>1</v>
      </c>
      <c r="L257" s="36" t="s">
        <v>212</v>
      </c>
      <c r="M257" s="228" t="b">
        <f>+ISNUMBER(PAGOS[[#This Row],[REG]])</f>
        <v>1</v>
      </c>
    </row>
    <row r="258" spans="1:13" x14ac:dyDescent="0.3">
      <c r="A258" s="50">
        <v>256</v>
      </c>
      <c r="B258" s="281" t="s">
        <v>530</v>
      </c>
      <c r="C258" s="240">
        <v>1</v>
      </c>
      <c r="D258" s="50" t="s">
        <v>70</v>
      </c>
      <c r="E258" s="203">
        <v>0</v>
      </c>
      <c r="F258" s="33">
        <v>0</v>
      </c>
      <c r="G258" s="51">
        <v>45704</v>
      </c>
      <c r="H258" s="364" t="s">
        <v>490</v>
      </c>
      <c r="I258" s="33">
        <v>1</v>
      </c>
      <c r="J258" s="51">
        <v>45704</v>
      </c>
      <c r="K258" s="368" t="s">
        <v>490</v>
      </c>
      <c r="L258" s="36" t="s">
        <v>279</v>
      </c>
      <c r="M258" s="228" t="b">
        <f>+ISNUMBER(PAGOS[[#This Row],[REG]])</f>
        <v>1</v>
      </c>
    </row>
    <row r="259" spans="1:13" x14ac:dyDescent="0.3">
      <c r="A259" s="50">
        <v>257</v>
      </c>
      <c r="B259" s="281" t="s">
        <v>532</v>
      </c>
      <c r="C259" s="52">
        <v>16</v>
      </c>
      <c r="D259" s="50" t="s">
        <v>23</v>
      </c>
      <c r="E259" s="203">
        <v>65</v>
      </c>
      <c r="F259" s="33">
        <v>75</v>
      </c>
      <c r="G259" s="51">
        <v>45708</v>
      </c>
      <c r="H259" s="363">
        <v>1</v>
      </c>
      <c r="I259" s="33">
        <v>3</v>
      </c>
      <c r="J259" s="51">
        <v>45723</v>
      </c>
      <c r="K259" s="367">
        <v>1</v>
      </c>
      <c r="L259" s="36" t="s">
        <v>76</v>
      </c>
      <c r="M259" s="228" t="b">
        <f>+ISNUMBER(PAGOS[[#This Row],[REG]])</f>
        <v>1</v>
      </c>
    </row>
    <row r="260" spans="1:13" x14ac:dyDescent="0.3">
      <c r="A260" s="50">
        <v>258</v>
      </c>
      <c r="B260" s="281" t="s">
        <v>532</v>
      </c>
      <c r="C260" s="52">
        <v>15</v>
      </c>
      <c r="D260" s="50" t="s">
        <v>22</v>
      </c>
      <c r="E260" s="203">
        <v>39</v>
      </c>
      <c r="F260" s="33">
        <v>50</v>
      </c>
      <c r="G260" s="51">
        <v>45731</v>
      </c>
      <c r="H260" s="363">
        <v>11</v>
      </c>
      <c r="I260" s="33">
        <v>12</v>
      </c>
      <c r="J260" s="51">
        <v>45731</v>
      </c>
      <c r="K260" s="367">
        <v>11</v>
      </c>
      <c r="L260" s="36" t="s">
        <v>348</v>
      </c>
      <c r="M260" s="228" t="b">
        <f>+ISNUMBER(PAGOS[[#This Row],[REG]])</f>
        <v>1</v>
      </c>
    </row>
    <row r="261" spans="1:13" x14ac:dyDescent="0.3">
      <c r="A261" s="50">
        <v>259</v>
      </c>
      <c r="B261" s="281" t="s">
        <v>532</v>
      </c>
      <c r="C261" s="52">
        <v>16</v>
      </c>
      <c r="D261" s="50" t="s">
        <v>23</v>
      </c>
      <c r="E261" s="203">
        <v>49</v>
      </c>
      <c r="F261" s="33">
        <v>41.67</v>
      </c>
      <c r="G261" s="51">
        <v>45731</v>
      </c>
      <c r="H261" s="363">
        <v>7</v>
      </c>
      <c r="I261" s="33">
        <v>10</v>
      </c>
      <c r="J261" s="51">
        <v>45731</v>
      </c>
      <c r="K261" s="367">
        <v>7</v>
      </c>
      <c r="L261" s="36" t="s">
        <v>193</v>
      </c>
      <c r="M261" s="228" t="b">
        <f>+ISNUMBER(PAGOS[[#This Row],[REG]])</f>
        <v>1</v>
      </c>
    </row>
    <row r="262" spans="1:13" x14ac:dyDescent="0.3">
      <c r="A262" s="50">
        <v>260</v>
      </c>
      <c r="B262" s="281" t="s">
        <v>532</v>
      </c>
      <c r="C262" s="52">
        <v>12</v>
      </c>
      <c r="D262" s="50" t="s">
        <v>20</v>
      </c>
      <c r="E262" s="203">
        <v>58</v>
      </c>
      <c r="F262" s="33">
        <v>100</v>
      </c>
      <c r="G262" s="51">
        <v>45731</v>
      </c>
      <c r="H262" s="363">
        <v>4</v>
      </c>
      <c r="I262" s="33">
        <v>20</v>
      </c>
      <c r="J262" s="51">
        <v>45731</v>
      </c>
      <c r="K262" s="367">
        <v>4</v>
      </c>
      <c r="L262" s="36" t="s">
        <v>214</v>
      </c>
      <c r="M262" s="228" t="b">
        <f>+ISNUMBER(PAGOS[[#This Row],[REG]])</f>
        <v>1</v>
      </c>
    </row>
    <row r="263" spans="1:13" x14ac:dyDescent="0.3">
      <c r="A263" s="50">
        <v>261</v>
      </c>
      <c r="B263" s="281" t="s">
        <v>532</v>
      </c>
      <c r="C263" s="52">
        <v>6</v>
      </c>
      <c r="D263" s="50" t="s">
        <v>24</v>
      </c>
      <c r="E263" s="203">
        <v>60</v>
      </c>
      <c r="F263" s="33">
        <v>100</v>
      </c>
      <c r="G263" s="51">
        <v>45731</v>
      </c>
      <c r="H263" s="363">
        <v>2</v>
      </c>
      <c r="I263" s="33">
        <v>20</v>
      </c>
      <c r="J263" s="51">
        <v>45731</v>
      </c>
      <c r="K263" s="367">
        <v>2</v>
      </c>
      <c r="L263" s="36" t="s">
        <v>77</v>
      </c>
      <c r="M263" s="228" t="b">
        <f>+ISNUMBER(PAGOS[[#This Row],[REG]])</f>
        <v>1</v>
      </c>
    </row>
    <row r="264" spans="1:13" x14ac:dyDescent="0.3">
      <c r="A264" s="50">
        <v>262</v>
      </c>
      <c r="B264" s="281" t="s">
        <v>532</v>
      </c>
      <c r="C264" s="52">
        <v>11</v>
      </c>
      <c r="D264" s="50" t="s">
        <v>19</v>
      </c>
      <c r="E264" s="203">
        <v>61</v>
      </c>
      <c r="F264" s="33">
        <v>100</v>
      </c>
      <c r="G264" s="51">
        <v>45731</v>
      </c>
      <c r="H264" s="363">
        <v>2</v>
      </c>
      <c r="I264" s="33">
        <v>10</v>
      </c>
      <c r="J264" s="51">
        <v>45731</v>
      </c>
      <c r="K264" s="367">
        <v>2</v>
      </c>
      <c r="L264" s="36" t="s">
        <v>77</v>
      </c>
      <c r="M264" s="228" t="b">
        <f>+ISNUMBER(PAGOS[[#This Row],[REG]])</f>
        <v>1</v>
      </c>
    </row>
    <row r="265" spans="1:13" x14ac:dyDescent="0.3">
      <c r="A265" s="50">
        <v>263</v>
      </c>
      <c r="B265" s="281" t="s">
        <v>532</v>
      </c>
      <c r="C265" s="52">
        <v>14</v>
      </c>
      <c r="D265" s="50" t="s">
        <v>21</v>
      </c>
      <c r="E265" s="203">
        <v>64</v>
      </c>
      <c r="F265" s="33">
        <v>100</v>
      </c>
      <c r="G265" s="51">
        <v>45731</v>
      </c>
      <c r="H265" s="363">
        <v>2</v>
      </c>
      <c r="I265" s="33">
        <v>14</v>
      </c>
      <c r="J265" s="51">
        <v>45731</v>
      </c>
      <c r="K265" s="367">
        <v>2</v>
      </c>
      <c r="L265" s="36" t="s">
        <v>77</v>
      </c>
      <c r="M265" s="228" t="b">
        <f>+ISNUMBER(PAGOS[[#This Row],[REG]])</f>
        <v>1</v>
      </c>
    </row>
    <row r="266" spans="1:13" x14ac:dyDescent="0.3">
      <c r="A266" s="50">
        <v>264</v>
      </c>
      <c r="B266" s="281" t="s">
        <v>532</v>
      </c>
      <c r="C266" s="52">
        <v>5</v>
      </c>
      <c r="D266" s="50" t="s">
        <v>14</v>
      </c>
      <c r="E266" s="203">
        <v>66</v>
      </c>
      <c r="F266" s="33">
        <v>100</v>
      </c>
      <c r="G266" s="51">
        <v>45731</v>
      </c>
      <c r="H266" s="363">
        <v>1</v>
      </c>
      <c r="I266" s="33">
        <v>10</v>
      </c>
      <c r="J266" s="51">
        <v>45731</v>
      </c>
      <c r="K266" s="367">
        <v>1</v>
      </c>
      <c r="L266" s="36" t="s">
        <v>212</v>
      </c>
      <c r="M266" s="228" t="b">
        <f>+ISNUMBER(PAGOS[[#This Row],[REG]])</f>
        <v>1</v>
      </c>
    </row>
    <row r="267" spans="1:13" x14ac:dyDescent="0.3">
      <c r="A267" s="50">
        <v>265</v>
      </c>
      <c r="B267" s="281" t="s">
        <v>532</v>
      </c>
      <c r="C267" s="52">
        <v>8</v>
      </c>
      <c r="D267" s="50" t="s">
        <v>16</v>
      </c>
      <c r="E267" s="203">
        <v>67</v>
      </c>
      <c r="F267" s="33">
        <v>100</v>
      </c>
      <c r="G267" s="51">
        <v>45731</v>
      </c>
      <c r="H267" s="363">
        <v>1</v>
      </c>
      <c r="I267" s="33">
        <v>6</v>
      </c>
      <c r="J267" s="51">
        <v>45731</v>
      </c>
      <c r="K267" s="367">
        <v>1</v>
      </c>
      <c r="L267" s="36" t="s">
        <v>216</v>
      </c>
      <c r="M267" s="228" t="b">
        <f>+ISNUMBER(PAGOS[[#This Row],[REG]])</f>
        <v>1</v>
      </c>
    </row>
    <row r="268" spans="1:13" x14ac:dyDescent="0.3">
      <c r="A268" s="50">
        <v>266</v>
      </c>
      <c r="B268" s="281" t="s">
        <v>532</v>
      </c>
      <c r="C268" s="52">
        <v>16</v>
      </c>
      <c r="D268" s="50" t="s">
        <v>23</v>
      </c>
      <c r="E268" s="203">
        <v>65</v>
      </c>
      <c r="F268" s="33">
        <v>75</v>
      </c>
      <c r="G268" s="51">
        <v>45736</v>
      </c>
      <c r="H268" s="363">
        <v>2</v>
      </c>
      <c r="I268" s="33">
        <v>3</v>
      </c>
      <c r="J268" s="51">
        <v>45736</v>
      </c>
      <c r="K268" s="367">
        <v>2</v>
      </c>
      <c r="L268" s="36" t="s">
        <v>77</v>
      </c>
      <c r="M268" s="228" t="b">
        <f>+ISNUMBER(PAGOS[[#This Row],[REG]])</f>
        <v>1</v>
      </c>
    </row>
    <row r="269" spans="1:13" x14ac:dyDescent="0.3">
      <c r="A269" s="50">
        <v>267</v>
      </c>
      <c r="B269" s="281" t="s">
        <v>532</v>
      </c>
      <c r="C269" s="52">
        <v>16</v>
      </c>
      <c r="D269" s="50" t="s">
        <v>23</v>
      </c>
      <c r="E269" s="203">
        <v>68</v>
      </c>
      <c r="F269" s="33">
        <v>400</v>
      </c>
      <c r="G269" s="51">
        <v>45736</v>
      </c>
      <c r="H269" s="363">
        <v>1</v>
      </c>
      <c r="I269" s="33">
        <v>8</v>
      </c>
      <c r="J269" s="51">
        <v>45736</v>
      </c>
      <c r="K269" s="367">
        <v>1</v>
      </c>
      <c r="L269" s="36" t="s">
        <v>291</v>
      </c>
      <c r="M269" s="228" t="b">
        <f>+ISNUMBER(PAGOS[[#This Row],[REG]])</f>
        <v>1</v>
      </c>
    </row>
    <row r="270" spans="1:13" x14ac:dyDescent="0.3">
      <c r="A270" s="50">
        <v>268</v>
      </c>
      <c r="B270" s="281" t="s">
        <v>532</v>
      </c>
      <c r="C270" s="52">
        <v>10</v>
      </c>
      <c r="D270" s="50" t="s">
        <v>18</v>
      </c>
      <c r="E270" s="203">
        <v>59</v>
      </c>
      <c r="F270" s="33">
        <v>40</v>
      </c>
      <c r="G270" s="51">
        <v>45746</v>
      </c>
      <c r="H270" s="363">
        <v>4</v>
      </c>
      <c r="I270" s="33">
        <v>4</v>
      </c>
      <c r="J270" s="51">
        <v>45746</v>
      </c>
      <c r="K270" s="367">
        <v>4</v>
      </c>
      <c r="L270" s="36" t="s">
        <v>80</v>
      </c>
      <c r="M270" s="228" t="b">
        <f>+ISNUMBER(PAGOS[[#This Row],[REG]])</f>
        <v>1</v>
      </c>
    </row>
    <row r="271" spans="1:13" x14ac:dyDescent="0.3">
      <c r="A271" s="50">
        <v>269</v>
      </c>
      <c r="B271" s="281" t="s">
        <v>532</v>
      </c>
      <c r="C271" s="52">
        <v>9</v>
      </c>
      <c r="D271" s="50" t="s">
        <v>17</v>
      </c>
      <c r="E271" s="203">
        <v>63</v>
      </c>
      <c r="F271" s="33">
        <v>100</v>
      </c>
      <c r="G271" s="51">
        <v>45746</v>
      </c>
      <c r="H271" s="363">
        <v>2</v>
      </c>
      <c r="I271" s="33">
        <v>14</v>
      </c>
      <c r="J271" s="51">
        <v>45746</v>
      </c>
      <c r="K271" s="367">
        <v>2</v>
      </c>
      <c r="L271" s="36" t="s">
        <v>292</v>
      </c>
      <c r="M271" s="228" t="b">
        <f>+ISNUMBER(PAGOS[[#This Row],[REG]])</f>
        <v>1</v>
      </c>
    </row>
    <row r="272" spans="1:13" x14ac:dyDescent="0.3">
      <c r="A272" s="50">
        <v>270</v>
      </c>
      <c r="B272" s="281" t="s">
        <v>532</v>
      </c>
      <c r="C272" s="52">
        <v>10</v>
      </c>
      <c r="D272" s="50" t="s">
        <v>18</v>
      </c>
      <c r="E272" s="203">
        <v>59</v>
      </c>
      <c r="F272" s="33">
        <v>40</v>
      </c>
      <c r="G272" s="51">
        <v>45762</v>
      </c>
      <c r="H272" s="363">
        <v>5</v>
      </c>
      <c r="I272" s="33">
        <v>0</v>
      </c>
      <c r="J272" s="51">
        <v>45762</v>
      </c>
      <c r="K272" s="367">
        <v>5</v>
      </c>
      <c r="L272" s="36" t="s">
        <v>296</v>
      </c>
      <c r="M272" s="228" t="b">
        <f>+ISNUMBER(PAGOS[[#This Row],[REG]])</f>
        <v>1</v>
      </c>
    </row>
    <row r="273" spans="1:13" x14ac:dyDescent="0.3">
      <c r="A273" s="50">
        <v>271</v>
      </c>
      <c r="B273" s="281" t="s">
        <v>531</v>
      </c>
      <c r="C273" s="52">
        <v>10</v>
      </c>
      <c r="D273" s="50" t="s">
        <v>18</v>
      </c>
      <c r="E273" s="203">
        <v>59</v>
      </c>
      <c r="F273" s="33">
        <v>0</v>
      </c>
      <c r="G273" s="51">
        <v>45762</v>
      </c>
      <c r="H273" s="363" t="s">
        <v>491</v>
      </c>
      <c r="I273" s="33">
        <v>4</v>
      </c>
      <c r="J273" s="51">
        <v>45762</v>
      </c>
      <c r="K273" s="367" t="s">
        <v>491</v>
      </c>
      <c r="L273" s="36" t="s">
        <v>297</v>
      </c>
      <c r="M273" s="228" t="b">
        <f>+ISNUMBER(PAGOS[[#This Row],[REG]])</f>
        <v>1</v>
      </c>
    </row>
    <row r="274" spans="1:13" x14ac:dyDescent="0.3">
      <c r="A274" s="50">
        <v>272</v>
      </c>
      <c r="B274" s="281" t="s">
        <v>532</v>
      </c>
      <c r="C274" s="52">
        <v>12</v>
      </c>
      <c r="D274" s="50" t="s">
        <v>20</v>
      </c>
      <c r="E274" s="203">
        <v>58</v>
      </c>
      <c r="F274" s="33">
        <v>100</v>
      </c>
      <c r="G274" s="51">
        <v>45762</v>
      </c>
      <c r="H274" s="363">
        <v>5</v>
      </c>
      <c r="I274" s="33">
        <v>20</v>
      </c>
      <c r="J274" s="51">
        <v>45762</v>
      </c>
      <c r="K274" s="367">
        <v>5</v>
      </c>
      <c r="L274" s="36" t="s">
        <v>220</v>
      </c>
      <c r="M274" s="228" t="b">
        <f>+ISNUMBER(PAGOS[[#This Row],[REG]])</f>
        <v>1</v>
      </c>
    </row>
    <row r="275" spans="1:13" x14ac:dyDescent="0.3">
      <c r="A275" s="50">
        <v>273</v>
      </c>
      <c r="B275" s="281" t="s">
        <v>532</v>
      </c>
      <c r="C275" s="52">
        <v>6</v>
      </c>
      <c r="D275" s="50" t="s">
        <v>24</v>
      </c>
      <c r="E275" s="203">
        <v>60</v>
      </c>
      <c r="F275" s="33">
        <v>100</v>
      </c>
      <c r="G275" s="51">
        <v>45762</v>
      </c>
      <c r="H275" s="363">
        <v>4</v>
      </c>
      <c r="I275" s="33">
        <v>20</v>
      </c>
      <c r="J275" s="51">
        <v>45762</v>
      </c>
      <c r="K275" s="367">
        <v>4</v>
      </c>
      <c r="L275" s="36" t="s">
        <v>214</v>
      </c>
      <c r="M275" s="228" t="b">
        <f>+ISNUMBER(PAGOS[[#This Row],[REG]])</f>
        <v>1</v>
      </c>
    </row>
    <row r="276" spans="1:13" x14ac:dyDescent="0.3">
      <c r="A276" s="50">
        <v>274</v>
      </c>
      <c r="B276" s="281" t="s">
        <v>532</v>
      </c>
      <c r="C276" s="52">
        <v>11</v>
      </c>
      <c r="D276" s="50" t="s">
        <v>19</v>
      </c>
      <c r="E276" s="203">
        <v>61</v>
      </c>
      <c r="F276" s="33">
        <v>100</v>
      </c>
      <c r="G276" s="51">
        <v>45762</v>
      </c>
      <c r="H276" s="363">
        <v>4</v>
      </c>
      <c r="I276" s="33">
        <v>10</v>
      </c>
      <c r="J276" s="51">
        <v>45762</v>
      </c>
      <c r="K276" s="367">
        <v>4</v>
      </c>
      <c r="L276" s="36" t="s">
        <v>214</v>
      </c>
      <c r="M276" s="228" t="b">
        <f>+ISNUMBER(PAGOS[[#This Row],[REG]])</f>
        <v>1</v>
      </c>
    </row>
    <row r="277" spans="1:13" x14ac:dyDescent="0.3">
      <c r="A277" s="50">
        <v>275</v>
      </c>
      <c r="B277" s="281" t="s">
        <v>532</v>
      </c>
      <c r="C277" s="52">
        <v>14</v>
      </c>
      <c r="D277" s="50" t="s">
        <v>21</v>
      </c>
      <c r="E277" s="203">
        <v>64</v>
      </c>
      <c r="F277" s="33">
        <v>100</v>
      </c>
      <c r="G277" s="51">
        <v>45762</v>
      </c>
      <c r="H277" s="363">
        <v>3</v>
      </c>
      <c r="I277" s="33">
        <v>14</v>
      </c>
      <c r="J277" s="51">
        <v>45762</v>
      </c>
      <c r="K277" s="367">
        <v>3</v>
      </c>
      <c r="L277" s="36" t="s">
        <v>215</v>
      </c>
      <c r="M277" s="228" t="b">
        <f>+ISNUMBER(PAGOS[[#This Row],[REG]])</f>
        <v>1</v>
      </c>
    </row>
    <row r="278" spans="1:13" x14ac:dyDescent="0.3">
      <c r="A278" s="50">
        <v>276</v>
      </c>
      <c r="B278" s="281" t="s">
        <v>532</v>
      </c>
      <c r="C278" s="52">
        <v>5</v>
      </c>
      <c r="D278" s="50" t="s">
        <v>14</v>
      </c>
      <c r="E278" s="203">
        <v>66</v>
      </c>
      <c r="F278" s="33">
        <v>100</v>
      </c>
      <c r="G278" s="51">
        <v>45762</v>
      </c>
      <c r="H278" s="363">
        <v>2</v>
      </c>
      <c r="I278" s="33">
        <v>10</v>
      </c>
      <c r="J278" s="51">
        <v>45762</v>
      </c>
      <c r="K278" s="367">
        <v>2</v>
      </c>
      <c r="L278" s="36" t="s">
        <v>216</v>
      </c>
      <c r="M278" s="228" t="b">
        <f>+ISNUMBER(PAGOS[[#This Row],[REG]])</f>
        <v>1</v>
      </c>
    </row>
    <row r="279" spans="1:13" x14ac:dyDescent="0.3">
      <c r="A279" s="50">
        <v>277</v>
      </c>
      <c r="B279" s="281" t="s">
        <v>532</v>
      </c>
      <c r="C279" s="52">
        <v>8</v>
      </c>
      <c r="D279" s="50" t="s">
        <v>16</v>
      </c>
      <c r="E279" s="203">
        <v>67</v>
      </c>
      <c r="F279" s="33">
        <v>100</v>
      </c>
      <c r="G279" s="51">
        <v>45762</v>
      </c>
      <c r="H279" s="363">
        <v>2</v>
      </c>
      <c r="I279" s="33">
        <v>6</v>
      </c>
      <c r="J279" s="51">
        <v>45762</v>
      </c>
      <c r="K279" s="367">
        <v>2</v>
      </c>
      <c r="L279" s="36" t="s">
        <v>216</v>
      </c>
      <c r="M279" s="228" t="b">
        <f>+ISNUMBER(PAGOS[[#This Row],[REG]])</f>
        <v>1</v>
      </c>
    </row>
    <row r="280" spans="1:13" x14ac:dyDescent="0.3">
      <c r="A280" s="50">
        <v>278</v>
      </c>
      <c r="B280" s="281" t="s">
        <v>532</v>
      </c>
      <c r="C280" s="52">
        <v>8</v>
      </c>
      <c r="D280" s="50" t="s">
        <v>16</v>
      </c>
      <c r="E280" s="203">
        <v>67</v>
      </c>
      <c r="F280" s="33">
        <v>100</v>
      </c>
      <c r="G280" s="51">
        <v>45764</v>
      </c>
      <c r="H280" s="363">
        <v>3</v>
      </c>
      <c r="I280" s="33">
        <v>0</v>
      </c>
      <c r="J280" s="51">
        <v>45764</v>
      </c>
      <c r="K280" s="367">
        <v>3</v>
      </c>
      <c r="L280" s="36" t="s">
        <v>311</v>
      </c>
      <c r="M280" s="228" t="b">
        <f>+ISNUMBER(PAGOS[[#This Row],[REG]])</f>
        <v>1</v>
      </c>
    </row>
    <row r="281" spans="1:13" x14ac:dyDescent="0.3">
      <c r="A281" s="50">
        <v>279</v>
      </c>
      <c r="B281" s="281" t="s">
        <v>531</v>
      </c>
      <c r="C281" s="52">
        <v>8</v>
      </c>
      <c r="D281" s="50" t="s">
        <v>16</v>
      </c>
      <c r="E281" s="203">
        <v>67</v>
      </c>
      <c r="F281" s="33">
        <v>0</v>
      </c>
      <c r="G281" s="51">
        <v>45764</v>
      </c>
      <c r="H281" s="363" t="s">
        <v>491</v>
      </c>
      <c r="I281" s="33">
        <v>6</v>
      </c>
      <c r="J281" s="51">
        <v>45764</v>
      </c>
      <c r="K281" s="367" t="s">
        <v>491</v>
      </c>
      <c r="L281" s="36" t="s">
        <v>312</v>
      </c>
      <c r="M281" s="228" t="b">
        <f>+ISNUMBER(PAGOS[[#This Row],[REG]])</f>
        <v>1</v>
      </c>
    </row>
    <row r="282" spans="1:13" x14ac:dyDescent="0.3">
      <c r="A282" s="50">
        <v>280</v>
      </c>
      <c r="B282" s="281" t="s">
        <v>532</v>
      </c>
      <c r="C282" s="52">
        <v>16</v>
      </c>
      <c r="D282" s="50" t="s">
        <v>23</v>
      </c>
      <c r="E282" s="203">
        <v>49</v>
      </c>
      <c r="F282" s="33">
        <v>41.67</v>
      </c>
      <c r="G282" s="51">
        <v>45764</v>
      </c>
      <c r="H282" s="363">
        <v>9</v>
      </c>
      <c r="I282" s="33">
        <v>10</v>
      </c>
      <c r="J282" s="51">
        <v>45764</v>
      </c>
      <c r="K282" s="367">
        <v>9</v>
      </c>
      <c r="L282" s="36" t="s">
        <v>313</v>
      </c>
      <c r="M282" s="228" t="b">
        <f>+ISNUMBER(PAGOS[[#This Row],[REG]])</f>
        <v>1</v>
      </c>
    </row>
    <row r="283" spans="1:13" x14ac:dyDescent="0.3">
      <c r="A283" s="50">
        <v>281</v>
      </c>
      <c r="B283" s="281" t="s">
        <v>532</v>
      </c>
      <c r="C283" s="52">
        <v>9</v>
      </c>
      <c r="D283" s="50" t="s">
        <v>17</v>
      </c>
      <c r="E283" s="203">
        <v>63</v>
      </c>
      <c r="F283" s="33">
        <v>100</v>
      </c>
      <c r="G283" s="51">
        <v>45764</v>
      </c>
      <c r="H283" s="363">
        <v>3</v>
      </c>
      <c r="I283" s="33">
        <v>14</v>
      </c>
      <c r="J283" s="51">
        <v>45764</v>
      </c>
      <c r="K283" s="367">
        <v>3</v>
      </c>
      <c r="L283" s="36" t="s">
        <v>215</v>
      </c>
      <c r="M283" s="228" t="b">
        <f>+ISNUMBER(PAGOS[[#This Row],[REG]])</f>
        <v>1</v>
      </c>
    </row>
    <row r="284" spans="1:13" x14ac:dyDescent="0.3">
      <c r="A284" s="50">
        <v>282</v>
      </c>
      <c r="B284" s="281" t="s">
        <v>532</v>
      </c>
      <c r="C284" s="35">
        <v>17</v>
      </c>
      <c r="D284" s="50" t="s">
        <v>299</v>
      </c>
      <c r="E284" s="283">
        <v>0</v>
      </c>
      <c r="F284" s="33">
        <v>0</v>
      </c>
      <c r="G284" s="51">
        <v>45764</v>
      </c>
      <c r="H284" s="363" t="s">
        <v>492</v>
      </c>
      <c r="I284" s="33">
        <v>0</v>
      </c>
      <c r="J284" s="51">
        <v>45764</v>
      </c>
      <c r="K284" s="367" t="s">
        <v>492</v>
      </c>
      <c r="L284" s="36" t="s">
        <v>316</v>
      </c>
      <c r="M284" s="228" t="b">
        <f>+ISNUMBER(PAGOS[[#This Row],[REG]])</f>
        <v>1</v>
      </c>
    </row>
    <row r="285" spans="1:13" x14ac:dyDescent="0.3">
      <c r="A285" s="50">
        <v>283</v>
      </c>
      <c r="B285" s="281" t="s">
        <v>532</v>
      </c>
      <c r="C285" s="35">
        <v>18</v>
      </c>
      <c r="D285" s="50" t="s">
        <v>300</v>
      </c>
      <c r="E285" s="283">
        <v>0</v>
      </c>
      <c r="F285" s="33">
        <v>0</v>
      </c>
      <c r="G285" s="51">
        <v>45764</v>
      </c>
      <c r="H285" s="363" t="s">
        <v>492</v>
      </c>
      <c r="I285" s="33">
        <v>0</v>
      </c>
      <c r="J285" s="51">
        <v>45764</v>
      </c>
      <c r="K285" s="367" t="s">
        <v>492</v>
      </c>
      <c r="L285" s="36" t="s">
        <v>316</v>
      </c>
      <c r="M285" s="228" t="b">
        <f>+ISNUMBER(PAGOS[[#This Row],[REG]])</f>
        <v>1</v>
      </c>
    </row>
    <row r="286" spans="1:13" x14ac:dyDescent="0.3">
      <c r="A286" s="50">
        <v>284</v>
      </c>
      <c r="B286" s="281" t="s">
        <v>532</v>
      </c>
      <c r="C286" s="35">
        <v>13</v>
      </c>
      <c r="D286" s="50" t="s">
        <v>301</v>
      </c>
      <c r="E286" s="283">
        <v>0</v>
      </c>
      <c r="F286" s="33">
        <v>0</v>
      </c>
      <c r="G286" s="51">
        <v>45764</v>
      </c>
      <c r="H286" s="363" t="s">
        <v>492</v>
      </c>
      <c r="I286" s="33">
        <v>0</v>
      </c>
      <c r="J286" s="51">
        <v>45764</v>
      </c>
      <c r="K286" s="367" t="s">
        <v>492</v>
      </c>
      <c r="L286" s="36" t="s">
        <v>316</v>
      </c>
      <c r="M286" s="228" t="b">
        <f>+ISNUMBER(PAGOS[[#This Row],[REG]])</f>
        <v>1</v>
      </c>
    </row>
    <row r="287" spans="1:13" x14ac:dyDescent="0.3">
      <c r="A287" s="50">
        <v>285</v>
      </c>
      <c r="B287" s="281" t="s">
        <v>532</v>
      </c>
      <c r="C287" s="52">
        <v>7</v>
      </c>
      <c r="D287" s="50" t="s">
        <v>15</v>
      </c>
      <c r="E287" s="203">
        <v>70</v>
      </c>
      <c r="F287" s="33">
        <v>1200</v>
      </c>
      <c r="G287" s="51">
        <v>45788</v>
      </c>
      <c r="H287" s="363">
        <v>1</v>
      </c>
      <c r="I287" s="33">
        <v>24</v>
      </c>
      <c r="J287" s="51">
        <v>45788</v>
      </c>
      <c r="K287" s="367">
        <v>1</v>
      </c>
      <c r="L287" s="36" t="s">
        <v>317</v>
      </c>
      <c r="M287" s="228" t="b">
        <f>+ISNUMBER(PAGOS[[#This Row],[REG]])</f>
        <v>1</v>
      </c>
    </row>
    <row r="288" spans="1:13" x14ac:dyDescent="0.3">
      <c r="A288" s="50">
        <v>286</v>
      </c>
      <c r="B288" s="281" t="s">
        <v>532</v>
      </c>
      <c r="C288" s="52">
        <v>5</v>
      </c>
      <c r="D288" s="50" t="s">
        <v>14</v>
      </c>
      <c r="E288" s="203">
        <v>66</v>
      </c>
      <c r="F288" s="33">
        <v>100</v>
      </c>
      <c r="G288" s="51">
        <v>45792</v>
      </c>
      <c r="H288" s="363">
        <v>4</v>
      </c>
      <c r="I288" s="33">
        <v>0</v>
      </c>
      <c r="J288" s="51">
        <v>45792</v>
      </c>
      <c r="K288" s="367">
        <v>4</v>
      </c>
      <c r="L288" s="36" t="s">
        <v>324</v>
      </c>
      <c r="M288" s="228" t="b">
        <f>+ISNUMBER(PAGOS[[#This Row],[REG]])</f>
        <v>1</v>
      </c>
    </row>
    <row r="289" spans="1:13" x14ac:dyDescent="0.3">
      <c r="A289" s="50">
        <v>287</v>
      </c>
      <c r="B289" s="281" t="s">
        <v>532</v>
      </c>
      <c r="C289" s="52">
        <v>5</v>
      </c>
      <c r="D289" s="50" t="s">
        <v>14</v>
      </c>
      <c r="E289" s="203">
        <v>66</v>
      </c>
      <c r="F289" s="33">
        <v>100</v>
      </c>
      <c r="G289" s="51">
        <v>45792</v>
      </c>
      <c r="H289" s="363">
        <v>5</v>
      </c>
      <c r="I289" s="33">
        <v>0</v>
      </c>
      <c r="J289" s="51">
        <v>45792</v>
      </c>
      <c r="K289" s="367">
        <v>5</v>
      </c>
      <c r="L289" s="36" t="s">
        <v>325</v>
      </c>
      <c r="M289" s="228" t="b">
        <f>+ISNUMBER(PAGOS[[#This Row],[REG]])</f>
        <v>1</v>
      </c>
    </row>
    <row r="290" spans="1:13" x14ac:dyDescent="0.3">
      <c r="A290" s="50">
        <v>288</v>
      </c>
      <c r="B290" s="281" t="s">
        <v>531</v>
      </c>
      <c r="C290" s="52">
        <v>5</v>
      </c>
      <c r="D290" s="50" t="s">
        <v>14</v>
      </c>
      <c r="E290" s="203">
        <v>66</v>
      </c>
      <c r="F290" s="33">
        <v>0</v>
      </c>
      <c r="G290" s="51">
        <v>45792</v>
      </c>
      <c r="H290" s="363" t="s">
        <v>491</v>
      </c>
      <c r="I290" s="33">
        <v>10</v>
      </c>
      <c r="J290" s="51">
        <v>45792</v>
      </c>
      <c r="K290" s="367" t="s">
        <v>491</v>
      </c>
      <c r="L290" s="36" t="s">
        <v>326</v>
      </c>
      <c r="M290" s="228" t="b">
        <f>+ISNUMBER(PAGOS[[#This Row],[REG]])</f>
        <v>1</v>
      </c>
    </row>
    <row r="291" spans="1:13" x14ac:dyDescent="0.3">
      <c r="A291" s="50">
        <v>289</v>
      </c>
      <c r="B291" s="281" t="s">
        <v>531</v>
      </c>
      <c r="C291" s="52">
        <v>5</v>
      </c>
      <c r="D291" s="50" t="s">
        <v>14</v>
      </c>
      <c r="E291" s="203">
        <v>66</v>
      </c>
      <c r="F291" s="33">
        <v>0</v>
      </c>
      <c r="G291" s="51">
        <v>45792</v>
      </c>
      <c r="H291" s="363" t="s">
        <v>491</v>
      </c>
      <c r="I291" s="33">
        <v>10</v>
      </c>
      <c r="J291" s="51">
        <v>45792</v>
      </c>
      <c r="K291" s="367" t="s">
        <v>491</v>
      </c>
      <c r="L291" s="36" t="s">
        <v>327</v>
      </c>
      <c r="M291" s="228" t="b">
        <f>+ISNUMBER(PAGOS[[#This Row],[REG]])</f>
        <v>1</v>
      </c>
    </row>
    <row r="292" spans="1:13" x14ac:dyDescent="0.3">
      <c r="A292" s="50">
        <v>290</v>
      </c>
      <c r="B292" s="281" t="s">
        <v>532</v>
      </c>
      <c r="C292" s="52">
        <v>16</v>
      </c>
      <c r="D292" s="50" t="s">
        <v>23</v>
      </c>
      <c r="E292" s="203">
        <v>49</v>
      </c>
      <c r="F292" s="33">
        <v>41.67</v>
      </c>
      <c r="G292" s="51">
        <v>45792</v>
      </c>
      <c r="H292" s="363">
        <v>10</v>
      </c>
      <c r="I292" s="33">
        <v>10</v>
      </c>
      <c r="J292" s="51">
        <v>45792</v>
      </c>
      <c r="K292" s="367">
        <v>10</v>
      </c>
      <c r="L292" s="36" t="s">
        <v>263</v>
      </c>
      <c r="M292" s="228" t="b">
        <f>+ISNUMBER(PAGOS[[#This Row],[REG]])</f>
        <v>1</v>
      </c>
    </row>
    <row r="293" spans="1:13" x14ac:dyDescent="0.3">
      <c r="A293" s="50">
        <v>291</v>
      </c>
      <c r="B293" s="281" t="s">
        <v>532</v>
      </c>
      <c r="C293" s="52">
        <v>6</v>
      </c>
      <c r="D293" s="50" t="s">
        <v>24</v>
      </c>
      <c r="E293" s="203">
        <v>60</v>
      </c>
      <c r="F293" s="33">
        <v>100</v>
      </c>
      <c r="G293" s="51">
        <v>45792</v>
      </c>
      <c r="H293" s="363">
        <v>5</v>
      </c>
      <c r="I293" s="33">
        <v>20</v>
      </c>
      <c r="J293" s="51">
        <v>45792</v>
      </c>
      <c r="K293" s="367">
        <v>5</v>
      </c>
      <c r="L293" s="36" t="s">
        <v>220</v>
      </c>
      <c r="M293" s="228" t="b">
        <f>+ISNUMBER(PAGOS[[#This Row],[REG]])</f>
        <v>1</v>
      </c>
    </row>
    <row r="294" spans="1:13" x14ac:dyDescent="0.3">
      <c r="A294" s="50">
        <v>292</v>
      </c>
      <c r="B294" s="281" t="s">
        <v>532</v>
      </c>
      <c r="C294" s="52">
        <v>11</v>
      </c>
      <c r="D294" s="50" t="s">
        <v>19</v>
      </c>
      <c r="E294" s="203">
        <v>61</v>
      </c>
      <c r="F294" s="33">
        <v>100</v>
      </c>
      <c r="G294" s="51">
        <v>45792</v>
      </c>
      <c r="H294" s="363">
        <v>5</v>
      </c>
      <c r="I294" s="33">
        <v>10</v>
      </c>
      <c r="J294" s="51">
        <v>45792</v>
      </c>
      <c r="K294" s="367">
        <v>5</v>
      </c>
      <c r="L294" s="36" t="s">
        <v>318</v>
      </c>
      <c r="M294" s="228" t="b">
        <f>+ISNUMBER(PAGOS[[#This Row],[REG]])</f>
        <v>1</v>
      </c>
    </row>
    <row r="295" spans="1:13" x14ac:dyDescent="0.3">
      <c r="A295" s="50">
        <v>293</v>
      </c>
      <c r="B295" s="281" t="s">
        <v>532</v>
      </c>
      <c r="C295" s="52">
        <v>9</v>
      </c>
      <c r="D295" s="50" t="s">
        <v>17</v>
      </c>
      <c r="E295" s="203">
        <v>63</v>
      </c>
      <c r="F295" s="33">
        <v>100</v>
      </c>
      <c r="G295" s="51">
        <v>45792</v>
      </c>
      <c r="H295" s="363">
        <v>4</v>
      </c>
      <c r="I295" s="33">
        <v>14</v>
      </c>
      <c r="J295" s="51">
        <v>45792</v>
      </c>
      <c r="K295" s="367">
        <v>4</v>
      </c>
      <c r="L295" s="36" t="s">
        <v>214</v>
      </c>
      <c r="M295" s="228" t="b">
        <f>+ISNUMBER(PAGOS[[#This Row],[REG]])</f>
        <v>1</v>
      </c>
    </row>
    <row r="296" spans="1:13" x14ac:dyDescent="0.3">
      <c r="A296" s="50">
        <v>294</v>
      </c>
      <c r="B296" s="281" t="s">
        <v>532</v>
      </c>
      <c r="C296" s="52">
        <v>14</v>
      </c>
      <c r="D296" s="50" t="s">
        <v>21</v>
      </c>
      <c r="E296" s="203">
        <v>64</v>
      </c>
      <c r="F296" s="33">
        <v>100</v>
      </c>
      <c r="G296" s="51">
        <v>45792</v>
      </c>
      <c r="H296" s="363">
        <v>4</v>
      </c>
      <c r="I296" s="33">
        <v>14</v>
      </c>
      <c r="J296" s="51">
        <v>45792</v>
      </c>
      <c r="K296" s="367">
        <v>4</v>
      </c>
      <c r="L296" s="36" t="s">
        <v>214</v>
      </c>
      <c r="M296" s="228" t="b">
        <f>+ISNUMBER(PAGOS[[#This Row],[REG]])</f>
        <v>1</v>
      </c>
    </row>
    <row r="297" spans="1:13" x14ac:dyDescent="0.3">
      <c r="A297" s="50">
        <v>295</v>
      </c>
      <c r="B297" s="281" t="s">
        <v>532</v>
      </c>
      <c r="C297" s="52">
        <v>5</v>
      </c>
      <c r="D297" s="50" t="s">
        <v>14</v>
      </c>
      <c r="E297" s="203">
        <v>66</v>
      </c>
      <c r="F297" s="33">
        <v>100</v>
      </c>
      <c r="G297" s="51">
        <v>45792</v>
      </c>
      <c r="H297" s="363">
        <v>3</v>
      </c>
      <c r="I297" s="33">
        <v>10</v>
      </c>
      <c r="J297" s="51">
        <v>45792</v>
      </c>
      <c r="K297" s="367">
        <v>3</v>
      </c>
      <c r="L297" s="36" t="s">
        <v>215</v>
      </c>
      <c r="M297" s="228" t="b">
        <f>+ISNUMBER(PAGOS[[#This Row],[REG]])</f>
        <v>1</v>
      </c>
    </row>
    <row r="298" spans="1:13" x14ac:dyDescent="0.3">
      <c r="A298" s="50">
        <v>296</v>
      </c>
      <c r="B298" s="281" t="s">
        <v>532</v>
      </c>
      <c r="C298" s="52">
        <v>10</v>
      </c>
      <c r="D298" s="50" t="s">
        <v>18</v>
      </c>
      <c r="E298" s="203">
        <v>71</v>
      </c>
      <c r="F298" s="33">
        <v>40</v>
      </c>
      <c r="G298" s="51">
        <v>45792</v>
      </c>
      <c r="H298" s="363">
        <v>1</v>
      </c>
      <c r="I298" s="33">
        <v>4</v>
      </c>
      <c r="J298" s="51">
        <v>45792</v>
      </c>
      <c r="K298" s="367">
        <v>1</v>
      </c>
      <c r="L298" s="36" t="s">
        <v>118</v>
      </c>
      <c r="M298" s="228" t="b">
        <f>+ISNUMBER(PAGOS[[#This Row],[REG]])</f>
        <v>1</v>
      </c>
    </row>
    <row r="299" spans="1:13" x14ac:dyDescent="0.3">
      <c r="A299" s="50">
        <v>297</v>
      </c>
      <c r="B299" s="281" t="s">
        <v>532</v>
      </c>
      <c r="C299" s="52">
        <v>8</v>
      </c>
      <c r="D299" s="50" t="s">
        <v>16</v>
      </c>
      <c r="E299" s="203">
        <v>76</v>
      </c>
      <c r="F299" s="33">
        <v>100</v>
      </c>
      <c r="G299" s="51">
        <v>45792</v>
      </c>
      <c r="H299" s="363">
        <v>1</v>
      </c>
      <c r="I299" s="33">
        <v>10</v>
      </c>
      <c r="J299" s="51">
        <v>45792</v>
      </c>
      <c r="K299" s="367">
        <v>1</v>
      </c>
      <c r="L299" s="36" t="s">
        <v>212</v>
      </c>
      <c r="M299" s="228" t="b">
        <f>+ISNUMBER(PAGOS[[#This Row],[REG]])</f>
        <v>1</v>
      </c>
    </row>
    <row r="300" spans="1:13" x14ac:dyDescent="0.3">
      <c r="A300" s="50">
        <v>298</v>
      </c>
      <c r="B300" s="281" t="s">
        <v>532</v>
      </c>
      <c r="C300" s="52">
        <v>12</v>
      </c>
      <c r="D300" s="50" t="s">
        <v>20</v>
      </c>
      <c r="E300" s="203">
        <v>58</v>
      </c>
      <c r="F300" s="33">
        <v>100</v>
      </c>
      <c r="G300" s="51">
        <v>45792</v>
      </c>
      <c r="H300" s="363">
        <v>6</v>
      </c>
      <c r="I300" s="33">
        <v>20</v>
      </c>
      <c r="J300" s="51">
        <v>45792</v>
      </c>
      <c r="K300" s="367">
        <v>6</v>
      </c>
      <c r="L300" s="36" t="s">
        <v>213</v>
      </c>
      <c r="M300" s="228" t="b">
        <f>+ISNUMBER(PAGOS[[#This Row],[REG]])</f>
        <v>1</v>
      </c>
    </row>
    <row r="301" spans="1:13" x14ac:dyDescent="0.3">
      <c r="A301" s="50">
        <v>299</v>
      </c>
      <c r="B301" s="281" t="s">
        <v>532</v>
      </c>
      <c r="C301" s="52">
        <v>4</v>
      </c>
      <c r="D301" s="50" t="s">
        <v>12</v>
      </c>
      <c r="E301" s="203">
        <v>69</v>
      </c>
      <c r="F301" s="33">
        <v>233.33</v>
      </c>
      <c r="G301" s="51">
        <v>45792</v>
      </c>
      <c r="H301" s="363">
        <v>1</v>
      </c>
      <c r="I301" s="33">
        <v>14</v>
      </c>
      <c r="J301" s="51">
        <v>45792</v>
      </c>
      <c r="K301" s="367">
        <v>1</v>
      </c>
      <c r="L301" s="36" t="s">
        <v>319</v>
      </c>
      <c r="M301" s="228" t="b">
        <f>+ISNUMBER(PAGOS[[#This Row],[REG]])</f>
        <v>1</v>
      </c>
    </row>
    <row r="302" spans="1:13" x14ac:dyDescent="0.3">
      <c r="A302" s="50">
        <v>300</v>
      </c>
      <c r="B302" s="281" t="s">
        <v>532</v>
      </c>
      <c r="C302" s="52">
        <v>3</v>
      </c>
      <c r="D302" s="50" t="s">
        <v>13</v>
      </c>
      <c r="E302" s="203">
        <v>72</v>
      </c>
      <c r="F302" s="33">
        <v>200</v>
      </c>
      <c r="G302" s="51">
        <v>45792</v>
      </c>
      <c r="H302" s="363">
        <v>1</v>
      </c>
      <c r="I302" s="33">
        <v>12</v>
      </c>
      <c r="J302" s="51">
        <v>45792</v>
      </c>
      <c r="K302" s="367">
        <v>1</v>
      </c>
      <c r="L302" s="36" t="s">
        <v>212</v>
      </c>
      <c r="M302" s="228" t="b">
        <f>+ISNUMBER(PAGOS[[#This Row],[REG]])</f>
        <v>1</v>
      </c>
    </row>
    <row r="303" spans="1:13" x14ac:dyDescent="0.3">
      <c r="A303" s="50">
        <v>301</v>
      </c>
      <c r="B303" s="281" t="s">
        <v>532</v>
      </c>
      <c r="C303" s="52">
        <v>16</v>
      </c>
      <c r="D303" s="50" t="s">
        <v>23</v>
      </c>
      <c r="E303" s="203">
        <v>80</v>
      </c>
      <c r="F303" s="33">
        <v>40</v>
      </c>
      <c r="G303" s="51">
        <v>45823</v>
      </c>
      <c r="H303" s="363">
        <v>1</v>
      </c>
      <c r="I303" s="33">
        <v>0.8</v>
      </c>
      <c r="J303" s="51">
        <v>45823</v>
      </c>
      <c r="K303" s="367">
        <v>1</v>
      </c>
      <c r="L303" s="36" t="s">
        <v>329</v>
      </c>
      <c r="M303" s="228" t="b">
        <f>+ISNUMBER(PAGOS[[#This Row],[REG]])</f>
        <v>1</v>
      </c>
    </row>
    <row r="304" spans="1:13" x14ac:dyDescent="0.3">
      <c r="A304" s="50">
        <v>302</v>
      </c>
      <c r="B304" s="281" t="s">
        <v>532</v>
      </c>
      <c r="C304" s="52">
        <v>12</v>
      </c>
      <c r="D304" s="50" t="s">
        <v>20</v>
      </c>
      <c r="E304" s="203">
        <v>58</v>
      </c>
      <c r="F304" s="33">
        <v>100</v>
      </c>
      <c r="G304" s="51">
        <v>45823</v>
      </c>
      <c r="H304" s="363">
        <v>6</v>
      </c>
      <c r="I304" s="33">
        <v>20</v>
      </c>
      <c r="J304" s="51">
        <v>45823</v>
      </c>
      <c r="K304" s="367">
        <v>6</v>
      </c>
      <c r="L304" s="36" t="s">
        <v>219</v>
      </c>
      <c r="M304" s="228" t="b">
        <f>+ISNUMBER(PAGOS[[#This Row],[REG]])</f>
        <v>1</v>
      </c>
    </row>
    <row r="305" spans="1:13" x14ac:dyDescent="0.3">
      <c r="A305" s="50">
        <v>303</v>
      </c>
      <c r="B305" s="281" t="s">
        <v>532</v>
      </c>
      <c r="C305" s="52">
        <v>6</v>
      </c>
      <c r="D305" s="50" t="s">
        <v>24</v>
      </c>
      <c r="E305" s="203">
        <v>60</v>
      </c>
      <c r="F305" s="33">
        <v>100</v>
      </c>
      <c r="G305" s="51">
        <v>45823</v>
      </c>
      <c r="H305" s="363">
        <v>6</v>
      </c>
      <c r="I305" s="33">
        <v>20</v>
      </c>
      <c r="J305" s="51">
        <v>45823</v>
      </c>
      <c r="K305" s="367">
        <v>6</v>
      </c>
      <c r="L305" s="36" t="s">
        <v>213</v>
      </c>
      <c r="M305" s="228" t="b">
        <f>+ISNUMBER(PAGOS[[#This Row],[REG]])</f>
        <v>1</v>
      </c>
    </row>
    <row r="306" spans="1:13" x14ac:dyDescent="0.3">
      <c r="A306" s="50">
        <v>304</v>
      </c>
      <c r="B306" s="281" t="s">
        <v>532</v>
      </c>
      <c r="C306" s="52">
        <v>9</v>
      </c>
      <c r="D306" s="50" t="s">
        <v>17</v>
      </c>
      <c r="E306" s="203">
        <v>63</v>
      </c>
      <c r="F306" s="33">
        <v>100</v>
      </c>
      <c r="G306" s="51">
        <v>45823</v>
      </c>
      <c r="H306" s="363">
        <v>5</v>
      </c>
      <c r="I306" s="33">
        <v>14</v>
      </c>
      <c r="J306" s="51">
        <v>45823</v>
      </c>
      <c r="K306" s="367">
        <v>5</v>
      </c>
      <c r="L306" s="36" t="s">
        <v>220</v>
      </c>
      <c r="M306" s="228" t="b">
        <f>+ISNUMBER(PAGOS[[#This Row],[REG]])</f>
        <v>1</v>
      </c>
    </row>
    <row r="307" spans="1:13" x14ac:dyDescent="0.3">
      <c r="A307" s="50">
        <v>305</v>
      </c>
      <c r="B307" s="281" t="s">
        <v>532</v>
      </c>
      <c r="C307" s="52">
        <v>14</v>
      </c>
      <c r="D307" s="50" t="s">
        <v>21</v>
      </c>
      <c r="E307" s="203">
        <v>64</v>
      </c>
      <c r="F307" s="33">
        <v>100</v>
      </c>
      <c r="G307" s="51">
        <v>45823</v>
      </c>
      <c r="H307" s="363">
        <v>5</v>
      </c>
      <c r="I307" s="33">
        <v>14</v>
      </c>
      <c r="J307" s="51">
        <v>45823</v>
      </c>
      <c r="K307" s="367">
        <v>5</v>
      </c>
      <c r="L307" s="36" t="s">
        <v>220</v>
      </c>
      <c r="M307" s="228" t="b">
        <f>+ISNUMBER(PAGOS[[#This Row],[REG]])</f>
        <v>1</v>
      </c>
    </row>
    <row r="308" spans="1:13" x14ac:dyDescent="0.3">
      <c r="A308" s="50">
        <v>306</v>
      </c>
      <c r="B308" s="281" t="s">
        <v>532</v>
      </c>
      <c r="C308" s="52">
        <v>10</v>
      </c>
      <c r="D308" s="50" t="s">
        <v>18</v>
      </c>
      <c r="E308" s="203">
        <v>71</v>
      </c>
      <c r="F308" s="33">
        <v>40</v>
      </c>
      <c r="G308" s="51">
        <v>45823</v>
      </c>
      <c r="H308" s="363">
        <v>2</v>
      </c>
      <c r="I308" s="33">
        <v>4</v>
      </c>
      <c r="J308" s="51">
        <v>45823</v>
      </c>
      <c r="K308" s="367">
        <v>2</v>
      </c>
      <c r="L308" s="36" t="s">
        <v>216</v>
      </c>
      <c r="M308" s="228" t="b">
        <f>+ISNUMBER(PAGOS[[#This Row],[REG]])</f>
        <v>1</v>
      </c>
    </row>
    <row r="309" spans="1:13" x14ac:dyDescent="0.3">
      <c r="A309" s="50">
        <v>307</v>
      </c>
      <c r="B309" s="281" t="s">
        <v>532</v>
      </c>
      <c r="C309" s="52">
        <v>8</v>
      </c>
      <c r="D309" s="50" t="s">
        <v>16</v>
      </c>
      <c r="E309" s="203">
        <v>76</v>
      </c>
      <c r="F309" s="33">
        <v>100</v>
      </c>
      <c r="G309" s="51">
        <v>45823</v>
      </c>
      <c r="H309" s="363">
        <v>2</v>
      </c>
      <c r="I309" s="33">
        <v>10</v>
      </c>
      <c r="J309" s="51">
        <v>45823</v>
      </c>
      <c r="K309" s="367">
        <v>2</v>
      </c>
      <c r="L309" s="36" t="s">
        <v>216</v>
      </c>
      <c r="M309" s="228" t="b">
        <f>+ISNUMBER(PAGOS[[#This Row],[REG]])</f>
        <v>1</v>
      </c>
    </row>
    <row r="310" spans="1:13" x14ac:dyDescent="0.3">
      <c r="A310" s="50">
        <v>308</v>
      </c>
      <c r="B310" s="281" t="s">
        <v>532</v>
      </c>
      <c r="C310" s="52">
        <v>5</v>
      </c>
      <c r="D310" s="50" t="s">
        <v>14</v>
      </c>
      <c r="E310" s="203">
        <v>77</v>
      </c>
      <c r="F310" s="33">
        <v>100</v>
      </c>
      <c r="G310" s="51">
        <v>45823</v>
      </c>
      <c r="H310" s="363">
        <v>1</v>
      </c>
      <c r="I310" s="33">
        <v>24</v>
      </c>
      <c r="J310" s="51">
        <v>45823</v>
      </c>
      <c r="K310" s="367">
        <v>1</v>
      </c>
      <c r="L310" s="36" t="s">
        <v>212</v>
      </c>
      <c r="M310" s="228" t="b">
        <f>+ISNUMBER(PAGOS[[#This Row],[REG]])</f>
        <v>1</v>
      </c>
    </row>
    <row r="311" spans="1:13" x14ac:dyDescent="0.3">
      <c r="A311" s="50">
        <v>309</v>
      </c>
      <c r="B311" s="281" t="s">
        <v>532</v>
      </c>
      <c r="C311" s="35">
        <v>17</v>
      </c>
      <c r="D311" s="50" t="s">
        <v>299</v>
      </c>
      <c r="E311" s="203">
        <v>78</v>
      </c>
      <c r="F311" s="33">
        <v>166.67</v>
      </c>
      <c r="G311" s="51">
        <v>45823</v>
      </c>
      <c r="H311" s="363">
        <v>1</v>
      </c>
      <c r="I311" s="33">
        <v>40</v>
      </c>
      <c r="J311" s="51">
        <v>45823</v>
      </c>
      <c r="K311" s="367">
        <v>1</v>
      </c>
      <c r="L311" s="36" t="s">
        <v>212</v>
      </c>
      <c r="M311" s="228" t="b">
        <f>+ISNUMBER(PAGOS[[#This Row],[REG]])</f>
        <v>1</v>
      </c>
    </row>
    <row r="312" spans="1:13" x14ac:dyDescent="0.3">
      <c r="A312" s="50">
        <v>310</v>
      </c>
      <c r="B312" s="281" t="s">
        <v>532</v>
      </c>
      <c r="C312" s="52">
        <v>3</v>
      </c>
      <c r="D312" s="50" t="s">
        <v>13</v>
      </c>
      <c r="E312" s="203">
        <v>72</v>
      </c>
      <c r="F312" s="33">
        <v>200</v>
      </c>
      <c r="G312" s="51">
        <v>45823</v>
      </c>
      <c r="H312" s="363">
        <v>2</v>
      </c>
      <c r="I312" s="33">
        <v>12</v>
      </c>
      <c r="J312" s="51">
        <v>45823</v>
      </c>
      <c r="K312" s="367">
        <v>2</v>
      </c>
      <c r="L312" s="36" t="s">
        <v>215</v>
      </c>
      <c r="M312" s="228" t="b">
        <f>+ISNUMBER(PAGOS[[#This Row],[REG]])</f>
        <v>1</v>
      </c>
    </row>
    <row r="313" spans="1:13" x14ac:dyDescent="0.3">
      <c r="A313" s="50">
        <v>311</v>
      </c>
      <c r="B313" s="281" t="s">
        <v>532</v>
      </c>
      <c r="C313" s="52">
        <v>4</v>
      </c>
      <c r="D313" s="50" t="s">
        <v>12</v>
      </c>
      <c r="E313" s="203">
        <v>69</v>
      </c>
      <c r="F313" s="33">
        <f>233.33</f>
        <v>233.33</v>
      </c>
      <c r="G313" s="51">
        <v>45823</v>
      </c>
      <c r="H313" s="363">
        <v>2</v>
      </c>
      <c r="I313" s="33">
        <v>14</v>
      </c>
      <c r="J313" s="51">
        <v>45823</v>
      </c>
      <c r="K313" s="367">
        <v>2</v>
      </c>
      <c r="L313" s="36" t="s">
        <v>216</v>
      </c>
      <c r="M313" s="228" t="b">
        <f>+ISNUMBER(PAGOS[[#This Row],[REG]])</f>
        <v>1</v>
      </c>
    </row>
    <row r="314" spans="1:13" x14ac:dyDescent="0.3">
      <c r="A314" s="50">
        <v>312</v>
      </c>
      <c r="B314" s="281" t="s">
        <v>532</v>
      </c>
      <c r="C314" s="52">
        <v>16</v>
      </c>
      <c r="D314" s="50" t="s">
        <v>23</v>
      </c>
      <c r="E314" s="203">
        <v>49</v>
      </c>
      <c r="F314" s="33">
        <v>41.67</v>
      </c>
      <c r="G314" s="51">
        <v>45823</v>
      </c>
      <c r="H314" s="363">
        <v>11</v>
      </c>
      <c r="I314" s="33">
        <v>10</v>
      </c>
      <c r="J314" s="51">
        <v>45823</v>
      </c>
      <c r="K314" s="367">
        <v>11</v>
      </c>
      <c r="L314" s="36" t="s">
        <v>286</v>
      </c>
      <c r="M314" s="228" t="b">
        <f>+ISNUMBER(PAGOS[[#This Row],[REG]])</f>
        <v>1</v>
      </c>
    </row>
    <row r="315" spans="1:13" x14ac:dyDescent="0.3">
      <c r="A315" s="50">
        <v>313</v>
      </c>
      <c r="B315" s="281" t="s">
        <v>532</v>
      </c>
      <c r="C315" s="52">
        <v>11</v>
      </c>
      <c r="D315" s="50" t="s">
        <v>19</v>
      </c>
      <c r="E315" s="203">
        <v>79</v>
      </c>
      <c r="F315" s="33">
        <v>100</v>
      </c>
      <c r="G315" s="51">
        <v>45823</v>
      </c>
      <c r="H315" s="363">
        <v>1</v>
      </c>
      <c r="I315" s="33">
        <v>6</v>
      </c>
      <c r="J315" s="51">
        <v>45823</v>
      </c>
      <c r="K315" s="367">
        <v>1</v>
      </c>
      <c r="L315" s="36" t="s">
        <v>212</v>
      </c>
      <c r="M315" s="228" t="b">
        <f>+ISNUMBER(PAGOS[[#This Row],[REG]])</f>
        <v>1</v>
      </c>
    </row>
    <row r="316" spans="1:13" x14ac:dyDescent="0.3">
      <c r="A316" s="50">
        <v>314</v>
      </c>
      <c r="B316" s="281" t="s">
        <v>532</v>
      </c>
      <c r="C316" s="52">
        <v>12</v>
      </c>
      <c r="D316" s="50" t="s">
        <v>20</v>
      </c>
      <c r="E316" s="203">
        <v>58</v>
      </c>
      <c r="F316" s="33">
        <v>100</v>
      </c>
      <c r="G316" s="51">
        <v>45853</v>
      </c>
      <c r="H316" s="363">
        <v>8</v>
      </c>
      <c r="I316" s="33">
        <v>20</v>
      </c>
      <c r="J316" s="51">
        <v>45853</v>
      </c>
      <c r="K316" s="367">
        <v>8</v>
      </c>
      <c r="L316" s="36" t="s">
        <v>242</v>
      </c>
      <c r="M316" s="228" t="b">
        <f>+ISNUMBER(PAGOS[[#This Row],[REG]])</f>
        <v>1</v>
      </c>
    </row>
    <row r="317" spans="1:13" x14ac:dyDescent="0.3">
      <c r="A317" s="50">
        <v>315</v>
      </c>
      <c r="B317" s="281" t="s">
        <v>532</v>
      </c>
      <c r="C317" s="52">
        <v>6</v>
      </c>
      <c r="D317" s="50" t="s">
        <v>24</v>
      </c>
      <c r="E317" s="203">
        <v>60</v>
      </c>
      <c r="F317" s="33">
        <v>100</v>
      </c>
      <c r="G317" s="51">
        <v>45853</v>
      </c>
      <c r="H317" s="363">
        <v>7</v>
      </c>
      <c r="I317" s="33">
        <v>20</v>
      </c>
      <c r="J317" s="51">
        <v>45853</v>
      </c>
      <c r="K317" s="367">
        <v>7</v>
      </c>
      <c r="L317" s="36" t="s">
        <v>219</v>
      </c>
      <c r="M317" s="228" t="b">
        <f>+ISNUMBER(PAGOS[[#This Row],[REG]])</f>
        <v>1</v>
      </c>
    </row>
    <row r="318" spans="1:13" x14ac:dyDescent="0.3">
      <c r="A318" s="50">
        <v>316</v>
      </c>
      <c r="B318" s="281" t="s">
        <v>532</v>
      </c>
      <c r="C318" s="52">
        <v>9</v>
      </c>
      <c r="D318" s="50" t="s">
        <v>17</v>
      </c>
      <c r="E318" s="203">
        <v>63</v>
      </c>
      <c r="F318" s="33">
        <v>100</v>
      </c>
      <c r="G318" s="51">
        <v>45853</v>
      </c>
      <c r="H318" s="363">
        <v>6</v>
      </c>
      <c r="I318" s="33">
        <v>14</v>
      </c>
      <c r="J318" s="51">
        <v>45853</v>
      </c>
      <c r="K318" s="367">
        <v>6</v>
      </c>
      <c r="L318" s="36" t="s">
        <v>213</v>
      </c>
      <c r="M318" s="228" t="b">
        <f>+ISNUMBER(PAGOS[[#This Row],[REG]])</f>
        <v>1</v>
      </c>
    </row>
    <row r="319" spans="1:13" x14ac:dyDescent="0.3">
      <c r="A319" s="50">
        <v>317</v>
      </c>
      <c r="B319" s="281" t="s">
        <v>532</v>
      </c>
      <c r="C319" s="52">
        <v>14</v>
      </c>
      <c r="D319" s="50" t="s">
        <v>21</v>
      </c>
      <c r="E319" s="203">
        <v>64</v>
      </c>
      <c r="F319" s="33">
        <v>100</v>
      </c>
      <c r="G319" s="51">
        <v>45853</v>
      </c>
      <c r="H319" s="363">
        <v>6</v>
      </c>
      <c r="I319" s="33">
        <v>14</v>
      </c>
      <c r="J319" s="51">
        <v>45853</v>
      </c>
      <c r="K319" s="367">
        <v>6</v>
      </c>
      <c r="L319" s="36" t="s">
        <v>213</v>
      </c>
      <c r="M319" s="228" t="b">
        <f>+ISNUMBER(PAGOS[[#This Row],[REG]])</f>
        <v>1</v>
      </c>
    </row>
    <row r="320" spans="1:13" x14ac:dyDescent="0.3">
      <c r="A320" s="50">
        <v>318</v>
      </c>
      <c r="B320" s="281" t="s">
        <v>532</v>
      </c>
      <c r="C320" s="52">
        <v>10</v>
      </c>
      <c r="D320" s="50" t="s">
        <v>18</v>
      </c>
      <c r="E320" s="203">
        <v>71</v>
      </c>
      <c r="F320" s="33">
        <v>40</v>
      </c>
      <c r="G320" s="51">
        <v>45853</v>
      </c>
      <c r="H320" s="363">
        <v>3</v>
      </c>
      <c r="I320" s="33">
        <v>4</v>
      </c>
      <c r="J320" s="51">
        <v>45853</v>
      </c>
      <c r="K320" s="367">
        <v>3</v>
      </c>
      <c r="L320" s="36" t="s">
        <v>215</v>
      </c>
      <c r="M320" s="228" t="b">
        <f>+ISNUMBER(PAGOS[[#This Row],[REG]])</f>
        <v>1</v>
      </c>
    </row>
    <row r="321" spans="1:13" x14ac:dyDescent="0.3">
      <c r="A321" s="50">
        <v>319</v>
      </c>
      <c r="B321" s="281" t="s">
        <v>532</v>
      </c>
      <c r="C321" s="52">
        <v>8</v>
      </c>
      <c r="D321" s="50" t="s">
        <v>16</v>
      </c>
      <c r="E321" s="203">
        <v>76</v>
      </c>
      <c r="F321" s="33">
        <v>100</v>
      </c>
      <c r="G321" s="51">
        <v>45853</v>
      </c>
      <c r="H321" s="363">
        <v>3</v>
      </c>
      <c r="I321" s="33">
        <v>10</v>
      </c>
      <c r="J321" s="51">
        <v>45853</v>
      </c>
      <c r="K321" s="367">
        <v>3</v>
      </c>
      <c r="L321" s="36" t="s">
        <v>215</v>
      </c>
      <c r="M321" s="228" t="b">
        <f>+ISNUMBER(PAGOS[[#This Row],[REG]])</f>
        <v>1</v>
      </c>
    </row>
    <row r="322" spans="1:13" x14ac:dyDescent="0.3">
      <c r="A322" s="50">
        <v>320</v>
      </c>
      <c r="B322" s="281" t="s">
        <v>532</v>
      </c>
      <c r="C322" s="52">
        <v>5</v>
      </c>
      <c r="D322" s="50" t="s">
        <v>14</v>
      </c>
      <c r="E322" s="203">
        <v>77</v>
      </c>
      <c r="F322" s="33">
        <v>100</v>
      </c>
      <c r="G322" s="51">
        <v>45853</v>
      </c>
      <c r="H322" s="363">
        <v>2</v>
      </c>
      <c r="I322" s="33">
        <v>24</v>
      </c>
      <c r="J322" s="51">
        <v>45853</v>
      </c>
      <c r="K322" s="367">
        <v>2</v>
      </c>
      <c r="L322" s="36" t="s">
        <v>216</v>
      </c>
      <c r="M322" s="228" t="b">
        <f>+ISNUMBER(PAGOS[[#This Row],[REG]])</f>
        <v>1</v>
      </c>
    </row>
    <row r="323" spans="1:13" x14ac:dyDescent="0.3">
      <c r="A323" s="50">
        <v>321</v>
      </c>
      <c r="B323" s="281" t="s">
        <v>532</v>
      </c>
      <c r="C323" s="35">
        <v>17</v>
      </c>
      <c r="D323" s="50" t="s">
        <v>299</v>
      </c>
      <c r="E323" s="203">
        <v>78</v>
      </c>
      <c r="F323" s="33">
        <v>166.67</v>
      </c>
      <c r="G323" s="51">
        <v>45853</v>
      </c>
      <c r="H323" s="363">
        <v>2</v>
      </c>
      <c r="I323" s="33">
        <v>40</v>
      </c>
      <c r="J323" s="51">
        <v>45853</v>
      </c>
      <c r="K323" s="367">
        <v>2</v>
      </c>
      <c r="L323" s="36" t="s">
        <v>216</v>
      </c>
      <c r="M323" s="228" t="b">
        <f>+ISNUMBER(PAGOS[[#This Row],[REG]])</f>
        <v>1</v>
      </c>
    </row>
    <row r="324" spans="1:13" x14ac:dyDescent="0.3">
      <c r="A324" s="50">
        <v>322</v>
      </c>
      <c r="B324" s="281" t="s">
        <v>532</v>
      </c>
      <c r="C324" s="52">
        <v>4</v>
      </c>
      <c r="D324" s="50" t="s">
        <v>12</v>
      </c>
      <c r="E324" s="203">
        <v>69</v>
      </c>
      <c r="F324" s="33">
        <v>233.34</v>
      </c>
      <c r="G324" s="51">
        <v>45853</v>
      </c>
      <c r="H324" s="363">
        <v>3</v>
      </c>
      <c r="I324" s="33">
        <v>14</v>
      </c>
      <c r="J324" s="51">
        <v>45853</v>
      </c>
      <c r="K324" s="367">
        <v>3</v>
      </c>
      <c r="L324" s="36" t="s">
        <v>215</v>
      </c>
      <c r="M324" s="228" t="b">
        <f>+ISNUMBER(PAGOS[[#This Row],[REG]])</f>
        <v>1</v>
      </c>
    </row>
    <row r="325" spans="1:13" x14ac:dyDescent="0.3">
      <c r="A325" s="50">
        <v>323</v>
      </c>
      <c r="B325" s="281" t="s">
        <v>532</v>
      </c>
      <c r="C325" s="52">
        <v>3</v>
      </c>
      <c r="D325" s="50" t="s">
        <v>13</v>
      </c>
      <c r="E325" s="203">
        <v>72</v>
      </c>
      <c r="F325" s="33">
        <f>200</f>
        <v>200</v>
      </c>
      <c r="G325" s="51">
        <v>45853</v>
      </c>
      <c r="H325" s="363">
        <v>3</v>
      </c>
      <c r="I325" s="33">
        <v>12</v>
      </c>
      <c r="J325" s="51">
        <v>45853</v>
      </c>
      <c r="K325" s="367">
        <v>3</v>
      </c>
      <c r="L325" s="36" t="s">
        <v>215</v>
      </c>
      <c r="M325" s="228" t="b">
        <f>+ISNUMBER(PAGOS[[#This Row],[REG]])</f>
        <v>1</v>
      </c>
    </row>
    <row r="326" spans="1:13" x14ac:dyDescent="0.3">
      <c r="A326" s="50">
        <v>324</v>
      </c>
      <c r="B326" s="281" t="s">
        <v>532</v>
      </c>
      <c r="C326" s="52">
        <v>16</v>
      </c>
      <c r="D326" s="50" t="s">
        <v>23</v>
      </c>
      <c r="E326" s="203">
        <v>49</v>
      </c>
      <c r="F326" s="33">
        <v>41.67</v>
      </c>
      <c r="G326" s="51">
        <v>45853</v>
      </c>
      <c r="H326" s="363">
        <v>12</v>
      </c>
      <c r="I326" s="33">
        <v>10</v>
      </c>
      <c r="J326" s="51">
        <v>45853</v>
      </c>
      <c r="K326" s="367">
        <v>12</v>
      </c>
      <c r="L326" s="36" t="s">
        <v>330</v>
      </c>
      <c r="M326" s="228" t="b">
        <f>+ISNUMBER(PAGOS[[#This Row],[REG]])</f>
        <v>1</v>
      </c>
    </row>
    <row r="327" spans="1:13" x14ac:dyDescent="0.3">
      <c r="A327" s="50">
        <v>325</v>
      </c>
      <c r="B327" s="281" t="s">
        <v>532</v>
      </c>
      <c r="C327" s="52">
        <v>11</v>
      </c>
      <c r="D327" s="50" t="s">
        <v>19</v>
      </c>
      <c r="E327" s="203">
        <v>79</v>
      </c>
      <c r="F327" s="33">
        <v>100</v>
      </c>
      <c r="G327" s="51">
        <v>45853</v>
      </c>
      <c r="H327" s="363">
        <v>2</v>
      </c>
      <c r="I327" s="33">
        <v>6</v>
      </c>
      <c r="J327" s="51">
        <v>45853</v>
      </c>
      <c r="K327" s="367">
        <v>2</v>
      </c>
      <c r="L327" s="36" t="s">
        <v>331</v>
      </c>
      <c r="M327" s="228" t="b">
        <f>+ISNUMBER(PAGOS[[#This Row],[REG]])</f>
        <v>1</v>
      </c>
    </row>
    <row r="328" spans="1:13" x14ac:dyDescent="0.3">
      <c r="A328" s="50">
        <v>326</v>
      </c>
      <c r="B328" s="281" t="s">
        <v>532</v>
      </c>
      <c r="C328" s="52">
        <v>16</v>
      </c>
      <c r="D328" s="50" t="s">
        <v>23</v>
      </c>
      <c r="E328" s="203">
        <v>81</v>
      </c>
      <c r="F328" s="33">
        <v>100</v>
      </c>
      <c r="G328" s="51">
        <v>45876</v>
      </c>
      <c r="H328" s="363">
        <v>0</v>
      </c>
      <c r="I328" s="33">
        <v>2</v>
      </c>
      <c r="J328" s="51">
        <v>45876</v>
      </c>
      <c r="K328" s="367">
        <v>0</v>
      </c>
      <c r="L328" s="36" t="s">
        <v>370</v>
      </c>
      <c r="M328" s="228" t="b">
        <f>+ISNUMBER(PAGOS[[#This Row],[REG]])</f>
        <v>1</v>
      </c>
    </row>
    <row r="329" spans="1:13" x14ac:dyDescent="0.3">
      <c r="A329" s="50">
        <v>327</v>
      </c>
      <c r="B329" s="281" t="s">
        <v>530</v>
      </c>
      <c r="C329" s="52">
        <v>1</v>
      </c>
      <c r="D329" s="50" t="s">
        <v>70</v>
      </c>
      <c r="E329" s="203">
        <v>0</v>
      </c>
      <c r="F329" s="33">
        <v>0</v>
      </c>
      <c r="G329" s="51">
        <v>45884</v>
      </c>
      <c r="H329" s="364" t="s">
        <v>490</v>
      </c>
      <c r="I329" s="33">
        <v>10</v>
      </c>
      <c r="J329" s="51">
        <v>45884</v>
      </c>
      <c r="K329" s="368" t="s">
        <v>490</v>
      </c>
      <c r="L329" s="36" t="s">
        <v>373</v>
      </c>
      <c r="M329" s="228" t="b">
        <f>+ISNUMBER(PAGOS[[#This Row],[REG]])</f>
        <v>1</v>
      </c>
    </row>
    <row r="330" spans="1:13" x14ac:dyDescent="0.3">
      <c r="A330" s="50">
        <v>328</v>
      </c>
      <c r="B330" s="281" t="s">
        <v>532</v>
      </c>
      <c r="C330" s="52">
        <v>12</v>
      </c>
      <c r="D330" s="50" t="s">
        <v>20</v>
      </c>
      <c r="E330" s="203">
        <v>58</v>
      </c>
      <c r="F330" s="33">
        <v>100</v>
      </c>
      <c r="G330" s="51">
        <v>45884</v>
      </c>
      <c r="H330" s="363">
        <v>9</v>
      </c>
      <c r="I330" s="366">
        <v>20</v>
      </c>
      <c r="J330" s="51">
        <v>45884</v>
      </c>
      <c r="K330" s="367">
        <v>9</v>
      </c>
      <c r="L330" s="36" t="s">
        <v>375</v>
      </c>
      <c r="M330" s="228" t="b">
        <f>+ISNUMBER(PAGOS[[#This Row],[REG]])</f>
        <v>1</v>
      </c>
    </row>
    <row r="331" spans="1:13" x14ac:dyDescent="0.3">
      <c r="A331" s="50">
        <v>329</v>
      </c>
      <c r="B331" s="281" t="s">
        <v>532</v>
      </c>
      <c r="C331" s="52">
        <v>6</v>
      </c>
      <c r="D331" s="50" t="s">
        <v>24</v>
      </c>
      <c r="E331" s="203">
        <v>60</v>
      </c>
      <c r="F331" s="33">
        <v>100</v>
      </c>
      <c r="G331" s="51">
        <v>45884</v>
      </c>
      <c r="H331" s="363">
        <v>8</v>
      </c>
      <c r="I331" s="33">
        <v>20</v>
      </c>
      <c r="J331" s="51">
        <v>45884</v>
      </c>
      <c r="K331" s="367">
        <v>8</v>
      </c>
      <c r="L331" s="36" t="s">
        <v>376</v>
      </c>
      <c r="M331" s="228" t="b">
        <f>+ISNUMBER(PAGOS[[#This Row],[REG]])</f>
        <v>1</v>
      </c>
    </row>
    <row r="332" spans="1:13" x14ac:dyDescent="0.3">
      <c r="A332" s="50">
        <v>330</v>
      </c>
      <c r="B332" s="281" t="s">
        <v>532</v>
      </c>
      <c r="C332" s="52">
        <v>9</v>
      </c>
      <c r="D332" s="50" t="s">
        <v>17</v>
      </c>
      <c r="E332" s="203">
        <v>63</v>
      </c>
      <c r="F332" s="33">
        <v>100</v>
      </c>
      <c r="G332" s="51">
        <v>45884</v>
      </c>
      <c r="H332" s="363">
        <v>7</v>
      </c>
      <c r="I332" s="33">
        <v>14</v>
      </c>
      <c r="J332" s="51">
        <v>45884</v>
      </c>
      <c r="K332" s="367">
        <v>7</v>
      </c>
      <c r="L332" s="36" t="s">
        <v>377</v>
      </c>
      <c r="M332" s="228" t="b">
        <f>+ISNUMBER(PAGOS[[#This Row],[REG]])</f>
        <v>1</v>
      </c>
    </row>
    <row r="333" spans="1:13" x14ac:dyDescent="0.3">
      <c r="A333" s="50">
        <v>331</v>
      </c>
      <c r="B333" s="281" t="s">
        <v>532</v>
      </c>
      <c r="C333" s="52">
        <v>14</v>
      </c>
      <c r="D333" s="50" t="s">
        <v>21</v>
      </c>
      <c r="E333" s="203">
        <v>64</v>
      </c>
      <c r="F333" s="33">
        <v>100</v>
      </c>
      <c r="G333" s="51">
        <v>45884</v>
      </c>
      <c r="H333" s="363">
        <v>7</v>
      </c>
      <c r="I333" s="33">
        <v>14</v>
      </c>
      <c r="J333" s="51">
        <v>45884</v>
      </c>
      <c r="K333" s="367">
        <v>7</v>
      </c>
      <c r="L333" s="36" t="s">
        <v>393</v>
      </c>
      <c r="M333" s="228" t="b">
        <f>+ISNUMBER(PAGOS[[#This Row],[REG]])</f>
        <v>1</v>
      </c>
    </row>
    <row r="334" spans="1:13" x14ac:dyDescent="0.3">
      <c r="A334" s="50">
        <v>332</v>
      </c>
      <c r="B334" s="281" t="s">
        <v>532</v>
      </c>
      <c r="C334" s="52">
        <v>10</v>
      </c>
      <c r="D334" s="50" t="s">
        <v>18</v>
      </c>
      <c r="E334" s="203">
        <v>71</v>
      </c>
      <c r="F334" s="33">
        <v>40</v>
      </c>
      <c r="G334" s="51">
        <v>45884</v>
      </c>
      <c r="H334" s="363">
        <v>4</v>
      </c>
      <c r="I334" s="33">
        <v>4</v>
      </c>
      <c r="J334" s="51">
        <v>45884</v>
      </c>
      <c r="K334" s="367">
        <v>4</v>
      </c>
      <c r="L334" s="36" t="s">
        <v>378</v>
      </c>
      <c r="M334" s="228" t="b">
        <f>+ISNUMBER(PAGOS[[#This Row],[REG]])</f>
        <v>1</v>
      </c>
    </row>
    <row r="335" spans="1:13" x14ac:dyDescent="0.3">
      <c r="A335" s="50">
        <v>333</v>
      </c>
      <c r="B335" s="281" t="s">
        <v>532</v>
      </c>
      <c r="C335" s="52">
        <v>8</v>
      </c>
      <c r="D335" s="50" t="s">
        <v>16</v>
      </c>
      <c r="E335" s="203">
        <v>76</v>
      </c>
      <c r="F335" s="33">
        <v>100</v>
      </c>
      <c r="G335" s="51">
        <v>45884</v>
      </c>
      <c r="H335" s="363">
        <v>4</v>
      </c>
      <c r="I335" s="33">
        <v>10</v>
      </c>
      <c r="J335" s="51">
        <v>45884</v>
      </c>
      <c r="K335" s="367">
        <v>4</v>
      </c>
      <c r="L335" s="36" t="s">
        <v>378</v>
      </c>
      <c r="M335" s="228" t="b">
        <f>+ISNUMBER(PAGOS[[#This Row],[REG]])</f>
        <v>1</v>
      </c>
    </row>
    <row r="336" spans="1:13" x14ac:dyDescent="0.3">
      <c r="A336" s="50">
        <v>334</v>
      </c>
      <c r="B336" s="281" t="s">
        <v>532</v>
      </c>
      <c r="C336" s="52">
        <v>5</v>
      </c>
      <c r="D336" s="50" t="s">
        <v>14</v>
      </c>
      <c r="E336" s="203">
        <v>77</v>
      </c>
      <c r="F336" s="33">
        <v>100</v>
      </c>
      <c r="G336" s="51">
        <v>45884</v>
      </c>
      <c r="H336" s="363">
        <v>3</v>
      </c>
      <c r="I336" s="33">
        <v>24</v>
      </c>
      <c r="J336" s="51">
        <v>45884</v>
      </c>
      <c r="K336" s="367">
        <v>3</v>
      </c>
      <c r="L336" s="36" t="s">
        <v>379</v>
      </c>
      <c r="M336" s="228" t="b">
        <f>+ISNUMBER(PAGOS[[#This Row],[REG]])</f>
        <v>1</v>
      </c>
    </row>
    <row r="337" spans="1:13" x14ac:dyDescent="0.3">
      <c r="A337" s="50">
        <v>335</v>
      </c>
      <c r="B337" s="281" t="s">
        <v>532</v>
      </c>
      <c r="C337" s="52">
        <v>11</v>
      </c>
      <c r="D337" s="50" t="s">
        <v>19</v>
      </c>
      <c r="E337" s="203">
        <v>79</v>
      </c>
      <c r="F337" s="33">
        <v>100</v>
      </c>
      <c r="G337" s="51">
        <v>45884</v>
      </c>
      <c r="H337" s="363">
        <v>3</v>
      </c>
      <c r="I337" s="33">
        <v>6</v>
      </c>
      <c r="J337" s="51">
        <v>45884</v>
      </c>
      <c r="K337" s="367">
        <v>3</v>
      </c>
      <c r="L337" s="36" t="s">
        <v>398</v>
      </c>
      <c r="M337" s="228" t="b">
        <f>+ISNUMBER(PAGOS[[#This Row],[REG]])</f>
        <v>1</v>
      </c>
    </row>
    <row r="338" spans="1:13" x14ac:dyDescent="0.3">
      <c r="A338" s="50">
        <v>336</v>
      </c>
      <c r="B338" s="281" t="s">
        <v>532</v>
      </c>
      <c r="C338" s="52">
        <v>6</v>
      </c>
      <c r="D338" s="50" t="s">
        <v>24</v>
      </c>
      <c r="E338" s="203">
        <v>60</v>
      </c>
      <c r="F338" s="33">
        <v>100</v>
      </c>
      <c r="G338" s="51">
        <v>45884</v>
      </c>
      <c r="H338" s="363">
        <v>9</v>
      </c>
      <c r="I338" s="33">
        <v>0</v>
      </c>
      <c r="J338" s="51">
        <v>45884</v>
      </c>
      <c r="K338" s="367">
        <v>9</v>
      </c>
      <c r="L338" s="36" t="s">
        <v>394</v>
      </c>
      <c r="M338" s="228" t="b">
        <f>+ISNUMBER(PAGOS[[#This Row],[REG]])</f>
        <v>1</v>
      </c>
    </row>
    <row r="339" spans="1:13" x14ac:dyDescent="0.3">
      <c r="A339" s="50">
        <v>337</v>
      </c>
      <c r="B339" s="281" t="s">
        <v>531</v>
      </c>
      <c r="C339" s="52">
        <v>6</v>
      </c>
      <c r="D339" s="50" t="s">
        <v>24</v>
      </c>
      <c r="E339" s="203">
        <v>60</v>
      </c>
      <c r="F339" s="33">
        <v>0</v>
      </c>
      <c r="G339" s="51">
        <v>45884</v>
      </c>
      <c r="H339" s="363" t="s">
        <v>491</v>
      </c>
      <c r="I339" s="33">
        <v>20</v>
      </c>
      <c r="J339" s="51">
        <v>45884</v>
      </c>
      <c r="K339" s="367" t="s">
        <v>491</v>
      </c>
      <c r="L339" s="36" t="s">
        <v>395</v>
      </c>
      <c r="M339" s="228" t="b">
        <f>+ISNUMBER(PAGOS[[#This Row],[REG]])</f>
        <v>1</v>
      </c>
    </row>
    <row r="340" spans="1:13" x14ac:dyDescent="0.3">
      <c r="A340" s="50">
        <v>338</v>
      </c>
      <c r="B340" s="281" t="s">
        <v>532</v>
      </c>
      <c r="C340" s="52">
        <v>6</v>
      </c>
      <c r="D340" s="50" t="s">
        <v>24</v>
      </c>
      <c r="E340" s="203">
        <v>60</v>
      </c>
      <c r="F340" s="33">
        <v>100</v>
      </c>
      <c r="G340" s="51">
        <v>45884</v>
      </c>
      <c r="H340" s="363">
        <v>10</v>
      </c>
      <c r="I340" s="33">
        <v>0</v>
      </c>
      <c r="J340" s="51">
        <v>45884</v>
      </c>
      <c r="K340" s="367">
        <v>10</v>
      </c>
      <c r="L340" s="36" t="s">
        <v>396</v>
      </c>
      <c r="M340" s="228" t="b">
        <f>+ISNUMBER(PAGOS[[#This Row],[REG]])</f>
        <v>1</v>
      </c>
    </row>
    <row r="341" spans="1:13" x14ac:dyDescent="0.3">
      <c r="A341" s="50">
        <v>339</v>
      </c>
      <c r="B341" s="281" t="s">
        <v>531</v>
      </c>
      <c r="C341" s="52">
        <v>6</v>
      </c>
      <c r="D341" s="50" t="s">
        <v>24</v>
      </c>
      <c r="E341" s="203">
        <v>60</v>
      </c>
      <c r="F341" s="33">
        <v>0</v>
      </c>
      <c r="G341" s="51">
        <v>45884</v>
      </c>
      <c r="H341" s="363" t="s">
        <v>491</v>
      </c>
      <c r="I341" s="33">
        <v>20</v>
      </c>
      <c r="J341" s="51">
        <v>45884</v>
      </c>
      <c r="K341" s="367" t="s">
        <v>491</v>
      </c>
      <c r="L341" s="36" t="s">
        <v>397</v>
      </c>
      <c r="M341" s="228" t="b">
        <f>+ISNUMBER(PAGOS[[#This Row],[REG]])</f>
        <v>1</v>
      </c>
    </row>
    <row r="342" spans="1:13" x14ac:dyDescent="0.3">
      <c r="A342" s="50">
        <v>340</v>
      </c>
      <c r="B342" s="281" t="s">
        <v>532</v>
      </c>
      <c r="C342" s="52">
        <v>17</v>
      </c>
      <c r="D342" s="50" t="s">
        <v>299</v>
      </c>
      <c r="E342" s="203">
        <v>78</v>
      </c>
      <c r="F342" s="33">
        <v>166.67</v>
      </c>
      <c r="G342" s="51">
        <v>45884</v>
      </c>
      <c r="H342" s="363">
        <v>3</v>
      </c>
      <c r="I342" s="33">
        <v>40</v>
      </c>
      <c r="J342" s="51">
        <v>45884</v>
      </c>
      <c r="K342" s="367">
        <v>3</v>
      </c>
      <c r="L342" s="36" t="s">
        <v>379</v>
      </c>
      <c r="M342" s="228" t="b">
        <f>+ISNUMBER(PAGOS[[#This Row],[REG]])</f>
        <v>1</v>
      </c>
    </row>
    <row r="343" spans="1:13" x14ac:dyDescent="0.3">
      <c r="A343" s="50">
        <v>341</v>
      </c>
      <c r="B343" s="281" t="s">
        <v>532</v>
      </c>
      <c r="C343" s="52">
        <v>12</v>
      </c>
      <c r="D343" s="50" t="s">
        <v>20</v>
      </c>
      <c r="E343" s="203">
        <v>58</v>
      </c>
      <c r="F343" s="33">
        <v>100</v>
      </c>
      <c r="G343" s="51">
        <v>45884</v>
      </c>
      <c r="H343" s="363">
        <v>10</v>
      </c>
      <c r="I343" s="33">
        <v>0</v>
      </c>
      <c r="J343" s="51">
        <v>45884</v>
      </c>
      <c r="K343" s="367">
        <v>10</v>
      </c>
      <c r="L343" s="36" t="s">
        <v>418</v>
      </c>
      <c r="M343" s="228" t="b">
        <f>+ISNUMBER(PAGOS[[#This Row],[REG]])</f>
        <v>1</v>
      </c>
    </row>
    <row r="344" spans="1:13" x14ac:dyDescent="0.3">
      <c r="A344" s="50">
        <v>342</v>
      </c>
      <c r="B344" s="281" t="s">
        <v>531</v>
      </c>
      <c r="C344" s="52">
        <v>12</v>
      </c>
      <c r="D344" s="50" t="s">
        <v>20</v>
      </c>
      <c r="E344" s="203">
        <v>58</v>
      </c>
      <c r="F344" s="33">
        <v>0</v>
      </c>
      <c r="G344" s="51">
        <v>45884</v>
      </c>
      <c r="H344" s="363" t="s">
        <v>491</v>
      </c>
      <c r="I344" s="33">
        <v>20</v>
      </c>
      <c r="J344" s="51">
        <v>45884</v>
      </c>
      <c r="K344" s="367" t="s">
        <v>491</v>
      </c>
      <c r="L344" s="36" t="s">
        <v>417</v>
      </c>
      <c r="M344" s="228" t="b">
        <f>+ISNUMBER(PAGOS[[#This Row],[REG]])</f>
        <v>1</v>
      </c>
    </row>
    <row r="345" spans="1:13" x14ac:dyDescent="0.3">
      <c r="A345" s="50">
        <v>343</v>
      </c>
      <c r="B345" s="281" t="s">
        <v>532</v>
      </c>
      <c r="C345" s="52">
        <v>16</v>
      </c>
      <c r="D345" s="50" t="s">
        <v>23</v>
      </c>
      <c r="E345" s="203">
        <v>82</v>
      </c>
      <c r="F345" s="33">
        <v>200</v>
      </c>
      <c r="G345" s="51">
        <v>45897</v>
      </c>
      <c r="H345" s="363">
        <v>0</v>
      </c>
      <c r="I345" s="33">
        <v>4</v>
      </c>
      <c r="J345" s="51">
        <v>45897</v>
      </c>
      <c r="K345" s="367">
        <v>0</v>
      </c>
      <c r="L345" s="36" t="s">
        <v>419</v>
      </c>
      <c r="M345" s="228" t="b">
        <f>+ISNUMBER(PAGOS[[#This Row],[REG]])</f>
        <v>1</v>
      </c>
    </row>
    <row r="346" spans="1:13" x14ac:dyDescent="0.3">
      <c r="A346" s="50">
        <v>344</v>
      </c>
      <c r="B346" s="281" t="s">
        <v>532</v>
      </c>
      <c r="C346" s="52">
        <v>7</v>
      </c>
      <c r="D346" s="50" t="s">
        <v>355</v>
      </c>
      <c r="E346" s="203">
        <v>89</v>
      </c>
      <c r="F346" s="33">
        <v>200</v>
      </c>
      <c r="G346" s="51">
        <v>45901</v>
      </c>
      <c r="H346" s="363">
        <v>1</v>
      </c>
      <c r="I346" s="33">
        <v>0</v>
      </c>
      <c r="J346" s="51">
        <v>45901</v>
      </c>
      <c r="K346" s="367">
        <v>1</v>
      </c>
      <c r="L346" s="36" t="s">
        <v>422</v>
      </c>
      <c r="M346" s="228" t="b">
        <f>+ISNUMBER(PAGOS[[#This Row],[REG]])</f>
        <v>1</v>
      </c>
    </row>
    <row r="347" spans="1:13" x14ac:dyDescent="0.3">
      <c r="A347" s="50">
        <v>345</v>
      </c>
      <c r="B347" s="281" t="s">
        <v>532</v>
      </c>
      <c r="C347" s="52">
        <v>7</v>
      </c>
      <c r="D347" s="50" t="s">
        <v>355</v>
      </c>
      <c r="E347" s="203">
        <v>90</v>
      </c>
      <c r="F347" s="33">
        <v>100</v>
      </c>
      <c r="G347" s="51">
        <v>45901</v>
      </c>
      <c r="H347" s="363">
        <v>1</v>
      </c>
      <c r="I347" s="33">
        <v>0</v>
      </c>
      <c r="J347" s="51">
        <v>45901</v>
      </c>
      <c r="K347" s="367">
        <v>1</v>
      </c>
      <c r="L347" s="36" t="s">
        <v>422</v>
      </c>
      <c r="M347" s="228" t="b">
        <f>+ISNUMBER(PAGOS[[#This Row],[REG]])</f>
        <v>1</v>
      </c>
    </row>
    <row r="348" spans="1:13" x14ac:dyDescent="0.3">
      <c r="A348" s="50">
        <v>346</v>
      </c>
      <c r="B348" s="281" t="s">
        <v>532</v>
      </c>
      <c r="C348" s="52">
        <v>16</v>
      </c>
      <c r="D348" s="50" t="s">
        <v>23</v>
      </c>
      <c r="E348" s="203">
        <v>91</v>
      </c>
      <c r="F348" s="33">
        <v>40</v>
      </c>
      <c r="G348" s="51">
        <v>45901</v>
      </c>
      <c r="H348" s="363">
        <v>1</v>
      </c>
      <c r="I348" s="33">
        <v>0.8</v>
      </c>
      <c r="J348" s="51">
        <v>45901</v>
      </c>
      <c r="K348" s="367">
        <v>1</v>
      </c>
      <c r="L348" s="36" t="s">
        <v>419</v>
      </c>
      <c r="M348" s="228" t="b">
        <f>+ISNUMBER(PAGOS[[#This Row],[REG]])</f>
        <v>1</v>
      </c>
    </row>
    <row r="349" spans="1:13" x14ac:dyDescent="0.3">
      <c r="A349" s="50">
        <v>347</v>
      </c>
      <c r="B349" s="281" t="s">
        <v>530</v>
      </c>
      <c r="C349" s="52">
        <v>1</v>
      </c>
      <c r="D349" s="50" t="s">
        <v>24</v>
      </c>
      <c r="E349" s="203">
        <v>0</v>
      </c>
      <c r="F349" s="33">
        <v>0</v>
      </c>
      <c r="G349" s="51">
        <v>45915</v>
      </c>
      <c r="H349" s="363" t="s">
        <v>490</v>
      </c>
      <c r="I349" s="33">
        <v>5</v>
      </c>
      <c r="J349" s="51">
        <v>45915</v>
      </c>
      <c r="K349" s="367" t="s">
        <v>490</v>
      </c>
      <c r="L349" s="36" t="s">
        <v>428</v>
      </c>
      <c r="M349" s="228" t="b">
        <f>+ISNUMBER(PAGOS[[#This Row],[REG]])</f>
        <v>1</v>
      </c>
    </row>
    <row r="350" spans="1:13" x14ac:dyDescent="0.3">
      <c r="A350" s="50">
        <v>348</v>
      </c>
      <c r="B350" s="281" t="s">
        <v>532</v>
      </c>
      <c r="C350" s="52">
        <v>5</v>
      </c>
      <c r="D350" s="50" t="s">
        <v>14</v>
      </c>
      <c r="E350" s="203">
        <v>77</v>
      </c>
      <c r="F350" s="33">
        <v>100</v>
      </c>
      <c r="G350" s="51">
        <v>45915</v>
      </c>
      <c r="H350" s="363">
        <v>4</v>
      </c>
      <c r="I350" s="33">
        <v>24</v>
      </c>
      <c r="J350" s="51">
        <v>45915</v>
      </c>
      <c r="K350" s="367">
        <v>4</v>
      </c>
      <c r="L350" s="36" t="s">
        <v>378</v>
      </c>
      <c r="M350" s="228" t="b">
        <f>+ISNUMBER(PAGOS[[#This Row],[REG]])</f>
        <v>1</v>
      </c>
    </row>
    <row r="351" spans="1:13" x14ac:dyDescent="0.3">
      <c r="A351" s="50">
        <v>349</v>
      </c>
      <c r="B351" s="281" t="s">
        <v>532</v>
      </c>
      <c r="C351" s="52">
        <v>17</v>
      </c>
      <c r="D351" s="50" t="s">
        <v>299</v>
      </c>
      <c r="E351" s="203">
        <v>78</v>
      </c>
      <c r="F351" s="33">
        <v>166.67</v>
      </c>
      <c r="G351" s="51">
        <v>45915</v>
      </c>
      <c r="H351" s="363">
        <v>4</v>
      </c>
      <c r="I351" s="33">
        <v>40</v>
      </c>
      <c r="J351" s="51">
        <v>45915</v>
      </c>
      <c r="K351" s="367">
        <v>4</v>
      </c>
      <c r="L351" s="36" t="s">
        <v>378</v>
      </c>
      <c r="M351" s="228" t="b">
        <f>+ISNUMBER(PAGOS[[#This Row],[REG]])</f>
        <v>1</v>
      </c>
    </row>
    <row r="352" spans="1:13" x14ac:dyDescent="0.3">
      <c r="A352" s="50">
        <v>350</v>
      </c>
      <c r="B352" s="281" t="s">
        <v>532</v>
      </c>
      <c r="C352" s="52">
        <v>6</v>
      </c>
      <c r="D352" s="50" t="s">
        <v>24</v>
      </c>
      <c r="E352" s="203">
        <v>83</v>
      </c>
      <c r="F352" s="33">
        <v>100</v>
      </c>
      <c r="G352" s="51">
        <v>45915</v>
      </c>
      <c r="H352" s="363">
        <v>1</v>
      </c>
      <c r="I352" s="33">
        <v>24</v>
      </c>
      <c r="J352" s="51">
        <v>45915</v>
      </c>
      <c r="K352" s="367">
        <v>1</v>
      </c>
      <c r="L352" s="36" t="s">
        <v>429</v>
      </c>
      <c r="M352" s="228" t="b">
        <f>+ISNUMBER(PAGOS[[#This Row],[REG]])</f>
        <v>1</v>
      </c>
    </row>
    <row r="353" spans="1:13" x14ac:dyDescent="0.3">
      <c r="A353" s="50">
        <v>351</v>
      </c>
      <c r="B353" s="281" t="s">
        <v>532</v>
      </c>
      <c r="C353" s="52">
        <v>15</v>
      </c>
      <c r="D353" s="50" t="s">
        <v>22</v>
      </c>
      <c r="E353" s="203">
        <v>84</v>
      </c>
      <c r="F353" s="33">
        <v>100</v>
      </c>
      <c r="G353" s="51">
        <v>45915</v>
      </c>
      <c r="H353" s="363">
        <v>1</v>
      </c>
      <c r="I353" s="33">
        <v>14</v>
      </c>
      <c r="J353" s="51">
        <v>45915</v>
      </c>
      <c r="K353" s="367">
        <v>1</v>
      </c>
      <c r="L353" s="36" t="s">
        <v>419</v>
      </c>
      <c r="M353" s="228" t="b">
        <f>+ISNUMBER(PAGOS[[#This Row],[REG]])</f>
        <v>1</v>
      </c>
    </row>
    <row r="354" spans="1:13" x14ac:dyDescent="0.3">
      <c r="A354" s="50">
        <v>352</v>
      </c>
      <c r="B354" s="281" t="s">
        <v>532</v>
      </c>
      <c r="C354" s="52">
        <v>18</v>
      </c>
      <c r="D354" s="50" t="s">
        <v>300</v>
      </c>
      <c r="E354" s="203">
        <v>85</v>
      </c>
      <c r="F354" s="33">
        <v>50</v>
      </c>
      <c r="G354" s="51">
        <v>45915</v>
      </c>
      <c r="H354" s="363">
        <v>1</v>
      </c>
      <c r="I354" s="33">
        <v>4</v>
      </c>
      <c r="J354" s="51">
        <v>45915</v>
      </c>
      <c r="K354" s="367">
        <v>1</v>
      </c>
      <c r="L354" s="36" t="s">
        <v>419</v>
      </c>
      <c r="M354" s="228" t="b">
        <f>+ISNUMBER(PAGOS[[#This Row],[REG]])</f>
        <v>1</v>
      </c>
    </row>
    <row r="355" spans="1:13" x14ac:dyDescent="0.3">
      <c r="A355" s="50">
        <v>353</v>
      </c>
      <c r="B355" s="281" t="s">
        <v>532</v>
      </c>
      <c r="C355" s="52">
        <v>12</v>
      </c>
      <c r="D355" s="50" t="s">
        <v>20</v>
      </c>
      <c r="E355" s="203">
        <v>87</v>
      </c>
      <c r="F355" s="33">
        <v>110</v>
      </c>
      <c r="G355" s="51">
        <v>45915</v>
      </c>
      <c r="H355" s="363">
        <v>1</v>
      </c>
      <c r="I355" s="33">
        <v>22</v>
      </c>
      <c r="J355" s="51">
        <v>45915</v>
      </c>
      <c r="K355" s="367">
        <v>1</v>
      </c>
      <c r="L355" s="36" t="s">
        <v>419</v>
      </c>
      <c r="M355" s="228" t="b">
        <f>+ISNUMBER(PAGOS[[#This Row],[REG]])</f>
        <v>1</v>
      </c>
    </row>
    <row r="356" spans="1:13" x14ac:dyDescent="0.3">
      <c r="A356" s="50">
        <v>354</v>
      </c>
      <c r="B356" s="281" t="s">
        <v>532</v>
      </c>
      <c r="C356" s="52">
        <v>4</v>
      </c>
      <c r="D356" s="50" t="s">
        <v>12</v>
      </c>
      <c r="E356" s="203">
        <v>88</v>
      </c>
      <c r="F356" s="33">
        <v>50</v>
      </c>
      <c r="G356" s="51">
        <v>45915</v>
      </c>
      <c r="H356" s="363">
        <v>0</v>
      </c>
      <c r="I356" s="33">
        <v>2</v>
      </c>
      <c r="J356" s="51">
        <v>45915</v>
      </c>
      <c r="K356" s="367">
        <v>0</v>
      </c>
      <c r="L356" s="36" t="s">
        <v>419</v>
      </c>
      <c r="M356" s="228" t="b">
        <f>+ISNUMBER(PAGOS[[#This Row],[REG]])</f>
        <v>1</v>
      </c>
    </row>
    <row r="357" spans="1:13" x14ac:dyDescent="0.3">
      <c r="A357" s="50">
        <v>355</v>
      </c>
      <c r="B357" s="281" t="s">
        <v>532</v>
      </c>
      <c r="C357" s="52">
        <v>12</v>
      </c>
      <c r="D357" s="50" t="s">
        <v>20</v>
      </c>
      <c r="E357" s="203">
        <v>92</v>
      </c>
      <c r="F357" s="33">
        <v>50</v>
      </c>
      <c r="G357" s="51">
        <v>45915</v>
      </c>
      <c r="H357" s="363">
        <v>1</v>
      </c>
      <c r="I357" s="33">
        <v>2</v>
      </c>
      <c r="J357" s="51">
        <v>45915</v>
      </c>
      <c r="K357" s="367">
        <v>1</v>
      </c>
      <c r="L357" s="36" t="s">
        <v>419</v>
      </c>
      <c r="M357" s="228" t="b">
        <f>+ISNUMBER(PAGOS[[#This Row],[REG]])</f>
        <v>1</v>
      </c>
    </row>
    <row r="358" spans="1:13" x14ac:dyDescent="0.3">
      <c r="A358" s="50">
        <v>356</v>
      </c>
      <c r="B358" s="281" t="s">
        <v>532</v>
      </c>
      <c r="C358" s="52">
        <v>3</v>
      </c>
      <c r="D358" s="50" t="s">
        <v>13</v>
      </c>
      <c r="E358" s="203">
        <v>95</v>
      </c>
      <c r="F358" s="33">
        <v>30</v>
      </c>
      <c r="G358" s="51">
        <v>45915</v>
      </c>
      <c r="H358" s="363">
        <v>0</v>
      </c>
      <c r="I358" s="33">
        <v>1.2</v>
      </c>
      <c r="J358" s="51">
        <v>45915</v>
      </c>
      <c r="K358" s="367">
        <v>0</v>
      </c>
      <c r="L358" s="36" t="s">
        <v>429</v>
      </c>
      <c r="M358" s="228" t="b">
        <f>+ISNUMBER(PAGOS[[#This Row],[REG]])</f>
        <v>1</v>
      </c>
    </row>
    <row r="359" spans="1:13" x14ac:dyDescent="0.3">
      <c r="A359" s="50">
        <v>357</v>
      </c>
      <c r="B359" s="281" t="s">
        <v>532</v>
      </c>
      <c r="C359" s="52">
        <v>7</v>
      </c>
      <c r="D359" s="50" t="s">
        <v>355</v>
      </c>
      <c r="E359" s="203">
        <v>90</v>
      </c>
      <c r="F359" s="33">
        <v>0</v>
      </c>
      <c r="G359" s="51">
        <v>45915</v>
      </c>
      <c r="H359" s="363">
        <v>0</v>
      </c>
      <c r="I359" s="33">
        <v>2</v>
      </c>
      <c r="J359" s="51">
        <v>45915</v>
      </c>
      <c r="K359" s="367">
        <v>0</v>
      </c>
      <c r="L359" s="36" t="s">
        <v>430</v>
      </c>
      <c r="M359" s="228" t="b">
        <f>+ISNUMBER(PAGOS[[#This Row],[REG]])</f>
        <v>1</v>
      </c>
    </row>
    <row r="360" spans="1:13" x14ac:dyDescent="0.3">
      <c r="A360" s="50">
        <v>358</v>
      </c>
      <c r="B360" s="281" t="s">
        <v>532</v>
      </c>
      <c r="C360" s="52">
        <v>7</v>
      </c>
      <c r="D360" s="50" t="s">
        <v>355</v>
      </c>
      <c r="E360" s="203">
        <v>89</v>
      </c>
      <c r="F360" s="33">
        <v>0</v>
      </c>
      <c r="G360" s="51">
        <v>45915</v>
      </c>
      <c r="H360" s="363">
        <v>0</v>
      </c>
      <c r="I360" s="33">
        <v>4</v>
      </c>
      <c r="J360" s="51">
        <v>45915</v>
      </c>
      <c r="K360" s="367">
        <v>0</v>
      </c>
      <c r="L360" s="36" t="s">
        <v>430</v>
      </c>
      <c r="M360" s="228" t="b">
        <f>+ISNUMBER(PAGOS[[#This Row],[REG]])</f>
        <v>1</v>
      </c>
    </row>
    <row r="361" spans="1:13" x14ac:dyDescent="0.3">
      <c r="A361" s="50">
        <v>359</v>
      </c>
      <c r="B361" s="281" t="s">
        <v>532</v>
      </c>
      <c r="C361" s="52">
        <v>8</v>
      </c>
      <c r="D361" s="50" t="s">
        <v>16</v>
      </c>
      <c r="E361" s="203">
        <v>76</v>
      </c>
      <c r="F361" s="33">
        <v>100</v>
      </c>
      <c r="G361" s="51">
        <v>45915</v>
      </c>
      <c r="H361" s="363">
        <v>5</v>
      </c>
      <c r="I361" s="33">
        <v>0</v>
      </c>
      <c r="J361" s="51">
        <v>45915</v>
      </c>
      <c r="K361" s="367">
        <v>5</v>
      </c>
      <c r="L361" s="36" t="s">
        <v>434</v>
      </c>
      <c r="M361" s="228" t="b">
        <f>+ISNUMBER(PAGOS[[#This Row],[REG]])</f>
        <v>1</v>
      </c>
    </row>
    <row r="362" spans="1:13" x14ac:dyDescent="0.3">
      <c r="A362" s="50">
        <v>360</v>
      </c>
      <c r="B362" s="281" t="s">
        <v>531</v>
      </c>
      <c r="C362" s="52">
        <v>8</v>
      </c>
      <c r="D362" s="50" t="s">
        <v>16</v>
      </c>
      <c r="E362" s="203">
        <v>76</v>
      </c>
      <c r="F362" s="33">
        <v>0</v>
      </c>
      <c r="G362" s="51">
        <v>45915</v>
      </c>
      <c r="H362" s="363" t="s">
        <v>491</v>
      </c>
      <c r="I362" s="33">
        <v>10</v>
      </c>
      <c r="J362" s="51">
        <v>45915</v>
      </c>
      <c r="K362" s="367" t="s">
        <v>491</v>
      </c>
      <c r="L362" s="36" t="s">
        <v>433</v>
      </c>
      <c r="M362" s="228" t="b">
        <f>+ISNUMBER(PAGOS[[#This Row],[REG]])</f>
        <v>1</v>
      </c>
    </row>
    <row r="363" spans="1:13" x14ac:dyDescent="0.3">
      <c r="A363" s="50">
        <v>361</v>
      </c>
      <c r="B363" s="281" t="s">
        <v>532</v>
      </c>
      <c r="C363" s="52">
        <v>7</v>
      </c>
      <c r="D363" s="50" t="s">
        <v>355</v>
      </c>
      <c r="E363" s="203">
        <v>86</v>
      </c>
      <c r="F363" s="33">
        <v>100</v>
      </c>
      <c r="G363" s="51">
        <v>45915</v>
      </c>
      <c r="H363" s="363">
        <v>1</v>
      </c>
      <c r="I363" s="33">
        <v>8</v>
      </c>
      <c r="J363" s="51">
        <v>45915</v>
      </c>
      <c r="K363" s="367">
        <v>1</v>
      </c>
      <c r="L363" s="36" t="s">
        <v>495</v>
      </c>
      <c r="M363" s="228" t="b">
        <f>+ISNUMBER(PAGOS[[#This Row],[REG]])</f>
        <v>1</v>
      </c>
    </row>
    <row r="364" spans="1:13" x14ac:dyDescent="0.3">
      <c r="A364" s="50">
        <v>362</v>
      </c>
      <c r="B364" s="281" t="s">
        <v>532</v>
      </c>
      <c r="C364" s="52">
        <v>10</v>
      </c>
      <c r="D364" s="50" t="s">
        <v>18</v>
      </c>
      <c r="E364" s="203">
        <v>71</v>
      </c>
      <c r="F364" s="33">
        <v>40</v>
      </c>
      <c r="G364" s="51">
        <v>45930</v>
      </c>
      <c r="H364" s="363">
        <v>5</v>
      </c>
      <c r="I364" s="33">
        <v>4</v>
      </c>
      <c r="J364" s="51">
        <v>45930</v>
      </c>
      <c r="K364" s="367">
        <v>5</v>
      </c>
      <c r="L364" s="36" t="s">
        <v>436</v>
      </c>
      <c r="M364" s="228" t="b">
        <f>+ISNUMBER(PAGOS[[#This Row],[REG]])</f>
        <v>1</v>
      </c>
    </row>
    <row r="365" spans="1:13" x14ac:dyDescent="0.3">
      <c r="A365" s="50">
        <v>363</v>
      </c>
      <c r="B365" s="281" t="s">
        <v>532</v>
      </c>
      <c r="C365" s="52">
        <v>9</v>
      </c>
      <c r="D365" s="50" t="s">
        <v>17</v>
      </c>
      <c r="E365" s="203">
        <v>93</v>
      </c>
      <c r="F365" s="33">
        <v>44</v>
      </c>
      <c r="G365" s="51">
        <v>45930</v>
      </c>
      <c r="H365" s="363">
        <v>1</v>
      </c>
      <c r="I365" s="33">
        <v>2</v>
      </c>
      <c r="J365" s="51">
        <v>45930</v>
      </c>
      <c r="K365" s="367">
        <v>1</v>
      </c>
      <c r="L365" s="36" t="s">
        <v>437</v>
      </c>
      <c r="M365" s="228" t="b">
        <f>+ISNUMBER(PAGOS[[#This Row],[REG]])</f>
        <v>1</v>
      </c>
    </row>
    <row r="366" spans="1:13" x14ac:dyDescent="0.3">
      <c r="A366" s="50">
        <v>364</v>
      </c>
      <c r="B366" s="281" t="s">
        <v>532</v>
      </c>
      <c r="C366" s="52">
        <v>16</v>
      </c>
      <c r="D366" s="50" t="s">
        <v>23</v>
      </c>
      <c r="E366" s="203">
        <v>96</v>
      </c>
      <c r="F366" s="33">
        <v>50</v>
      </c>
      <c r="G366" s="51">
        <v>45937</v>
      </c>
      <c r="H366" s="363">
        <v>1</v>
      </c>
      <c r="I366" s="33">
        <v>3</v>
      </c>
      <c r="J366" s="51">
        <v>45937</v>
      </c>
      <c r="K366" s="367">
        <v>1</v>
      </c>
      <c r="L366" s="36" t="s">
        <v>419</v>
      </c>
      <c r="M366" s="228" t="b">
        <f>+ISNUMBER(PAGOS[[#This Row],[REG]])</f>
        <v>1</v>
      </c>
    </row>
    <row r="367" spans="1:13" x14ac:dyDescent="0.3">
      <c r="A367" s="50">
        <v>365</v>
      </c>
      <c r="B367" s="281" t="s">
        <v>530</v>
      </c>
      <c r="C367" s="52">
        <v>1</v>
      </c>
      <c r="D367" s="50" t="s">
        <v>70</v>
      </c>
      <c r="E367" s="203">
        <v>0</v>
      </c>
      <c r="F367" s="33">
        <v>0</v>
      </c>
      <c r="G367" s="51">
        <v>45945</v>
      </c>
      <c r="H367" s="364" t="s">
        <v>490</v>
      </c>
      <c r="I367" s="33">
        <v>1</v>
      </c>
      <c r="J367" s="51">
        <v>45945</v>
      </c>
      <c r="K367" s="368" t="s">
        <v>490</v>
      </c>
      <c r="L367" s="36" t="s">
        <v>441</v>
      </c>
      <c r="M367" s="228" t="b">
        <f>+ISNUMBER(PAGOS[[#This Row],[REG]])</f>
        <v>1</v>
      </c>
    </row>
    <row r="368" spans="1:13" x14ac:dyDescent="0.3">
      <c r="A368" s="50">
        <v>366</v>
      </c>
      <c r="B368" s="281" t="s">
        <v>532</v>
      </c>
      <c r="C368" s="52">
        <v>5</v>
      </c>
      <c r="D368" s="50" t="s">
        <v>14</v>
      </c>
      <c r="E368" s="203">
        <v>77</v>
      </c>
      <c r="F368" s="33">
        <v>100</v>
      </c>
      <c r="G368" s="51">
        <v>45945</v>
      </c>
      <c r="H368" s="363">
        <v>5</v>
      </c>
      <c r="I368" s="33">
        <v>24</v>
      </c>
      <c r="J368" s="51">
        <v>45945</v>
      </c>
      <c r="K368" s="367">
        <v>5</v>
      </c>
      <c r="L368" s="36" t="s">
        <v>436</v>
      </c>
      <c r="M368" s="228" t="b">
        <f>+ISNUMBER(PAGOS[[#This Row],[REG]])</f>
        <v>1</v>
      </c>
    </row>
    <row r="369" spans="1:13" x14ac:dyDescent="0.3">
      <c r="A369" s="50">
        <v>367</v>
      </c>
      <c r="B369" s="281" t="s">
        <v>532</v>
      </c>
      <c r="C369" s="52">
        <v>17</v>
      </c>
      <c r="D369" s="50" t="s">
        <v>299</v>
      </c>
      <c r="E369" s="203">
        <v>78</v>
      </c>
      <c r="F369" s="33">
        <v>166.67</v>
      </c>
      <c r="G369" s="51">
        <v>45945</v>
      </c>
      <c r="H369" s="363">
        <v>5</v>
      </c>
      <c r="I369" s="33">
        <v>40</v>
      </c>
      <c r="J369" s="51">
        <v>45945</v>
      </c>
      <c r="K369" s="367">
        <v>5</v>
      </c>
      <c r="L369" s="36" t="s">
        <v>436</v>
      </c>
      <c r="M369" s="228" t="b">
        <f>+ISNUMBER(PAGOS[[#This Row],[REG]])</f>
        <v>1</v>
      </c>
    </row>
    <row r="370" spans="1:13" x14ac:dyDescent="0.3">
      <c r="A370" s="50">
        <v>368</v>
      </c>
      <c r="B370" s="281" t="s">
        <v>532</v>
      </c>
      <c r="C370" s="52">
        <v>6</v>
      </c>
      <c r="D370" s="50" t="s">
        <v>24</v>
      </c>
      <c r="E370" s="203">
        <v>83</v>
      </c>
      <c r="F370" s="33">
        <v>100</v>
      </c>
      <c r="G370" s="51">
        <v>45945</v>
      </c>
      <c r="H370" s="363">
        <v>2</v>
      </c>
      <c r="I370" s="33">
        <v>24</v>
      </c>
      <c r="J370" s="51">
        <v>45945</v>
      </c>
      <c r="K370" s="367">
        <v>2</v>
      </c>
      <c r="L370" s="36" t="s">
        <v>442</v>
      </c>
      <c r="M370" s="228" t="b">
        <f>+ISNUMBER(PAGOS[[#This Row],[REG]])</f>
        <v>1</v>
      </c>
    </row>
    <row r="371" spans="1:13" x14ac:dyDescent="0.3">
      <c r="A371" s="50">
        <v>369</v>
      </c>
      <c r="B371" s="281" t="s">
        <v>532</v>
      </c>
      <c r="C371" s="52">
        <v>15</v>
      </c>
      <c r="D371" s="50" t="s">
        <v>22</v>
      </c>
      <c r="E371" s="203">
        <v>84</v>
      </c>
      <c r="F371" s="33">
        <v>100</v>
      </c>
      <c r="G371" s="51">
        <v>45945</v>
      </c>
      <c r="H371" s="363">
        <v>2</v>
      </c>
      <c r="I371" s="33">
        <v>14</v>
      </c>
      <c r="J371" s="51">
        <v>45945</v>
      </c>
      <c r="K371" s="367">
        <v>2</v>
      </c>
      <c r="L371" s="36" t="s">
        <v>442</v>
      </c>
      <c r="M371" s="228" t="b">
        <f>+ISNUMBER(PAGOS[[#This Row],[REG]])</f>
        <v>1</v>
      </c>
    </row>
    <row r="372" spans="1:13" x14ac:dyDescent="0.3">
      <c r="A372" s="50">
        <v>370</v>
      </c>
      <c r="B372" s="281" t="s">
        <v>532</v>
      </c>
      <c r="C372" s="52">
        <v>18</v>
      </c>
      <c r="D372" s="50" t="s">
        <v>300</v>
      </c>
      <c r="E372" s="203">
        <v>85</v>
      </c>
      <c r="F372" s="33">
        <v>50</v>
      </c>
      <c r="G372" s="51">
        <v>45945</v>
      </c>
      <c r="H372" s="363">
        <v>2</v>
      </c>
      <c r="I372" s="33">
        <v>4</v>
      </c>
      <c r="J372" s="51">
        <v>45945</v>
      </c>
      <c r="K372" s="367">
        <v>2</v>
      </c>
      <c r="L372" s="36" t="s">
        <v>442</v>
      </c>
      <c r="M372" s="228" t="b">
        <f>+ISNUMBER(PAGOS[[#This Row],[REG]])</f>
        <v>1</v>
      </c>
    </row>
    <row r="373" spans="1:13" x14ac:dyDescent="0.3">
      <c r="A373" s="50">
        <v>371</v>
      </c>
      <c r="B373" s="281" t="s">
        <v>532</v>
      </c>
      <c r="C373" s="52">
        <v>7</v>
      </c>
      <c r="D373" s="50" t="s">
        <v>355</v>
      </c>
      <c r="E373" s="203">
        <v>86</v>
      </c>
      <c r="F373" s="33">
        <v>100</v>
      </c>
      <c r="G373" s="51">
        <v>45945</v>
      </c>
      <c r="H373" s="363">
        <v>2</v>
      </c>
      <c r="I373" s="33">
        <v>8</v>
      </c>
      <c r="J373" s="51">
        <v>45945</v>
      </c>
      <c r="K373" s="367">
        <v>2</v>
      </c>
      <c r="L373" s="36" t="s">
        <v>442</v>
      </c>
      <c r="M373" s="228" t="b">
        <f>+ISNUMBER(PAGOS[[#This Row],[REG]])</f>
        <v>1</v>
      </c>
    </row>
    <row r="374" spans="1:13" x14ac:dyDescent="0.3">
      <c r="A374" s="50">
        <v>372</v>
      </c>
      <c r="B374" s="281" t="s">
        <v>532</v>
      </c>
      <c r="C374" s="52">
        <v>12</v>
      </c>
      <c r="D374" s="50" t="s">
        <v>20</v>
      </c>
      <c r="E374" s="203">
        <v>87</v>
      </c>
      <c r="F374" s="33">
        <v>110</v>
      </c>
      <c r="G374" s="51">
        <v>45945</v>
      </c>
      <c r="H374" s="363">
        <v>2</v>
      </c>
      <c r="I374" s="33">
        <v>22</v>
      </c>
      <c r="J374" s="51">
        <v>45945</v>
      </c>
      <c r="K374" s="367">
        <v>2</v>
      </c>
      <c r="L374" s="36" t="s">
        <v>442</v>
      </c>
      <c r="M374" s="228" t="b">
        <f>+ISNUMBER(PAGOS[[#This Row],[REG]])</f>
        <v>1</v>
      </c>
    </row>
    <row r="375" spans="1:13" x14ac:dyDescent="0.3">
      <c r="A375" s="50">
        <v>373</v>
      </c>
      <c r="B375" s="281" t="s">
        <v>532</v>
      </c>
      <c r="C375" s="52">
        <v>4</v>
      </c>
      <c r="D375" s="50" t="s">
        <v>12</v>
      </c>
      <c r="E375" s="203">
        <v>88</v>
      </c>
      <c r="F375" s="33">
        <v>50</v>
      </c>
      <c r="G375" s="51">
        <v>45945</v>
      </c>
      <c r="H375" s="363">
        <v>2</v>
      </c>
      <c r="I375" s="33">
        <v>2</v>
      </c>
      <c r="J375" s="51">
        <v>45945</v>
      </c>
      <c r="K375" s="367">
        <v>2</v>
      </c>
      <c r="L375" s="36" t="s">
        <v>442</v>
      </c>
      <c r="M375" s="228" t="b">
        <f>+ISNUMBER(PAGOS[[#This Row],[REG]])</f>
        <v>1</v>
      </c>
    </row>
    <row r="376" spans="1:13" x14ac:dyDescent="0.3">
      <c r="A376" s="50">
        <v>374</v>
      </c>
      <c r="B376" s="281" t="s">
        <v>532</v>
      </c>
      <c r="C376" s="52">
        <v>12</v>
      </c>
      <c r="D376" s="50" t="s">
        <v>20</v>
      </c>
      <c r="E376" s="203">
        <v>92</v>
      </c>
      <c r="F376" s="33">
        <v>50</v>
      </c>
      <c r="G376" s="51">
        <v>45945</v>
      </c>
      <c r="H376" s="363">
        <v>2</v>
      </c>
      <c r="I376" s="33">
        <v>2</v>
      </c>
      <c r="J376" s="51">
        <v>45945</v>
      </c>
      <c r="K376" s="367">
        <v>2</v>
      </c>
      <c r="L376" s="36" t="s">
        <v>442</v>
      </c>
      <c r="M376" s="228" t="b">
        <f>+ISNUMBER(PAGOS[[#This Row],[REG]])</f>
        <v>1</v>
      </c>
    </row>
    <row r="377" spans="1:13" x14ac:dyDescent="0.3">
      <c r="A377" s="50">
        <v>375</v>
      </c>
      <c r="B377" s="281" t="s">
        <v>532</v>
      </c>
      <c r="C377" s="52">
        <v>5</v>
      </c>
      <c r="D377" s="50" t="s">
        <v>14</v>
      </c>
      <c r="E377" s="203">
        <v>94</v>
      </c>
      <c r="F377" s="33">
        <v>100</v>
      </c>
      <c r="G377" s="51">
        <v>45945</v>
      </c>
      <c r="H377" s="363">
        <v>2</v>
      </c>
      <c r="I377" s="33">
        <v>4</v>
      </c>
      <c r="J377" s="51">
        <v>45945</v>
      </c>
      <c r="K377" s="367">
        <v>2</v>
      </c>
      <c r="L377" s="36" t="s">
        <v>443</v>
      </c>
      <c r="M377" s="228" t="b">
        <f>+ISNUMBER(PAGOS[[#This Row],[REG]])</f>
        <v>1</v>
      </c>
    </row>
    <row r="378" spans="1:13" x14ac:dyDescent="0.3">
      <c r="A378" s="50">
        <v>376</v>
      </c>
      <c r="B378" s="281" t="s">
        <v>532</v>
      </c>
      <c r="C378" s="52">
        <v>3</v>
      </c>
      <c r="D378" s="50" t="s">
        <v>13</v>
      </c>
      <c r="E378" s="203">
        <v>95</v>
      </c>
      <c r="F378" s="33">
        <v>30</v>
      </c>
      <c r="G378" s="51">
        <v>45945</v>
      </c>
      <c r="H378" s="363">
        <v>2</v>
      </c>
      <c r="I378" s="33">
        <v>1.2</v>
      </c>
      <c r="J378" s="51">
        <v>45945</v>
      </c>
      <c r="K378" s="367">
        <v>2</v>
      </c>
      <c r="L378" s="36" t="s">
        <v>442</v>
      </c>
      <c r="M378" s="228" t="b">
        <f>+ISNUMBER(PAGOS[[#This Row],[REG]])</f>
        <v>1</v>
      </c>
    </row>
    <row r="379" spans="1:13" x14ac:dyDescent="0.3">
      <c r="A379" s="50">
        <v>377</v>
      </c>
      <c r="B379" s="281" t="s">
        <v>532</v>
      </c>
      <c r="C379" s="52">
        <v>8</v>
      </c>
      <c r="D379" s="50" t="s">
        <v>356</v>
      </c>
      <c r="E379" s="203">
        <v>97</v>
      </c>
      <c r="F379" s="33">
        <v>0</v>
      </c>
      <c r="G379" s="51">
        <v>45945</v>
      </c>
      <c r="H379" s="363">
        <v>1</v>
      </c>
      <c r="I379" s="33">
        <v>14</v>
      </c>
      <c r="J379" s="51">
        <v>45945</v>
      </c>
      <c r="K379" s="367">
        <v>1</v>
      </c>
      <c r="L379" s="36" t="s">
        <v>430</v>
      </c>
      <c r="M379" s="228" t="b">
        <f>+ISNUMBER(PAGOS[[#This Row],[REG]])</f>
        <v>1</v>
      </c>
    </row>
    <row r="380" spans="1:13" x14ac:dyDescent="0.3">
      <c r="A380" s="50">
        <v>378</v>
      </c>
      <c r="B380" s="281" t="s">
        <v>532</v>
      </c>
      <c r="C380" s="52">
        <v>7</v>
      </c>
      <c r="D380" s="50" t="s">
        <v>355</v>
      </c>
      <c r="E380" s="203">
        <v>98</v>
      </c>
      <c r="F380" s="33">
        <v>300</v>
      </c>
      <c r="G380" s="51">
        <v>45945</v>
      </c>
      <c r="H380" s="363">
        <v>1</v>
      </c>
      <c r="I380" s="33">
        <v>6</v>
      </c>
      <c r="J380" s="51">
        <v>45945</v>
      </c>
      <c r="K380" s="367">
        <v>1</v>
      </c>
      <c r="L380" s="36" t="s">
        <v>419</v>
      </c>
      <c r="M380" s="228" t="b">
        <f>+ISNUMBER(PAGOS[[#This Row],[REG]])</f>
        <v>1</v>
      </c>
    </row>
    <row r="381" spans="1:13" x14ac:dyDescent="0.3">
      <c r="A381" s="50">
        <v>379</v>
      </c>
      <c r="B381" s="281" t="s">
        <v>532</v>
      </c>
      <c r="C381" s="52">
        <v>9</v>
      </c>
      <c r="D381" s="50" t="s">
        <v>17</v>
      </c>
      <c r="E381" s="203">
        <v>93</v>
      </c>
      <c r="F381" s="33">
        <v>56</v>
      </c>
      <c r="G381" s="51">
        <v>45945</v>
      </c>
      <c r="H381" s="363">
        <v>2</v>
      </c>
      <c r="I381" s="33">
        <v>2</v>
      </c>
      <c r="J381" s="51">
        <v>45945</v>
      </c>
      <c r="K381" s="367">
        <v>2</v>
      </c>
      <c r="L381" s="36" t="s">
        <v>445</v>
      </c>
      <c r="M381" s="228" t="b">
        <f>+ISNUMBER(PAGOS[[#This Row],[REG]])</f>
        <v>1</v>
      </c>
    </row>
    <row r="382" spans="1:13" x14ac:dyDescent="0.3">
      <c r="A382" s="50">
        <v>380</v>
      </c>
      <c r="B382" s="281" t="s">
        <v>532</v>
      </c>
      <c r="C382" s="52">
        <v>18</v>
      </c>
      <c r="D382" s="50" t="s">
        <v>300</v>
      </c>
      <c r="E382" s="203">
        <v>85</v>
      </c>
      <c r="F382" s="33">
        <v>50</v>
      </c>
      <c r="G382" s="51">
        <v>45945</v>
      </c>
      <c r="H382" s="363">
        <v>3</v>
      </c>
      <c r="I382" s="33">
        <v>4</v>
      </c>
      <c r="J382" s="51">
        <v>45945</v>
      </c>
      <c r="K382" s="367">
        <v>3</v>
      </c>
      <c r="L382" s="36" t="s">
        <v>447</v>
      </c>
      <c r="M382" s="228" t="b">
        <f>+ISNUMBER(PAGOS[[#This Row],[REG]])</f>
        <v>1</v>
      </c>
    </row>
    <row r="383" spans="1:13" x14ac:dyDescent="0.3">
      <c r="A383" s="50">
        <v>381</v>
      </c>
      <c r="B383" s="281" t="s">
        <v>532</v>
      </c>
      <c r="C383" s="52">
        <v>18</v>
      </c>
      <c r="D383" s="50" t="s">
        <v>300</v>
      </c>
      <c r="E383" s="203">
        <v>85</v>
      </c>
      <c r="F383" s="33">
        <v>50</v>
      </c>
      <c r="G383" s="51">
        <v>45945</v>
      </c>
      <c r="H383" s="363">
        <v>4</v>
      </c>
      <c r="I383" s="33">
        <v>0</v>
      </c>
      <c r="J383" s="51">
        <v>45945</v>
      </c>
      <c r="K383" s="367">
        <v>4</v>
      </c>
      <c r="L383" s="36" t="s">
        <v>448</v>
      </c>
      <c r="M383" s="228" t="b">
        <f>+ISNUMBER(PAGOS[[#This Row],[REG]])</f>
        <v>1</v>
      </c>
    </row>
    <row r="384" spans="1:13" x14ac:dyDescent="0.3">
      <c r="A384" s="50">
        <v>382</v>
      </c>
      <c r="B384" s="281" t="s">
        <v>531</v>
      </c>
      <c r="C384" s="52">
        <v>18</v>
      </c>
      <c r="D384" s="50" t="s">
        <v>300</v>
      </c>
      <c r="E384" s="203">
        <v>85</v>
      </c>
      <c r="F384" s="33">
        <v>0</v>
      </c>
      <c r="G384" s="51">
        <v>45945</v>
      </c>
      <c r="H384" s="363" t="s">
        <v>491</v>
      </c>
      <c r="I384" s="33">
        <v>4</v>
      </c>
      <c r="J384" s="51">
        <v>45945</v>
      </c>
      <c r="K384" s="367" t="s">
        <v>491</v>
      </c>
      <c r="L384" s="36" t="s">
        <v>449</v>
      </c>
      <c r="M384" s="228" t="b">
        <f>+ISNUMBER(PAGOS[[#This Row],[REG]])</f>
        <v>1</v>
      </c>
    </row>
    <row r="385" spans="1:13" x14ac:dyDescent="0.3">
      <c r="A385" s="50">
        <v>383</v>
      </c>
      <c r="B385" s="281" t="s">
        <v>531</v>
      </c>
      <c r="C385" s="52">
        <v>2</v>
      </c>
      <c r="D385" s="50" t="s">
        <v>71</v>
      </c>
      <c r="E385" s="203">
        <v>0</v>
      </c>
      <c r="F385" s="33">
        <v>17.920000000000002</v>
      </c>
      <c r="G385" s="51">
        <v>45950</v>
      </c>
      <c r="H385" s="363" t="s">
        <v>491</v>
      </c>
      <c r="I385" s="33">
        <v>0</v>
      </c>
      <c r="J385" s="51">
        <v>45950</v>
      </c>
      <c r="K385" s="367" t="s">
        <v>491</v>
      </c>
      <c r="L385" s="36" t="s">
        <v>453</v>
      </c>
      <c r="M385" s="228" t="b">
        <f>+ISNUMBER(PAGOS[[#This Row],[REG]])</f>
        <v>1</v>
      </c>
    </row>
    <row r="386" spans="1:13" x14ac:dyDescent="0.3">
      <c r="A386" s="50">
        <v>384</v>
      </c>
      <c r="B386" s="281" t="s">
        <v>532</v>
      </c>
      <c r="C386" s="52">
        <v>16</v>
      </c>
      <c r="D386" s="50" t="s">
        <v>23</v>
      </c>
      <c r="E386" s="203">
        <v>96</v>
      </c>
      <c r="F386" s="33">
        <v>50</v>
      </c>
      <c r="G386" s="51">
        <v>45966</v>
      </c>
      <c r="H386" s="363">
        <v>1</v>
      </c>
      <c r="I386" s="33">
        <v>3</v>
      </c>
      <c r="J386" s="51">
        <v>45966</v>
      </c>
      <c r="K386" s="367">
        <v>1</v>
      </c>
      <c r="L386" s="36" t="s">
        <v>442</v>
      </c>
      <c r="M386" s="228" t="b">
        <f>+ISNUMBER(PAGOS[[#This Row],[REG]])</f>
        <v>1</v>
      </c>
    </row>
    <row r="387" spans="1:13" x14ac:dyDescent="0.3">
      <c r="A387" s="50">
        <v>385</v>
      </c>
      <c r="B387" s="281" t="s">
        <v>532</v>
      </c>
      <c r="C387" s="52">
        <v>5</v>
      </c>
      <c r="D387" s="50" t="s">
        <v>14</v>
      </c>
      <c r="E387" s="203">
        <v>77</v>
      </c>
      <c r="F387" s="33">
        <v>100</v>
      </c>
      <c r="G387" s="51">
        <v>45976</v>
      </c>
      <c r="H387" s="363">
        <v>6</v>
      </c>
      <c r="I387" s="33">
        <v>24</v>
      </c>
      <c r="J387" s="51">
        <v>45976</v>
      </c>
      <c r="K387" s="367">
        <v>6</v>
      </c>
      <c r="L387" s="36" t="s">
        <v>455</v>
      </c>
      <c r="M387" s="228" t="b">
        <f>+ISNUMBER(PAGOS[[#This Row],[REG]])</f>
        <v>1</v>
      </c>
    </row>
    <row r="388" spans="1:13" x14ac:dyDescent="0.3">
      <c r="A388" s="50">
        <v>386</v>
      </c>
      <c r="B388" s="281" t="s">
        <v>532</v>
      </c>
      <c r="C388" s="52">
        <v>17</v>
      </c>
      <c r="D388" s="50" t="s">
        <v>299</v>
      </c>
      <c r="E388" s="203">
        <v>78</v>
      </c>
      <c r="F388" s="33">
        <v>166.67</v>
      </c>
      <c r="G388" s="51">
        <v>45976</v>
      </c>
      <c r="H388" s="363">
        <v>6</v>
      </c>
      <c r="I388" s="33">
        <v>40</v>
      </c>
      <c r="J388" s="51">
        <v>45976</v>
      </c>
      <c r="K388" s="367">
        <v>6</v>
      </c>
      <c r="L388" s="36" t="s">
        <v>455</v>
      </c>
      <c r="M388" s="228" t="b">
        <f>+ISNUMBER(PAGOS[[#This Row],[REG]])</f>
        <v>1</v>
      </c>
    </row>
    <row r="389" spans="1:13" x14ac:dyDescent="0.3">
      <c r="A389" s="50">
        <v>387</v>
      </c>
      <c r="B389" s="281" t="s">
        <v>532</v>
      </c>
      <c r="C389" s="52">
        <v>6</v>
      </c>
      <c r="D389" s="50" t="s">
        <v>24</v>
      </c>
      <c r="E389" s="203">
        <v>83</v>
      </c>
      <c r="F389" s="33">
        <v>100</v>
      </c>
      <c r="G389" s="51">
        <v>45976</v>
      </c>
      <c r="H389" s="363">
        <v>3</v>
      </c>
      <c r="I389" s="33">
        <v>24</v>
      </c>
      <c r="J389" s="51">
        <v>45976</v>
      </c>
      <c r="K389" s="367">
        <v>3</v>
      </c>
      <c r="L389" s="36" t="s">
        <v>379</v>
      </c>
      <c r="M389" s="228" t="b">
        <f>+ISNUMBER(PAGOS[[#This Row],[REG]])</f>
        <v>1</v>
      </c>
    </row>
    <row r="390" spans="1:13" x14ac:dyDescent="0.3">
      <c r="A390" s="50">
        <v>388</v>
      </c>
      <c r="B390" s="281" t="s">
        <v>532</v>
      </c>
      <c r="C390" s="52">
        <v>15</v>
      </c>
      <c r="D390" s="50" t="s">
        <v>22</v>
      </c>
      <c r="E390" s="203">
        <v>84</v>
      </c>
      <c r="F390" s="33">
        <v>100</v>
      </c>
      <c r="G390" s="51">
        <v>45976</v>
      </c>
      <c r="H390" s="363">
        <v>3</v>
      </c>
      <c r="I390" s="33">
        <v>14</v>
      </c>
      <c r="J390" s="51">
        <v>45976</v>
      </c>
      <c r="K390" s="367">
        <v>3</v>
      </c>
      <c r="L390" s="36" t="s">
        <v>379</v>
      </c>
      <c r="M390" s="228" t="b">
        <f>+ISNUMBER(PAGOS[[#This Row],[REG]])</f>
        <v>1</v>
      </c>
    </row>
    <row r="391" spans="1:13" x14ac:dyDescent="0.3">
      <c r="A391" s="50">
        <v>389</v>
      </c>
      <c r="B391" s="281" t="s">
        <v>532</v>
      </c>
      <c r="C391" s="52">
        <v>7</v>
      </c>
      <c r="D391" s="50" t="s">
        <v>355</v>
      </c>
      <c r="E391" s="203">
        <v>86</v>
      </c>
      <c r="F391" s="33">
        <v>100</v>
      </c>
      <c r="G391" s="51">
        <v>45976</v>
      </c>
      <c r="H391" s="363">
        <v>3</v>
      </c>
      <c r="I391" s="33">
        <v>8</v>
      </c>
      <c r="J391" s="51">
        <v>45976</v>
      </c>
      <c r="K391" s="367">
        <v>3</v>
      </c>
      <c r="L391" s="36" t="s">
        <v>379</v>
      </c>
      <c r="M391" s="228" t="b">
        <f>+ISNUMBER(PAGOS[[#This Row],[REG]])</f>
        <v>1</v>
      </c>
    </row>
    <row r="392" spans="1:13" x14ac:dyDescent="0.3">
      <c r="A392" s="50">
        <v>390</v>
      </c>
      <c r="B392" s="281" t="s">
        <v>532</v>
      </c>
      <c r="C392" s="52">
        <v>8</v>
      </c>
      <c r="D392" s="50" t="s">
        <v>356</v>
      </c>
      <c r="E392" s="203">
        <v>97</v>
      </c>
      <c r="F392" s="33">
        <v>700</v>
      </c>
      <c r="G392" s="51">
        <v>45976</v>
      </c>
      <c r="H392" s="363">
        <v>2</v>
      </c>
      <c r="I392" s="33">
        <v>56</v>
      </c>
      <c r="J392" s="51">
        <v>45976</v>
      </c>
      <c r="K392" s="367">
        <v>2</v>
      </c>
      <c r="L392" s="36" t="s">
        <v>456</v>
      </c>
      <c r="M392" s="228" t="b">
        <f>+ISNUMBER(PAGOS[[#This Row],[REG]])</f>
        <v>1</v>
      </c>
    </row>
    <row r="393" spans="1:13" x14ac:dyDescent="0.3">
      <c r="A393" s="50">
        <v>391</v>
      </c>
      <c r="B393" s="281" t="s">
        <v>532</v>
      </c>
      <c r="C393" s="52">
        <v>18</v>
      </c>
      <c r="D393" s="50" t="s">
        <v>300</v>
      </c>
      <c r="E393" s="203">
        <v>101</v>
      </c>
      <c r="F393" s="33">
        <v>100</v>
      </c>
      <c r="G393" s="51">
        <v>45976</v>
      </c>
      <c r="H393" s="363">
        <v>1</v>
      </c>
      <c r="I393" s="33">
        <v>8</v>
      </c>
      <c r="J393" s="51">
        <v>45976</v>
      </c>
      <c r="K393" s="367">
        <v>1</v>
      </c>
      <c r="L393" s="36" t="s">
        <v>419</v>
      </c>
      <c r="M393" s="228" t="b">
        <f>+ISNUMBER(PAGOS[[#This Row],[REG]])</f>
        <v>1</v>
      </c>
    </row>
    <row r="394" spans="1:13" x14ac:dyDescent="0.3">
      <c r="A394" s="50">
        <v>392</v>
      </c>
      <c r="B394" s="281" t="s">
        <v>532</v>
      </c>
      <c r="C394" s="52">
        <v>12</v>
      </c>
      <c r="D394" s="50" t="s">
        <v>20</v>
      </c>
      <c r="E394" s="203">
        <v>87</v>
      </c>
      <c r="F394" s="33">
        <v>110</v>
      </c>
      <c r="G394" s="51">
        <v>45976</v>
      </c>
      <c r="H394" s="363">
        <v>3</v>
      </c>
      <c r="I394" s="33">
        <v>22</v>
      </c>
      <c r="J394" s="51">
        <v>45976</v>
      </c>
      <c r="K394" s="367">
        <v>3</v>
      </c>
      <c r="L394" s="36" t="s">
        <v>457</v>
      </c>
      <c r="M394" s="228" t="b">
        <f>+ISNUMBER(PAGOS[[#This Row],[REG]])</f>
        <v>1</v>
      </c>
    </row>
    <row r="395" spans="1:13" x14ac:dyDescent="0.3">
      <c r="A395" s="50">
        <v>393</v>
      </c>
      <c r="B395" s="281" t="s">
        <v>531</v>
      </c>
      <c r="C395" s="52">
        <v>2</v>
      </c>
      <c r="D395" s="50" t="s">
        <v>71</v>
      </c>
      <c r="E395" s="203">
        <v>0</v>
      </c>
      <c r="F395" s="33">
        <v>66.25</v>
      </c>
      <c r="G395" s="51">
        <v>45976</v>
      </c>
      <c r="H395" s="363" t="s">
        <v>491</v>
      </c>
      <c r="I395" s="33">
        <v>0</v>
      </c>
      <c r="J395" s="51">
        <v>45976</v>
      </c>
      <c r="K395" s="367" t="s">
        <v>491</v>
      </c>
      <c r="L395" s="36" t="s">
        <v>460</v>
      </c>
      <c r="M395" s="228" t="b">
        <f>+ISNUMBER(PAGOS[[#This Row],[REG]])</f>
        <v>1</v>
      </c>
    </row>
    <row r="396" spans="1:13" x14ac:dyDescent="0.3">
      <c r="A396" s="50">
        <v>394</v>
      </c>
      <c r="B396" s="281" t="s">
        <v>532</v>
      </c>
      <c r="C396" s="52">
        <v>10</v>
      </c>
      <c r="D396" s="50" t="s">
        <v>18</v>
      </c>
      <c r="E396" s="203">
        <v>100</v>
      </c>
      <c r="F396" s="33">
        <v>50</v>
      </c>
      <c r="G396" s="51">
        <v>45978</v>
      </c>
      <c r="H396" s="363">
        <v>1</v>
      </c>
      <c r="I396" s="33">
        <v>0</v>
      </c>
      <c r="J396" s="51">
        <v>45978</v>
      </c>
      <c r="K396" s="367">
        <v>1</v>
      </c>
      <c r="L396" s="36" t="s">
        <v>461</v>
      </c>
      <c r="M396" s="228" t="b">
        <f>+ISNUMBER(PAGOS[[#This Row],[REG]])</f>
        <v>1</v>
      </c>
    </row>
    <row r="397" spans="1:13" x14ac:dyDescent="0.3">
      <c r="A397" s="50">
        <v>395</v>
      </c>
      <c r="B397" s="281" t="s">
        <v>532</v>
      </c>
      <c r="C397" s="52">
        <v>16</v>
      </c>
      <c r="D397" s="50" t="s">
        <v>23</v>
      </c>
      <c r="E397" s="203">
        <v>99</v>
      </c>
      <c r="F397" s="33">
        <v>200</v>
      </c>
      <c r="G397" s="51">
        <v>45978</v>
      </c>
      <c r="H397" s="363">
        <v>1</v>
      </c>
      <c r="I397" s="33">
        <v>12</v>
      </c>
      <c r="J397" s="51">
        <v>45978</v>
      </c>
      <c r="K397" s="367">
        <v>1</v>
      </c>
      <c r="L397" s="36" t="s">
        <v>462</v>
      </c>
      <c r="M397" s="228" t="b">
        <f>+ISNUMBER(PAGOS[[#This Row],[REG]])</f>
        <v>1</v>
      </c>
    </row>
    <row r="398" spans="1:13" x14ac:dyDescent="0.3">
      <c r="A398" s="50">
        <v>396</v>
      </c>
      <c r="B398" s="281" t="s">
        <v>531</v>
      </c>
      <c r="C398" s="52">
        <v>2</v>
      </c>
      <c r="D398" s="50" t="s">
        <v>71</v>
      </c>
      <c r="E398" s="203">
        <v>0</v>
      </c>
      <c r="F398" s="33">
        <v>160</v>
      </c>
      <c r="G398" s="51">
        <v>45983</v>
      </c>
      <c r="H398" s="363" t="s">
        <v>491</v>
      </c>
      <c r="I398" s="33">
        <v>0</v>
      </c>
      <c r="J398" s="51">
        <v>45983</v>
      </c>
      <c r="K398" s="367" t="s">
        <v>491</v>
      </c>
      <c r="L398" s="36" t="s">
        <v>463</v>
      </c>
      <c r="M398" s="228" t="b">
        <f>+ISNUMBER(PAGOS[[#This Row],[REG]])</f>
        <v>1</v>
      </c>
    </row>
    <row r="399" spans="1:13" x14ac:dyDescent="0.3">
      <c r="A399" s="50">
        <v>397</v>
      </c>
      <c r="B399" s="281" t="s">
        <v>532</v>
      </c>
      <c r="C399" s="52">
        <v>16</v>
      </c>
      <c r="D399" s="50" t="s">
        <v>23</v>
      </c>
      <c r="E399" s="203">
        <v>96</v>
      </c>
      <c r="F399" s="33">
        <v>50</v>
      </c>
      <c r="G399" s="51">
        <v>46000</v>
      </c>
      <c r="H399" s="363">
        <v>3</v>
      </c>
      <c r="I399" s="33">
        <v>3</v>
      </c>
      <c r="J399" s="51">
        <v>46000</v>
      </c>
      <c r="K399" s="367">
        <v>3</v>
      </c>
      <c r="L399" s="36" t="s">
        <v>379</v>
      </c>
      <c r="M399" s="228" t="b">
        <f>+ISNUMBER(PAGOS[[#This Row],[REG]])</f>
        <v>1</v>
      </c>
    </row>
    <row r="400" spans="1:13" x14ac:dyDescent="0.3">
      <c r="A400" s="50">
        <v>398</v>
      </c>
      <c r="B400" s="281" t="s">
        <v>531</v>
      </c>
      <c r="C400" s="52">
        <v>2</v>
      </c>
      <c r="D400" s="50" t="s">
        <v>71</v>
      </c>
      <c r="E400" s="203">
        <v>0</v>
      </c>
      <c r="F400" s="33">
        <v>624.14</v>
      </c>
      <c r="G400" s="51">
        <v>46003</v>
      </c>
      <c r="H400" s="363" t="s">
        <v>491</v>
      </c>
      <c r="I400" s="33">
        <v>0</v>
      </c>
      <c r="J400" s="51">
        <v>46003</v>
      </c>
      <c r="K400" s="367" t="s">
        <v>491</v>
      </c>
      <c r="L400" s="36" t="s">
        <v>464</v>
      </c>
      <c r="M400" s="228" t="b">
        <f>+ISNUMBER(PAGOS[[#This Row],[REG]])</f>
        <v>1</v>
      </c>
    </row>
    <row r="401" spans="1:13" x14ac:dyDescent="0.3">
      <c r="A401" s="50">
        <v>399</v>
      </c>
      <c r="B401" s="281" t="s">
        <v>530</v>
      </c>
      <c r="C401" s="52">
        <v>1</v>
      </c>
      <c r="D401" s="50" t="s">
        <v>70</v>
      </c>
      <c r="E401" s="203">
        <v>0</v>
      </c>
      <c r="F401" s="33">
        <v>0</v>
      </c>
      <c r="G401" s="51">
        <v>46008</v>
      </c>
      <c r="H401" s="364" t="s">
        <v>490</v>
      </c>
      <c r="I401" s="33">
        <v>10</v>
      </c>
      <c r="J401" s="51">
        <v>46008</v>
      </c>
      <c r="K401" s="368" t="s">
        <v>490</v>
      </c>
      <c r="L401" s="36" t="s">
        <v>470</v>
      </c>
      <c r="M401" s="228" t="b">
        <f>+ISNUMBER(PAGOS[[#This Row],[REG]])</f>
        <v>1</v>
      </c>
    </row>
    <row r="402" spans="1:13" x14ac:dyDescent="0.3">
      <c r="A402" s="50">
        <v>400</v>
      </c>
      <c r="B402" s="281" t="s">
        <v>532</v>
      </c>
      <c r="C402" s="52">
        <v>5</v>
      </c>
      <c r="D402" s="50" t="s">
        <v>14</v>
      </c>
      <c r="E402" s="203">
        <v>77</v>
      </c>
      <c r="F402" s="33">
        <v>100</v>
      </c>
      <c r="G402" s="51">
        <v>46008</v>
      </c>
      <c r="H402" s="363">
        <v>7</v>
      </c>
      <c r="I402" s="33">
        <v>24</v>
      </c>
      <c r="J402" s="51">
        <v>46008</v>
      </c>
      <c r="K402" s="367">
        <v>7</v>
      </c>
      <c r="L402" s="36" t="s">
        <v>377</v>
      </c>
      <c r="M402" s="228" t="b">
        <f>+ISNUMBER(PAGOS[[#This Row],[REG]])</f>
        <v>1</v>
      </c>
    </row>
    <row r="403" spans="1:13" x14ac:dyDescent="0.3">
      <c r="A403" s="50">
        <v>401</v>
      </c>
      <c r="B403" s="281" t="s">
        <v>532</v>
      </c>
      <c r="C403" s="52">
        <v>17</v>
      </c>
      <c r="D403" s="50" t="s">
        <v>299</v>
      </c>
      <c r="E403" s="203">
        <v>78</v>
      </c>
      <c r="F403" s="33">
        <v>166.67</v>
      </c>
      <c r="G403" s="51">
        <v>46008</v>
      </c>
      <c r="H403" s="363">
        <v>7</v>
      </c>
      <c r="I403" s="33">
        <v>40</v>
      </c>
      <c r="J403" s="51">
        <v>46008</v>
      </c>
      <c r="K403" s="367">
        <v>7</v>
      </c>
      <c r="L403" s="36" t="s">
        <v>429</v>
      </c>
      <c r="M403" s="228" t="b">
        <f>+ISNUMBER(PAGOS[[#This Row],[REG]])</f>
        <v>1</v>
      </c>
    </row>
    <row r="404" spans="1:13" x14ac:dyDescent="0.3">
      <c r="A404" s="50">
        <v>402</v>
      </c>
      <c r="B404" s="281" t="s">
        <v>532</v>
      </c>
      <c r="C404" s="52">
        <v>6</v>
      </c>
      <c r="D404" s="50" t="s">
        <v>24</v>
      </c>
      <c r="E404" s="203">
        <v>83</v>
      </c>
      <c r="F404" s="33">
        <v>100</v>
      </c>
      <c r="G404" s="51">
        <v>46008</v>
      </c>
      <c r="H404" s="363">
        <v>4</v>
      </c>
      <c r="I404" s="33">
        <v>24</v>
      </c>
      <c r="J404" s="51">
        <v>46008</v>
      </c>
      <c r="K404" s="367">
        <v>4</v>
      </c>
      <c r="L404" s="36" t="s">
        <v>378</v>
      </c>
      <c r="M404" s="228" t="b">
        <f>+ISNUMBER(PAGOS[[#This Row],[REG]])</f>
        <v>1</v>
      </c>
    </row>
    <row r="405" spans="1:13" x14ac:dyDescent="0.3">
      <c r="A405" s="50">
        <v>403</v>
      </c>
      <c r="B405" s="281" t="s">
        <v>532</v>
      </c>
      <c r="C405" s="52">
        <v>15</v>
      </c>
      <c r="D405" s="50" t="s">
        <v>22</v>
      </c>
      <c r="E405" s="203">
        <v>84</v>
      </c>
      <c r="F405" s="33">
        <v>100</v>
      </c>
      <c r="G405" s="51">
        <v>46008</v>
      </c>
      <c r="H405" s="363">
        <v>4</v>
      </c>
      <c r="I405" s="33">
        <v>14</v>
      </c>
      <c r="J405" s="51">
        <v>46008</v>
      </c>
      <c r="K405" s="367">
        <v>4</v>
      </c>
      <c r="L405" s="36" t="s">
        <v>378</v>
      </c>
      <c r="M405" s="228" t="b">
        <f>+ISNUMBER(PAGOS[[#This Row],[REG]])</f>
        <v>1</v>
      </c>
    </row>
    <row r="406" spans="1:13" x14ac:dyDescent="0.3">
      <c r="A406" s="50">
        <v>404</v>
      </c>
      <c r="B406" s="281" t="s">
        <v>532</v>
      </c>
      <c r="C406" s="52">
        <v>7</v>
      </c>
      <c r="D406" s="50" t="s">
        <v>355</v>
      </c>
      <c r="E406" s="203">
        <v>86</v>
      </c>
      <c r="F406" s="33">
        <v>100</v>
      </c>
      <c r="G406" s="51">
        <v>46008</v>
      </c>
      <c r="H406" s="363">
        <v>4</v>
      </c>
      <c r="I406" s="33">
        <v>8</v>
      </c>
      <c r="J406" s="51">
        <v>46008</v>
      </c>
      <c r="K406" s="367">
        <v>4</v>
      </c>
      <c r="L406" s="36" t="s">
        <v>378</v>
      </c>
      <c r="M406" s="228" t="b">
        <f>+ISNUMBER(PAGOS[[#This Row],[REG]])</f>
        <v>1</v>
      </c>
    </row>
    <row r="407" spans="1:13" x14ac:dyDescent="0.3">
      <c r="A407" s="50">
        <v>405</v>
      </c>
      <c r="B407" s="281" t="s">
        <v>532</v>
      </c>
      <c r="C407" s="52">
        <v>12</v>
      </c>
      <c r="D407" s="50" t="s">
        <v>20</v>
      </c>
      <c r="E407" s="203">
        <v>87</v>
      </c>
      <c r="F407" s="33">
        <v>110</v>
      </c>
      <c r="G407" s="51">
        <v>46008</v>
      </c>
      <c r="H407" s="363">
        <v>4</v>
      </c>
      <c r="I407" s="33">
        <v>22</v>
      </c>
      <c r="J407" s="51">
        <v>46008</v>
      </c>
      <c r="K407" s="367">
        <v>4</v>
      </c>
      <c r="L407" s="36" t="s">
        <v>429</v>
      </c>
      <c r="M407" s="228" t="b">
        <f>+ISNUMBER(PAGOS[[#This Row],[REG]])</f>
        <v>1</v>
      </c>
    </row>
    <row r="408" spans="1:13" x14ac:dyDescent="0.3">
      <c r="A408" s="50">
        <v>406</v>
      </c>
      <c r="B408" s="281" t="s">
        <v>532</v>
      </c>
      <c r="C408" s="52">
        <v>10</v>
      </c>
      <c r="D408" s="50" t="s">
        <v>18</v>
      </c>
      <c r="E408" s="203">
        <v>100</v>
      </c>
      <c r="F408" s="33">
        <v>50</v>
      </c>
      <c r="G408" s="51">
        <v>46008</v>
      </c>
      <c r="H408" s="363">
        <v>2</v>
      </c>
      <c r="I408" s="33">
        <v>6</v>
      </c>
      <c r="J408" s="51">
        <v>46008</v>
      </c>
      <c r="K408" s="367">
        <v>2</v>
      </c>
      <c r="L408" s="36" t="s">
        <v>442</v>
      </c>
      <c r="M408" s="228" t="b">
        <f>+ISNUMBER(PAGOS[[#This Row],[REG]])</f>
        <v>1</v>
      </c>
    </row>
    <row r="409" spans="1:13" x14ac:dyDescent="0.3">
      <c r="A409" s="50">
        <v>407</v>
      </c>
      <c r="B409" s="281" t="s">
        <v>532</v>
      </c>
      <c r="C409" s="52">
        <v>18</v>
      </c>
      <c r="D409" s="50" t="s">
        <v>300</v>
      </c>
      <c r="E409" s="203">
        <v>101</v>
      </c>
      <c r="F409" s="33">
        <v>100</v>
      </c>
      <c r="G409" s="51">
        <v>46008</v>
      </c>
      <c r="H409" s="363">
        <v>2</v>
      </c>
      <c r="I409" s="33">
        <v>8</v>
      </c>
      <c r="J409" s="51">
        <v>46008</v>
      </c>
      <c r="K409" s="367">
        <v>2</v>
      </c>
      <c r="L409" s="36" t="s">
        <v>442</v>
      </c>
      <c r="M409" s="228" t="b">
        <f>+ISNUMBER(PAGOS[[#This Row],[REG]])</f>
        <v>1</v>
      </c>
    </row>
    <row r="410" spans="1:13" x14ac:dyDescent="0.3">
      <c r="A410" s="50">
        <v>408</v>
      </c>
      <c r="B410" s="281" t="s">
        <v>532</v>
      </c>
      <c r="C410" s="52">
        <v>13</v>
      </c>
      <c r="D410" s="50" t="s">
        <v>301</v>
      </c>
      <c r="E410" s="203">
        <v>103</v>
      </c>
      <c r="F410" s="33">
        <v>100</v>
      </c>
      <c r="G410" s="51">
        <v>46008</v>
      </c>
      <c r="H410" s="363">
        <v>1</v>
      </c>
      <c r="I410" s="33">
        <v>20</v>
      </c>
      <c r="J410" s="51">
        <v>46008</v>
      </c>
      <c r="K410" s="367">
        <v>1</v>
      </c>
      <c r="L410" s="36" t="s">
        <v>419</v>
      </c>
      <c r="M410" s="228" t="b">
        <f>+ISNUMBER(PAGOS[[#This Row],[REG]])</f>
        <v>1</v>
      </c>
    </row>
    <row r="411" spans="1:13" x14ac:dyDescent="0.3">
      <c r="A411" s="50">
        <v>409</v>
      </c>
      <c r="B411" s="281" t="s">
        <v>532</v>
      </c>
      <c r="C411" s="52">
        <v>11</v>
      </c>
      <c r="D411" s="50" t="s">
        <v>19</v>
      </c>
      <c r="E411" s="203">
        <v>104</v>
      </c>
      <c r="F411" s="33">
        <v>33.33</v>
      </c>
      <c r="G411" s="51">
        <v>46008</v>
      </c>
      <c r="H411" s="363">
        <v>1</v>
      </c>
      <c r="I411" s="33">
        <v>4</v>
      </c>
      <c r="J411" s="51">
        <v>46008</v>
      </c>
      <c r="K411" s="367">
        <v>1</v>
      </c>
      <c r="L411" s="36" t="s">
        <v>419</v>
      </c>
      <c r="M411" s="228" t="b">
        <f>+ISNUMBER(PAGOS[[#This Row],[REG]])</f>
        <v>1</v>
      </c>
    </row>
    <row r="412" spans="1:13" x14ac:dyDescent="0.3">
      <c r="A412" s="50">
        <v>410</v>
      </c>
      <c r="B412" s="281" t="s">
        <v>532</v>
      </c>
      <c r="C412" s="52">
        <v>18</v>
      </c>
      <c r="D412" s="50" t="s">
        <v>300</v>
      </c>
      <c r="E412" s="203">
        <v>101</v>
      </c>
      <c r="F412" s="33">
        <v>200</v>
      </c>
      <c r="G412" s="51">
        <v>46008</v>
      </c>
      <c r="H412" s="363">
        <v>3</v>
      </c>
      <c r="I412" s="33">
        <v>0</v>
      </c>
      <c r="J412" s="51">
        <v>46008</v>
      </c>
      <c r="K412" s="367">
        <v>3</v>
      </c>
      <c r="L412" s="36" t="s">
        <v>473</v>
      </c>
      <c r="M412" s="228" t="b">
        <f>+ISNUMBER(PAGOS[[#This Row],[REG]])</f>
        <v>1</v>
      </c>
    </row>
    <row r="413" spans="1:13" x14ac:dyDescent="0.3">
      <c r="A413" s="50">
        <v>411</v>
      </c>
      <c r="B413" s="281" t="s">
        <v>531</v>
      </c>
      <c r="C413" s="52">
        <v>18</v>
      </c>
      <c r="D413" s="50" t="s">
        <v>300</v>
      </c>
      <c r="E413" s="203">
        <v>101</v>
      </c>
      <c r="F413" s="33">
        <v>0</v>
      </c>
      <c r="G413" s="51">
        <v>46008</v>
      </c>
      <c r="H413" s="363" t="s">
        <v>491</v>
      </c>
      <c r="I413" s="33">
        <v>16</v>
      </c>
      <c r="J413" s="51">
        <v>46008</v>
      </c>
      <c r="K413" s="367" t="s">
        <v>491</v>
      </c>
      <c r="L413" s="36" t="s">
        <v>473</v>
      </c>
      <c r="M413" s="228" t="b">
        <f>+ISNUMBER(PAGOS[[#This Row],[REG]])</f>
        <v>1</v>
      </c>
    </row>
    <row r="414" spans="1:13" x14ac:dyDescent="0.3">
      <c r="A414" s="50">
        <v>412</v>
      </c>
      <c r="B414" s="281" t="s">
        <v>532</v>
      </c>
      <c r="C414" s="52">
        <v>5</v>
      </c>
      <c r="D414" s="50" t="s">
        <v>14</v>
      </c>
      <c r="E414" s="203">
        <v>77</v>
      </c>
      <c r="F414" s="33">
        <v>100</v>
      </c>
      <c r="G414" s="51">
        <v>46037</v>
      </c>
      <c r="H414" s="363">
        <v>8</v>
      </c>
      <c r="I414" s="33">
        <v>24</v>
      </c>
      <c r="J414" s="51">
        <v>46037</v>
      </c>
      <c r="K414" s="367">
        <v>8</v>
      </c>
      <c r="L414" s="36" t="s">
        <v>376</v>
      </c>
      <c r="M414" s="228" t="b">
        <f>+ISNUMBER(PAGOS[[#This Row],[REG]])</f>
        <v>1</v>
      </c>
    </row>
    <row r="415" spans="1:13" x14ac:dyDescent="0.3">
      <c r="A415" s="50">
        <v>413</v>
      </c>
      <c r="B415" s="281" t="s">
        <v>532</v>
      </c>
      <c r="C415" s="52">
        <v>17</v>
      </c>
      <c r="D415" s="50" t="s">
        <v>299</v>
      </c>
      <c r="E415" s="203">
        <v>78</v>
      </c>
      <c r="F415" s="33">
        <v>166.67</v>
      </c>
      <c r="G415" s="51">
        <v>46037</v>
      </c>
      <c r="H415" s="363">
        <v>8</v>
      </c>
      <c r="I415" s="33">
        <v>40</v>
      </c>
      <c r="J415" s="51">
        <v>46037</v>
      </c>
      <c r="K415" s="367">
        <v>8</v>
      </c>
      <c r="L415" s="36" t="s">
        <v>376</v>
      </c>
      <c r="M415" s="228" t="b">
        <f>+ISNUMBER(PAGOS[[#This Row],[REG]])</f>
        <v>1</v>
      </c>
    </row>
    <row r="416" spans="1:13" x14ac:dyDescent="0.3">
      <c r="A416" s="50">
        <v>414</v>
      </c>
      <c r="B416" s="281" t="s">
        <v>532</v>
      </c>
      <c r="C416" s="52">
        <v>6</v>
      </c>
      <c r="D416" s="50" t="s">
        <v>24</v>
      </c>
      <c r="E416" s="203">
        <v>83</v>
      </c>
      <c r="F416" s="33">
        <v>100</v>
      </c>
      <c r="G416" s="51">
        <v>46037</v>
      </c>
      <c r="H416" s="363">
        <v>5</v>
      </c>
      <c r="I416" s="33">
        <v>24</v>
      </c>
      <c r="J416" s="51">
        <v>46037</v>
      </c>
      <c r="K416" s="367">
        <v>5</v>
      </c>
      <c r="L416" s="36" t="s">
        <v>436</v>
      </c>
      <c r="M416" s="228" t="b">
        <f>+ISNUMBER(PAGOS[[#This Row],[REG]])</f>
        <v>1</v>
      </c>
    </row>
    <row r="417" spans="1:13" x14ac:dyDescent="0.3">
      <c r="A417" s="50">
        <v>415</v>
      </c>
      <c r="B417" s="281" t="s">
        <v>532</v>
      </c>
      <c r="C417" s="52">
        <v>15</v>
      </c>
      <c r="D417" s="50" t="s">
        <v>22</v>
      </c>
      <c r="E417" s="203">
        <v>84</v>
      </c>
      <c r="F417" s="33">
        <v>100</v>
      </c>
      <c r="G417" s="51">
        <v>46037</v>
      </c>
      <c r="H417" s="363">
        <v>5</v>
      </c>
      <c r="I417" s="33">
        <v>14</v>
      </c>
      <c r="J417" s="51">
        <v>46037</v>
      </c>
      <c r="K417" s="367">
        <v>5</v>
      </c>
      <c r="L417" s="36" t="s">
        <v>436</v>
      </c>
      <c r="M417" s="228" t="b">
        <f>+ISNUMBER(PAGOS[[#This Row],[REG]])</f>
        <v>1</v>
      </c>
    </row>
    <row r="418" spans="1:13" x14ac:dyDescent="0.3">
      <c r="A418" s="50">
        <v>416</v>
      </c>
      <c r="B418" s="281" t="s">
        <v>532</v>
      </c>
      <c r="C418" s="52">
        <v>12</v>
      </c>
      <c r="D418" s="50" t="s">
        <v>20</v>
      </c>
      <c r="E418" s="203">
        <v>87</v>
      </c>
      <c r="F418" s="33">
        <v>110</v>
      </c>
      <c r="G418" s="51">
        <v>46037</v>
      </c>
      <c r="H418" s="363">
        <v>5</v>
      </c>
      <c r="I418" s="33">
        <v>22</v>
      </c>
      <c r="J418" s="51">
        <v>46037</v>
      </c>
      <c r="K418" s="367">
        <v>5</v>
      </c>
      <c r="L418" s="36" t="s">
        <v>436</v>
      </c>
      <c r="M418" s="228" t="b">
        <f>+ISNUMBER(PAGOS[[#This Row],[REG]])</f>
        <v>1</v>
      </c>
    </row>
    <row r="419" spans="1:13" x14ac:dyDescent="0.3">
      <c r="A419" s="50">
        <v>417</v>
      </c>
      <c r="B419" s="281" t="s">
        <v>532</v>
      </c>
      <c r="C419" s="52">
        <v>10</v>
      </c>
      <c r="D419" s="50" t="s">
        <v>18</v>
      </c>
      <c r="E419" s="203">
        <v>100</v>
      </c>
      <c r="F419" s="33">
        <v>50</v>
      </c>
      <c r="G419" s="51">
        <v>46037</v>
      </c>
      <c r="H419" s="363">
        <v>3</v>
      </c>
      <c r="I419" s="33">
        <v>3</v>
      </c>
      <c r="J419" s="51">
        <v>46037</v>
      </c>
      <c r="K419" s="367">
        <v>3</v>
      </c>
      <c r="L419" s="36" t="s">
        <v>379</v>
      </c>
      <c r="M419" s="228" t="b">
        <f>+ISNUMBER(PAGOS[[#This Row],[REG]])</f>
        <v>1</v>
      </c>
    </row>
    <row r="420" spans="1:13" x14ac:dyDescent="0.3">
      <c r="A420" s="50">
        <v>418</v>
      </c>
      <c r="B420" s="281" t="s">
        <v>532</v>
      </c>
      <c r="C420" s="52">
        <v>13</v>
      </c>
      <c r="D420" s="50" t="s">
        <v>301</v>
      </c>
      <c r="E420" s="203">
        <v>103</v>
      </c>
      <c r="F420" s="33">
        <v>100</v>
      </c>
      <c r="G420" s="51">
        <v>46037</v>
      </c>
      <c r="H420" s="363">
        <v>2</v>
      </c>
      <c r="I420" s="33">
        <v>20</v>
      </c>
      <c r="J420" s="51">
        <v>46037</v>
      </c>
      <c r="K420" s="367">
        <v>2</v>
      </c>
      <c r="L420" s="36" t="s">
        <v>442</v>
      </c>
      <c r="M420" s="228" t="b">
        <f>+ISNUMBER(PAGOS[[#This Row],[REG]])</f>
        <v>1</v>
      </c>
    </row>
    <row r="421" spans="1:13" x14ac:dyDescent="0.3">
      <c r="A421" s="50">
        <v>419</v>
      </c>
      <c r="B421" s="281" t="s">
        <v>532</v>
      </c>
      <c r="C421" s="52">
        <v>11</v>
      </c>
      <c r="D421" s="50" t="s">
        <v>19</v>
      </c>
      <c r="E421" s="203">
        <v>104</v>
      </c>
      <c r="F421" s="33">
        <v>33.33</v>
      </c>
      <c r="G421" s="51">
        <v>46037</v>
      </c>
      <c r="H421" s="363">
        <v>2</v>
      </c>
      <c r="I421" s="33">
        <v>4</v>
      </c>
      <c r="J421" s="51">
        <v>46037</v>
      </c>
      <c r="K421" s="367">
        <v>2</v>
      </c>
      <c r="L421" s="36" t="s">
        <v>442</v>
      </c>
      <c r="M421" s="228" t="b">
        <f>+ISNUMBER(PAGOS[[#This Row],[REG]])</f>
        <v>1</v>
      </c>
    </row>
    <row r="422" spans="1:13" x14ac:dyDescent="0.3">
      <c r="A422" s="50">
        <v>420</v>
      </c>
      <c r="B422" s="281" t="s">
        <v>532</v>
      </c>
      <c r="C422" s="52">
        <v>9</v>
      </c>
      <c r="D422" s="50" t="s">
        <v>17</v>
      </c>
      <c r="E422" s="203">
        <v>105</v>
      </c>
      <c r="F422" s="33">
        <v>100</v>
      </c>
      <c r="G422" s="51">
        <v>46037</v>
      </c>
      <c r="H422" s="363">
        <v>1</v>
      </c>
      <c r="I422" s="33">
        <v>10</v>
      </c>
      <c r="J422" s="51">
        <v>46037</v>
      </c>
      <c r="K422" s="367">
        <v>1</v>
      </c>
      <c r="L422" s="36" t="s">
        <v>419</v>
      </c>
      <c r="M422" s="228" t="b">
        <f>+ISNUMBER(PAGOS[[#This Row],[REG]])</f>
        <v>1</v>
      </c>
    </row>
    <row r="423" spans="1:13" x14ac:dyDescent="0.3">
      <c r="A423" s="50">
        <v>421</v>
      </c>
      <c r="B423" s="281" t="s">
        <v>532</v>
      </c>
      <c r="C423" s="52">
        <v>14</v>
      </c>
      <c r="D423" s="50" t="s">
        <v>21</v>
      </c>
      <c r="E423" s="203">
        <v>106</v>
      </c>
      <c r="F423" s="33">
        <v>111.11</v>
      </c>
      <c r="G423" s="51">
        <v>46037</v>
      </c>
      <c r="H423" s="363">
        <v>1</v>
      </c>
      <c r="I423" s="33">
        <v>40</v>
      </c>
      <c r="J423" s="51">
        <v>46037</v>
      </c>
      <c r="K423" s="367">
        <v>1</v>
      </c>
      <c r="L423" s="36" t="s">
        <v>419</v>
      </c>
      <c r="M423" s="228" t="b">
        <f>+ISNUMBER(PAGOS[[#This Row],[REG]])</f>
        <v>1</v>
      </c>
    </row>
    <row r="424" spans="1:13" x14ac:dyDescent="0.3">
      <c r="A424" s="50">
        <v>422</v>
      </c>
      <c r="B424" s="281" t="s">
        <v>532</v>
      </c>
      <c r="C424" s="52">
        <v>18</v>
      </c>
      <c r="D424" s="50" t="s">
        <v>300</v>
      </c>
      <c r="E424" s="203">
        <v>107</v>
      </c>
      <c r="F424" s="33">
        <v>100</v>
      </c>
      <c r="G424" s="51">
        <v>46037</v>
      </c>
      <c r="H424" s="363">
        <v>1</v>
      </c>
      <c r="I424" s="33">
        <v>14</v>
      </c>
      <c r="J424" s="51">
        <v>46037</v>
      </c>
      <c r="K424" s="367">
        <v>1</v>
      </c>
      <c r="L424" s="36" t="s">
        <v>419</v>
      </c>
      <c r="M424" s="228" t="b">
        <f>+ISNUMBER(PAGOS[[#This Row],[REG]])</f>
        <v>1</v>
      </c>
    </row>
    <row r="425" spans="1:13" x14ac:dyDescent="0.3">
      <c r="A425" s="50">
        <v>423</v>
      </c>
      <c r="B425" s="281" t="s">
        <v>532</v>
      </c>
      <c r="C425" s="52">
        <v>6</v>
      </c>
      <c r="D425" s="50" t="s">
        <v>24</v>
      </c>
      <c r="E425" s="203">
        <v>108</v>
      </c>
      <c r="F425" s="33">
        <v>50</v>
      </c>
      <c r="G425" s="51">
        <v>46037</v>
      </c>
      <c r="H425" s="363">
        <v>1</v>
      </c>
      <c r="I425" s="33">
        <v>6</v>
      </c>
      <c r="J425" s="51">
        <v>46037</v>
      </c>
      <c r="K425" s="367">
        <v>1</v>
      </c>
      <c r="L425" s="36" t="s">
        <v>419</v>
      </c>
      <c r="M425" s="228" t="b">
        <f>+ISNUMBER(PAGOS[[#This Row],[REG]])</f>
        <v>1</v>
      </c>
    </row>
    <row r="426" spans="1:13" x14ac:dyDescent="0.3">
      <c r="A426" s="50">
        <v>424</v>
      </c>
      <c r="B426" s="281" t="s">
        <v>532</v>
      </c>
      <c r="C426" s="52">
        <v>5</v>
      </c>
      <c r="D426" s="50" t="s">
        <v>14</v>
      </c>
      <c r="E426" s="203">
        <v>77</v>
      </c>
      <c r="F426" s="33">
        <v>400</v>
      </c>
      <c r="G426" s="51">
        <v>46037</v>
      </c>
      <c r="H426" s="363">
        <v>12</v>
      </c>
      <c r="I426" s="33">
        <v>0</v>
      </c>
      <c r="J426" s="51">
        <v>46037</v>
      </c>
      <c r="K426" s="367">
        <v>12</v>
      </c>
      <c r="L426" s="36" t="s">
        <v>481</v>
      </c>
      <c r="M426" s="228" t="b">
        <f>+ISNUMBER(PAGOS[[#This Row],[REG]])</f>
        <v>1</v>
      </c>
    </row>
    <row r="427" spans="1:13" x14ac:dyDescent="0.3">
      <c r="A427" s="50">
        <v>425</v>
      </c>
      <c r="B427" s="281" t="s">
        <v>531</v>
      </c>
      <c r="C427" s="52">
        <v>5</v>
      </c>
      <c r="D427" s="50" t="s">
        <v>14</v>
      </c>
      <c r="E427" s="203">
        <v>77</v>
      </c>
      <c r="F427" s="33">
        <v>0</v>
      </c>
      <c r="G427" s="51">
        <v>46037</v>
      </c>
      <c r="H427" s="363" t="s">
        <v>491</v>
      </c>
      <c r="I427" s="33">
        <v>96</v>
      </c>
      <c r="J427" s="51">
        <v>46037</v>
      </c>
      <c r="K427" s="367" t="s">
        <v>491</v>
      </c>
      <c r="L427" s="36" t="s">
        <v>482</v>
      </c>
      <c r="M427" s="228" t="b">
        <f>+ISNUMBER(PAGOS[[#This Row],[REG]])</f>
        <v>1</v>
      </c>
    </row>
    <row r="428" spans="1:13" x14ac:dyDescent="0.3">
      <c r="A428" s="50">
        <v>426</v>
      </c>
      <c r="B428" s="281" t="s">
        <v>530</v>
      </c>
      <c r="C428" s="52">
        <v>1</v>
      </c>
      <c r="D428" s="50" t="s">
        <v>70</v>
      </c>
      <c r="E428" s="203">
        <v>0</v>
      </c>
      <c r="F428" s="33">
        <v>0</v>
      </c>
      <c r="G428" s="51">
        <v>46037</v>
      </c>
      <c r="H428" s="364" t="s">
        <v>490</v>
      </c>
      <c r="I428" s="33">
        <v>10</v>
      </c>
      <c r="J428" s="51">
        <v>46037</v>
      </c>
      <c r="K428" s="368" t="s">
        <v>490</v>
      </c>
      <c r="L428" s="36" t="s">
        <v>494</v>
      </c>
      <c r="M428" s="228" t="b">
        <f>+ISNUMBER(PAGOS[[#This Row],[REG]])</f>
        <v>1</v>
      </c>
    </row>
    <row r="429" spans="1:13" x14ac:dyDescent="0.3">
      <c r="A429" s="50">
        <v>427</v>
      </c>
      <c r="B429" s="281" t="s">
        <v>531</v>
      </c>
      <c r="C429" s="52">
        <v>2</v>
      </c>
      <c r="D429" s="50" t="s">
        <v>71</v>
      </c>
      <c r="E429" s="203">
        <v>0</v>
      </c>
      <c r="F429" s="33">
        <v>26.7</v>
      </c>
      <c r="G429" s="51">
        <v>46051</v>
      </c>
      <c r="H429" s="363" t="s">
        <v>491</v>
      </c>
      <c r="I429" s="33">
        <v>0</v>
      </c>
      <c r="J429" s="51">
        <v>46051</v>
      </c>
      <c r="K429" s="367" t="s">
        <v>491</v>
      </c>
      <c r="L429" s="36" t="s">
        <v>486</v>
      </c>
      <c r="M429" s="228" t="b">
        <f>+ISNUMBER(PAGOS[[#This Row],[REG]])</f>
        <v>1</v>
      </c>
    </row>
    <row r="430" spans="1:13" x14ac:dyDescent="0.3">
      <c r="A430" s="50">
        <v>428</v>
      </c>
      <c r="B430" s="281" t="s">
        <v>532</v>
      </c>
      <c r="C430" s="52">
        <v>16</v>
      </c>
      <c r="D430" s="50" t="s">
        <v>23</v>
      </c>
      <c r="E430" s="203">
        <v>109</v>
      </c>
      <c r="F430" s="33">
        <v>100</v>
      </c>
      <c r="G430" s="51">
        <v>46051</v>
      </c>
      <c r="H430" s="363">
        <v>1</v>
      </c>
      <c r="I430" s="33">
        <v>6</v>
      </c>
      <c r="J430" s="51">
        <v>46051</v>
      </c>
      <c r="K430" s="367">
        <v>1</v>
      </c>
      <c r="L430" s="36" t="s">
        <v>496</v>
      </c>
      <c r="M430" s="228" t="b">
        <f>+ISNUMBER(PAGOS[[#This Row],[REG]])</f>
        <v>1</v>
      </c>
    </row>
    <row r="431" spans="1:13" x14ac:dyDescent="0.3">
      <c r="A431" s="50">
        <v>429</v>
      </c>
      <c r="B431" s="281" t="s">
        <v>532</v>
      </c>
      <c r="C431" s="52">
        <v>17</v>
      </c>
      <c r="D431" s="50" t="s">
        <v>299</v>
      </c>
      <c r="E431" s="203">
        <v>78</v>
      </c>
      <c r="F431" s="33">
        <v>666.64</v>
      </c>
      <c r="G431" s="51">
        <v>46068</v>
      </c>
      <c r="H431" s="363">
        <v>12</v>
      </c>
      <c r="I431" s="33">
        <v>160</v>
      </c>
      <c r="J431" s="51">
        <v>46068</v>
      </c>
      <c r="K431" s="367">
        <v>12</v>
      </c>
      <c r="L431" s="36" t="s">
        <v>504</v>
      </c>
      <c r="M431" s="228" t="b">
        <f>+ISNUMBER(PAGOS[[#This Row],[REG]])</f>
        <v>1</v>
      </c>
    </row>
    <row r="432" spans="1:13" x14ac:dyDescent="0.3">
      <c r="A432" s="50">
        <v>430</v>
      </c>
      <c r="B432" s="281" t="s">
        <v>532</v>
      </c>
      <c r="C432" s="52">
        <v>6</v>
      </c>
      <c r="D432" s="50" t="s">
        <v>24</v>
      </c>
      <c r="E432" s="203">
        <v>83</v>
      </c>
      <c r="F432" s="33">
        <v>100</v>
      </c>
      <c r="G432" s="51">
        <v>46068</v>
      </c>
      <c r="H432" s="363">
        <v>6</v>
      </c>
      <c r="I432" s="33">
        <v>24</v>
      </c>
      <c r="J432" s="51">
        <v>46068</v>
      </c>
      <c r="K432" s="367">
        <v>6</v>
      </c>
      <c r="L432" s="36" t="s">
        <v>455</v>
      </c>
      <c r="M432" s="228" t="b">
        <f>+ISNUMBER(PAGOS[[#This Row],[REG]])</f>
        <v>1</v>
      </c>
    </row>
    <row r="433" spans="1:13" x14ac:dyDescent="0.3">
      <c r="A433" s="50">
        <v>431</v>
      </c>
      <c r="B433" s="281" t="s">
        <v>532</v>
      </c>
      <c r="C433" s="52">
        <v>15</v>
      </c>
      <c r="D433" s="50" t="s">
        <v>22</v>
      </c>
      <c r="E433" s="203">
        <v>84</v>
      </c>
      <c r="F433" s="33">
        <v>100</v>
      </c>
      <c r="G433" s="51">
        <v>46068</v>
      </c>
      <c r="H433" s="363">
        <v>6</v>
      </c>
      <c r="I433" s="33">
        <v>14</v>
      </c>
      <c r="J433" s="51">
        <v>46068</v>
      </c>
      <c r="K433" s="367">
        <v>6</v>
      </c>
      <c r="L433" s="36" t="s">
        <v>455</v>
      </c>
      <c r="M433" s="228" t="b">
        <f>+ISNUMBER(PAGOS[[#This Row],[REG]])</f>
        <v>1</v>
      </c>
    </row>
    <row r="434" spans="1:13" x14ac:dyDescent="0.3">
      <c r="A434" s="50">
        <v>432</v>
      </c>
      <c r="B434" s="281" t="s">
        <v>532</v>
      </c>
      <c r="C434" s="52">
        <v>12</v>
      </c>
      <c r="D434" s="50" t="s">
        <v>20</v>
      </c>
      <c r="E434" s="203">
        <v>87</v>
      </c>
      <c r="F434" s="33">
        <v>110</v>
      </c>
      <c r="G434" s="51">
        <v>46068</v>
      </c>
      <c r="H434" s="363">
        <v>6</v>
      </c>
      <c r="I434" s="33">
        <v>22</v>
      </c>
      <c r="J434" s="51">
        <v>46068</v>
      </c>
      <c r="K434" s="367">
        <v>6</v>
      </c>
      <c r="L434" s="36" t="s">
        <v>455</v>
      </c>
      <c r="M434" s="228" t="b">
        <f>+ISNUMBER(PAGOS[[#This Row],[REG]])</f>
        <v>1</v>
      </c>
    </row>
    <row r="435" spans="1:13" x14ac:dyDescent="0.3">
      <c r="A435" s="50">
        <v>433</v>
      </c>
      <c r="B435" s="281" t="s">
        <v>532</v>
      </c>
      <c r="C435" s="52">
        <v>13</v>
      </c>
      <c r="D435" s="50" t="s">
        <v>301</v>
      </c>
      <c r="E435" s="203">
        <v>103</v>
      </c>
      <c r="F435" s="33">
        <v>100</v>
      </c>
      <c r="G435" s="51">
        <v>46068</v>
      </c>
      <c r="H435" s="363">
        <v>3</v>
      </c>
      <c r="I435" s="33">
        <v>20</v>
      </c>
      <c r="J435" s="51">
        <v>46068</v>
      </c>
      <c r="K435" s="367">
        <v>3</v>
      </c>
      <c r="L435" s="36" t="s">
        <v>379</v>
      </c>
      <c r="M435" s="228" t="b">
        <f>+ISNUMBER(PAGOS[[#This Row],[REG]])</f>
        <v>1</v>
      </c>
    </row>
    <row r="436" spans="1:13" x14ac:dyDescent="0.3">
      <c r="A436" s="50">
        <v>434</v>
      </c>
      <c r="B436" s="281" t="s">
        <v>532</v>
      </c>
      <c r="C436" s="52">
        <v>11</v>
      </c>
      <c r="D436" s="50" t="s">
        <v>19</v>
      </c>
      <c r="E436" s="203">
        <v>104</v>
      </c>
      <c r="F436" s="33">
        <v>33.33</v>
      </c>
      <c r="G436" s="51">
        <v>46068</v>
      </c>
      <c r="H436" s="363">
        <v>3</v>
      </c>
      <c r="I436" s="33">
        <v>4</v>
      </c>
      <c r="J436" s="51">
        <v>46068</v>
      </c>
      <c r="K436" s="367">
        <v>3</v>
      </c>
      <c r="L436" s="36" t="s">
        <v>379</v>
      </c>
      <c r="M436" s="228" t="b">
        <f>+ISNUMBER(PAGOS[[#This Row],[REG]])</f>
        <v>1</v>
      </c>
    </row>
    <row r="437" spans="1:13" x14ac:dyDescent="0.3">
      <c r="A437" s="50">
        <v>435</v>
      </c>
      <c r="B437" s="281" t="s">
        <v>532</v>
      </c>
      <c r="C437" s="52">
        <v>9</v>
      </c>
      <c r="D437" s="50" t="s">
        <v>17</v>
      </c>
      <c r="E437" s="203">
        <v>105</v>
      </c>
      <c r="F437" s="33">
        <v>100</v>
      </c>
      <c r="G437" s="51">
        <v>46068</v>
      </c>
      <c r="H437" s="363">
        <v>2</v>
      </c>
      <c r="I437" s="33">
        <v>10</v>
      </c>
      <c r="J437" s="51">
        <v>46068</v>
      </c>
      <c r="K437" s="367">
        <v>2</v>
      </c>
      <c r="L437" s="36" t="s">
        <v>442</v>
      </c>
      <c r="M437" s="228" t="b">
        <f>+ISNUMBER(PAGOS[[#This Row],[REG]])</f>
        <v>1</v>
      </c>
    </row>
    <row r="438" spans="1:13" x14ac:dyDescent="0.3">
      <c r="A438" s="50">
        <v>436</v>
      </c>
      <c r="B438" s="281" t="s">
        <v>532</v>
      </c>
      <c r="C438" s="52">
        <v>14</v>
      </c>
      <c r="D438" s="50" t="s">
        <v>21</v>
      </c>
      <c r="E438" s="203">
        <v>106</v>
      </c>
      <c r="F438" s="33">
        <v>111.11</v>
      </c>
      <c r="G438" s="51">
        <v>46068</v>
      </c>
      <c r="H438" s="363">
        <v>2</v>
      </c>
      <c r="I438" s="33">
        <v>40</v>
      </c>
      <c r="J438" s="51">
        <v>46068</v>
      </c>
      <c r="K438" s="367">
        <v>2</v>
      </c>
      <c r="L438" s="36" t="s">
        <v>442</v>
      </c>
      <c r="M438" s="228" t="b">
        <f>+ISNUMBER(PAGOS[[#This Row],[REG]])</f>
        <v>1</v>
      </c>
    </row>
    <row r="439" spans="1:13" x14ac:dyDescent="0.3">
      <c r="A439" s="50">
        <v>437</v>
      </c>
      <c r="B439" s="281" t="s">
        <v>532</v>
      </c>
      <c r="C439" s="52">
        <v>18</v>
      </c>
      <c r="D439" s="50" t="s">
        <v>300</v>
      </c>
      <c r="E439" s="203">
        <v>107</v>
      </c>
      <c r="F439" s="33">
        <v>600</v>
      </c>
      <c r="G439" s="51">
        <v>46068</v>
      </c>
      <c r="H439" s="363">
        <v>1</v>
      </c>
      <c r="I439" s="33">
        <v>84</v>
      </c>
      <c r="J439" s="51">
        <v>46068</v>
      </c>
      <c r="K439" s="367">
        <v>1</v>
      </c>
      <c r="L439" s="36" t="s">
        <v>505</v>
      </c>
      <c r="M439" s="228" t="b">
        <f>+ISNUMBER(PAGOS[[#This Row],[REG]])</f>
        <v>1</v>
      </c>
    </row>
    <row r="440" spans="1:13" x14ac:dyDescent="0.3">
      <c r="A440" s="50">
        <v>438</v>
      </c>
      <c r="B440" s="281" t="s">
        <v>532</v>
      </c>
      <c r="C440" s="52">
        <v>6</v>
      </c>
      <c r="D440" s="50" t="s">
        <v>24</v>
      </c>
      <c r="E440" s="203">
        <v>108</v>
      </c>
      <c r="F440" s="33">
        <v>50</v>
      </c>
      <c r="G440" s="51">
        <v>46068</v>
      </c>
      <c r="H440" s="363">
        <v>2</v>
      </c>
      <c r="I440" s="33">
        <v>6</v>
      </c>
      <c r="J440" s="51">
        <v>46068</v>
      </c>
      <c r="K440" s="367">
        <v>2</v>
      </c>
      <c r="L440" s="36" t="s">
        <v>507</v>
      </c>
      <c r="M440" s="228" t="b">
        <f>+ISNUMBER(PAGOS[[#This Row],[REG]])</f>
        <v>1</v>
      </c>
    </row>
    <row r="441" spans="1:13" x14ac:dyDescent="0.3">
      <c r="A441" s="50">
        <v>439</v>
      </c>
      <c r="B441" s="281" t="s">
        <v>532</v>
      </c>
      <c r="C441" s="52">
        <v>5</v>
      </c>
      <c r="D441" s="50" t="s">
        <v>14</v>
      </c>
      <c r="E441" s="203">
        <v>110</v>
      </c>
      <c r="F441" s="33">
        <v>100</v>
      </c>
      <c r="G441" s="51">
        <v>46068</v>
      </c>
      <c r="H441" s="363">
        <v>1</v>
      </c>
      <c r="I441" s="33">
        <v>24</v>
      </c>
      <c r="J441" s="51">
        <v>46068</v>
      </c>
      <c r="K441" s="367">
        <v>1</v>
      </c>
      <c r="L441" s="36" t="s">
        <v>419</v>
      </c>
      <c r="M441" s="228" t="b">
        <f>+ISNUMBER(PAGOS[[#This Row],[REG]])</f>
        <v>1</v>
      </c>
    </row>
    <row r="442" spans="1:13" x14ac:dyDescent="0.3">
      <c r="A442" s="50">
        <v>440</v>
      </c>
      <c r="B442" s="281" t="s">
        <v>532</v>
      </c>
      <c r="C442" s="52">
        <v>7</v>
      </c>
      <c r="D442" s="50" t="s">
        <v>355</v>
      </c>
      <c r="E442" s="203">
        <v>112</v>
      </c>
      <c r="F442" s="33">
        <v>100</v>
      </c>
      <c r="G442" s="51">
        <v>46068</v>
      </c>
      <c r="H442" s="363">
        <v>1</v>
      </c>
      <c r="I442" s="33">
        <v>2</v>
      </c>
      <c r="J442" s="51">
        <v>46068</v>
      </c>
      <c r="K442" s="367">
        <v>1</v>
      </c>
      <c r="L442" s="36" t="s">
        <v>419</v>
      </c>
      <c r="M442" s="228" t="b">
        <f>+ISNUMBER(PAGOS[[#This Row],[REG]])</f>
        <v>1</v>
      </c>
    </row>
    <row r="443" spans="1:13" x14ac:dyDescent="0.3">
      <c r="A443" s="50">
        <v>441</v>
      </c>
      <c r="B443" s="281" t="s">
        <v>532</v>
      </c>
      <c r="C443" s="52">
        <v>16</v>
      </c>
      <c r="D443" s="50" t="s">
        <v>23</v>
      </c>
      <c r="E443" s="203">
        <v>111</v>
      </c>
      <c r="F443" s="33">
        <v>40</v>
      </c>
      <c r="G443" s="51">
        <v>46068</v>
      </c>
      <c r="H443" s="363">
        <v>1</v>
      </c>
      <c r="I443" s="33">
        <v>1.6</v>
      </c>
      <c r="J443" s="51">
        <v>46068</v>
      </c>
      <c r="K443" s="367">
        <v>1</v>
      </c>
      <c r="L443" s="36" t="s">
        <v>506</v>
      </c>
      <c r="M443" s="228" t="b">
        <f>+ISNUMBER(PAGOS[[#This Row],[REG]])</f>
        <v>1</v>
      </c>
    </row>
    <row r="444" spans="1:13" x14ac:dyDescent="0.3">
      <c r="A444" s="50">
        <v>442</v>
      </c>
      <c r="B444" s="281" t="s">
        <v>532</v>
      </c>
      <c r="C444" s="52">
        <v>12</v>
      </c>
      <c r="D444" s="50" t="s">
        <v>20</v>
      </c>
      <c r="E444" s="203">
        <v>87</v>
      </c>
      <c r="F444" s="33">
        <v>440</v>
      </c>
      <c r="G444" s="51">
        <v>46068</v>
      </c>
      <c r="H444" s="363">
        <v>10</v>
      </c>
      <c r="I444" s="33">
        <v>0</v>
      </c>
      <c r="J444" s="51">
        <v>46068</v>
      </c>
      <c r="K444" s="367">
        <v>10</v>
      </c>
      <c r="L444" s="36" t="s">
        <v>509</v>
      </c>
      <c r="M444" s="228" t="b">
        <f>+ISNUMBER(PAGOS[[#This Row],[REG]])</f>
        <v>1</v>
      </c>
    </row>
    <row r="445" spans="1:13" x14ac:dyDescent="0.3">
      <c r="A445" s="50">
        <v>443</v>
      </c>
      <c r="B445" s="281" t="s">
        <v>531</v>
      </c>
      <c r="C445" s="52">
        <v>12</v>
      </c>
      <c r="D445" s="50" t="s">
        <v>20</v>
      </c>
      <c r="E445" s="203">
        <v>87</v>
      </c>
      <c r="F445" s="33">
        <v>0</v>
      </c>
      <c r="G445" s="51">
        <v>46068</v>
      </c>
      <c r="H445" s="363" t="s">
        <v>491</v>
      </c>
      <c r="I445" s="33">
        <v>88</v>
      </c>
      <c r="J445" s="51">
        <v>46068</v>
      </c>
      <c r="K445" s="367" t="s">
        <v>491</v>
      </c>
      <c r="L445" s="36" t="s">
        <v>510</v>
      </c>
      <c r="M445" s="228" t="b">
        <f>+ISNUMBER(PAGOS[[#This Row],[REG]])</f>
        <v>1</v>
      </c>
    </row>
    <row r="446" spans="1:13" x14ac:dyDescent="0.3">
      <c r="A446" s="50">
        <v>444</v>
      </c>
      <c r="B446" s="281" t="s">
        <v>532</v>
      </c>
      <c r="C446" s="52">
        <v>6</v>
      </c>
      <c r="D446" s="50" t="s">
        <v>24</v>
      </c>
      <c r="E446" s="203">
        <v>108</v>
      </c>
      <c r="F446" s="33">
        <v>200</v>
      </c>
      <c r="G446" s="51">
        <v>46068</v>
      </c>
      <c r="H446" s="363">
        <v>6</v>
      </c>
      <c r="I446" s="33">
        <v>0</v>
      </c>
      <c r="J446" s="51">
        <v>46068</v>
      </c>
      <c r="K446" s="367">
        <v>6</v>
      </c>
      <c r="L446" s="36" t="s">
        <v>513</v>
      </c>
      <c r="M446" s="228" t="b">
        <f>+ISNUMBER(PAGOS[[#This Row],[REG]])</f>
        <v>1</v>
      </c>
    </row>
    <row r="447" spans="1:13" x14ac:dyDescent="0.3">
      <c r="A447" s="50">
        <v>445</v>
      </c>
      <c r="B447" s="281" t="s">
        <v>531</v>
      </c>
      <c r="C447" s="52">
        <v>6</v>
      </c>
      <c r="D447" s="50" t="s">
        <v>24</v>
      </c>
      <c r="E447" s="203">
        <v>108</v>
      </c>
      <c r="F447" s="33">
        <v>0</v>
      </c>
      <c r="G447" s="51">
        <v>46068</v>
      </c>
      <c r="H447" s="363" t="s">
        <v>491</v>
      </c>
      <c r="I447" s="33">
        <v>24</v>
      </c>
      <c r="J447" s="51">
        <v>46068</v>
      </c>
      <c r="K447" s="367" t="s">
        <v>491</v>
      </c>
      <c r="L447" s="36" t="s">
        <v>514</v>
      </c>
      <c r="M447" s="228" t="b">
        <f>+ISNUMBER(PAGOS[[#This Row],[REG]])</f>
        <v>1</v>
      </c>
    </row>
    <row r="448" spans="1:13" x14ac:dyDescent="0.3">
      <c r="A448" s="50">
        <v>446</v>
      </c>
      <c r="B448" s="281" t="s">
        <v>532</v>
      </c>
      <c r="C448" s="52">
        <v>16</v>
      </c>
      <c r="D448" s="50" t="s">
        <v>23</v>
      </c>
      <c r="E448" s="203">
        <v>102</v>
      </c>
      <c r="F448" s="33">
        <v>200</v>
      </c>
      <c r="G448" s="51">
        <v>46073</v>
      </c>
      <c r="H448" s="363">
        <v>4</v>
      </c>
      <c r="I448" s="33">
        <v>16</v>
      </c>
      <c r="J448" s="51">
        <v>46073</v>
      </c>
      <c r="K448" s="367">
        <v>4</v>
      </c>
      <c r="L448" s="36" t="s">
        <v>517</v>
      </c>
      <c r="M448" s="228" t="b">
        <f>+ISNUMBER(PAGOS[[#This Row],[REG]])</f>
        <v>1</v>
      </c>
    </row>
    <row r="449" spans="1:13" x14ac:dyDescent="0.3">
      <c r="A449" s="50">
        <v>447</v>
      </c>
      <c r="B449" s="281" t="s">
        <v>532</v>
      </c>
      <c r="C449" s="52">
        <v>16</v>
      </c>
      <c r="D449" s="50" t="s">
        <v>23</v>
      </c>
      <c r="E449" s="203">
        <v>109</v>
      </c>
      <c r="F449" s="33">
        <v>100</v>
      </c>
      <c r="G449" s="51">
        <v>46080</v>
      </c>
      <c r="H449" s="363">
        <v>2</v>
      </c>
      <c r="I449" s="33">
        <v>6</v>
      </c>
      <c r="J449" s="51">
        <v>46080</v>
      </c>
      <c r="K449" s="367">
        <v>2</v>
      </c>
      <c r="L449" s="36" t="s">
        <v>442</v>
      </c>
      <c r="M449" s="228" t="b">
        <f>+ISNUMBER(PAGOS[[#This Row],[REG]])</f>
        <v>1</v>
      </c>
    </row>
    <row r="450" spans="1:13" x14ac:dyDescent="0.3">
      <c r="A450" s="50">
        <v>448</v>
      </c>
      <c r="B450" s="281" t="s">
        <v>532</v>
      </c>
      <c r="C450" s="52">
        <v>16</v>
      </c>
      <c r="D450" s="50" t="s">
        <v>23</v>
      </c>
      <c r="E450" s="203">
        <v>113</v>
      </c>
      <c r="F450" s="33">
        <v>100</v>
      </c>
      <c r="G450" s="51">
        <v>46090</v>
      </c>
      <c r="H450" s="363">
        <v>1</v>
      </c>
      <c r="I450" s="33">
        <v>2</v>
      </c>
      <c r="J450" s="51">
        <v>46090</v>
      </c>
      <c r="K450" s="367">
        <v>1</v>
      </c>
      <c r="L450" s="36" t="s">
        <v>419</v>
      </c>
      <c r="M450" s="228" t="b">
        <f>+ISNUMBER(PAGOS[[#This Row],[REG]])</f>
        <v>1</v>
      </c>
    </row>
    <row r="451" spans="1:13" x14ac:dyDescent="0.3">
      <c r="A451" s="50">
        <v>449</v>
      </c>
      <c r="B451" s="281" t="s">
        <v>532</v>
      </c>
      <c r="C451" s="52">
        <v>16</v>
      </c>
      <c r="D451" s="50" t="s">
        <v>23</v>
      </c>
      <c r="E451" s="203">
        <v>117</v>
      </c>
      <c r="F451" s="33">
        <v>50</v>
      </c>
      <c r="G451" s="51">
        <v>46092</v>
      </c>
      <c r="H451" s="363">
        <v>1</v>
      </c>
      <c r="I451" s="33">
        <v>3</v>
      </c>
      <c r="J451" s="51">
        <v>46092</v>
      </c>
      <c r="K451" s="367">
        <v>1</v>
      </c>
      <c r="L451" s="36" t="s">
        <v>419</v>
      </c>
      <c r="M451" s="228" t="b">
        <f>+ISNUMBER(PAGOS[[#This Row],[REG]])</f>
        <v>1</v>
      </c>
    </row>
    <row r="452" spans="1:13" x14ac:dyDescent="0.3">
      <c r="A452" s="50">
        <v>450</v>
      </c>
      <c r="B452" s="281" t="s">
        <v>532</v>
      </c>
      <c r="C452" s="52">
        <v>16</v>
      </c>
      <c r="D452" s="50" t="s">
        <v>23</v>
      </c>
      <c r="E452" s="203">
        <v>111</v>
      </c>
      <c r="F452" s="33">
        <v>40</v>
      </c>
      <c r="G452" s="51">
        <v>46095</v>
      </c>
      <c r="H452" s="363">
        <v>2</v>
      </c>
      <c r="I452" s="33">
        <v>1.6</v>
      </c>
      <c r="J452" s="51">
        <v>46095</v>
      </c>
      <c r="K452" s="367">
        <v>2</v>
      </c>
      <c r="L452" s="36" t="s">
        <v>442</v>
      </c>
      <c r="M452" s="228" t="b">
        <f>+ISNUMBER(PAGOS[[#This Row],[REG]])</f>
        <v>1</v>
      </c>
    </row>
    <row r="453" spans="1:13" x14ac:dyDescent="0.3">
      <c r="A453" s="50">
        <v>451</v>
      </c>
      <c r="B453" s="281" t="s">
        <v>532</v>
      </c>
      <c r="C453" s="52">
        <v>6</v>
      </c>
      <c r="D453" s="50" t="s">
        <v>24</v>
      </c>
      <c r="E453" s="203">
        <v>83</v>
      </c>
      <c r="F453" s="33">
        <v>100</v>
      </c>
      <c r="G453" s="51">
        <v>46096</v>
      </c>
      <c r="H453" s="363">
        <v>7</v>
      </c>
      <c r="I453" s="33">
        <v>24</v>
      </c>
      <c r="J453" s="51">
        <v>46096</v>
      </c>
      <c r="K453" s="367">
        <v>7</v>
      </c>
      <c r="L453" s="36" t="s">
        <v>377</v>
      </c>
      <c r="M453" s="228" t="b">
        <f>+ISNUMBER(PAGOS[[#This Row],[REG]])</f>
        <v>1</v>
      </c>
    </row>
    <row r="454" spans="1:13" x14ac:dyDescent="0.3">
      <c r="A454" s="50">
        <v>452</v>
      </c>
      <c r="B454" s="281" t="s">
        <v>532</v>
      </c>
      <c r="C454" s="52">
        <v>15</v>
      </c>
      <c r="D454" s="50" t="s">
        <v>22</v>
      </c>
      <c r="E454" s="203">
        <v>84</v>
      </c>
      <c r="F454" s="33">
        <v>100</v>
      </c>
      <c r="G454" s="51">
        <v>46096</v>
      </c>
      <c r="H454" s="363">
        <v>7</v>
      </c>
      <c r="I454" s="33">
        <v>14</v>
      </c>
      <c r="J454" s="51">
        <v>46096</v>
      </c>
      <c r="K454" s="367">
        <v>7</v>
      </c>
      <c r="L454" s="36" t="s">
        <v>377</v>
      </c>
      <c r="M454" s="228" t="b">
        <f>+ISNUMBER(PAGOS[[#This Row],[REG]])</f>
        <v>1</v>
      </c>
    </row>
    <row r="455" spans="1:13" x14ac:dyDescent="0.3">
      <c r="A455" s="50">
        <v>453</v>
      </c>
      <c r="B455" s="281" t="s">
        <v>532</v>
      </c>
      <c r="C455" s="52">
        <v>13</v>
      </c>
      <c r="D455" s="50" t="s">
        <v>301</v>
      </c>
      <c r="E455" s="203">
        <v>103</v>
      </c>
      <c r="F455" s="33">
        <v>100</v>
      </c>
      <c r="G455" s="51">
        <v>46096</v>
      </c>
      <c r="H455" s="363">
        <v>4</v>
      </c>
      <c r="I455" s="33">
        <v>20</v>
      </c>
      <c r="J455" s="51">
        <v>46096</v>
      </c>
      <c r="K455" s="367">
        <v>4</v>
      </c>
      <c r="L455" s="36" t="s">
        <v>378</v>
      </c>
      <c r="M455" s="228" t="b">
        <f>+ISNUMBER(PAGOS[[#This Row],[REG]])</f>
        <v>1</v>
      </c>
    </row>
    <row r="456" spans="1:13" x14ac:dyDescent="0.3">
      <c r="A456" s="50">
        <v>454</v>
      </c>
      <c r="B456" s="281" t="s">
        <v>532</v>
      </c>
      <c r="C456" s="52">
        <v>11</v>
      </c>
      <c r="D456" s="50" t="s">
        <v>19</v>
      </c>
      <c r="E456" s="203">
        <v>104</v>
      </c>
      <c r="F456" s="33">
        <v>33.33</v>
      </c>
      <c r="G456" s="51">
        <v>46096</v>
      </c>
      <c r="H456" s="363">
        <v>4</v>
      </c>
      <c r="I456" s="33">
        <v>4</v>
      </c>
      <c r="J456" s="51">
        <v>46096</v>
      </c>
      <c r="K456" s="367">
        <v>4</v>
      </c>
      <c r="L456" s="36" t="s">
        <v>378</v>
      </c>
      <c r="M456" s="228" t="b">
        <f>+ISNUMBER(PAGOS[[#This Row],[REG]])</f>
        <v>1</v>
      </c>
    </row>
    <row r="457" spans="1:13" x14ac:dyDescent="0.3">
      <c r="A457" s="50">
        <v>455</v>
      </c>
      <c r="B457" s="281" t="s">
        <v>532</v>
      </c>
      <c r="C457" s="52">
        <v>9</v>
      </c>
      <c r="D457" s="50" t="s">
        <v>17</v>
      </c>
      <c r="E457" s="203">
        <v>105</v>
      </c>
      <c r="F457" s="33">
        <v>100</v>
      </c>
      <c r="G457" s="51">
        <v>46096</v>
      </c>
      <c r="H457" s="363">
        <v>3</v>
      </c>
      <c r="I457" s="33">
        <v>10</v>
      </c>
      <c r="J457" s="51">
        <v>46096</v>
      </c>
      <c r="K457" s="367">
        <v>3</v>
      </c>
      <c r="L457" s="36" t="s">
        <v>379</v>
      </c>
      <c r="M457" s="228" t="b">
        <f>+ISNUMBER(PAGOS[[#This Row],[REG]])</f>
        <v>1</v>
      </c>
    </row>
    <row r="458" spans="1:13" x14ac:dyDescent="0.3">
      <c r="A458" s="50">
        <v>456</v>
      </c>
      <c r="B458" s="281" t="s">
        <v>532</v>
      </c>
      <c r="C458" s="52">
        <v>14</v>
      </c>
      <c r="D458" s="50" t="s">
        <v>21</v>
      </c>
      <c r="E458" s="203">
        <v>106</v>
      </c>
      <c r="F458" s="33">
        <v>111.11</v>
      </c>
      <c r="G458" s="51">
        <v>46096</v>
      </c>
      <c r="H458" s="363">
        <v>3</v>
      </c>
      <c r="I458" s="33">
        <v>40</v>
      </c>
      <c r="J458" s="51">
        <v>46096</v>
      </c>
      <c r="K458" s="367">
        <v>3</v>
      </c>
      <c r="L458" s="36" t="s">
        <v>379</v>
      </c>
      <c r="M458" s="228" t="b">
        <f>+ISNUMBER(PAGOS[[#This Row],[REG]])</f>
        <v>1</v>
      </c>
    </row>
    <row r="459" spans="1:13" x14ac:dyDescent="0.3">
      <c r="A459" s="50">
        <v>457</v>
      </c>
      <c r="B459" s="281" t="s">
        <v>532</v>
      </c>
      <c r="C459" s="52">
        <v>5</v>
      </c>
      <c r="D459" s="50" t="s">
        <v>14</v>
      </c>
      <c r="E459" s="203">
        <v>110</v>
      </c>
      <c r="F459" s="33">
        <v>100</v>
      </c>
      <c r="G459" s="51">
        <v>46096</v>
      </c>
      <c r="H459" s="363">
        <v>2</v>
      </c>
      <c r="I459" s="33">
        <v>24</v>
      </c>
      <c r="J459" s="51">
        <v>46096</v>
      </c>
      <c r="K459" s="367">
        <v>2</v>
      </c>
      <c r="L459" s="36" t="s">
        <v>442</v>
      </c>
      <c r="M459" s="228" t="b">
        <f>+ISNUMBER(PAGOS[[#This Row],[REG]])</f>
        <v>1</v>
      </c>
    </row>
    <row r="460" spans="1:13" x14ac:dyDescent="0.3">
      <c r="A460" s="50">
        <v>458</v>
      </c>
      <c r="B460" s="281" t="s">
        <v>532</v>
      </c>
      <c r="C460" s="52">
        <v>12</v>
      </c>
      <c r="D460" s="50" t="s">
        <v>20</v>
      </c>
      <c r="E460" s="203">
        <v>115</v>
      </c>
      <c r="F460" s="33">
        <v>125</v>
      </c>
      <c r="G460" s="51">
        <v>46096</v>
      </c>
      <c r="H460" s="363">
        <v>1</v>
      </c>
      <c r="I460" s="33">
        <v>30</v>
      </c>
      <c r="J460" s="51">
        <v>46096</v>
      </c>
      <c r="K460" s="367">
        <v>1</v>
      </c>
      <c r="L460" s="36" t="s">
        <v>419</v>
      </c>
      <c r="M460" s="228" t="b">
        <f>+ISNUMBER(PAGOS[[#This Row],[REG]])</f>
        <v>1</v>
      </c>
    </row>
    <row r="461" spans="1:13" x14ac:dyDescent="0.3">
      <c r="A461" s="50">
        <v>459</v>
      </c>
      <c r="B461" s="281" t="s">
        <v>532</v>
      </c>
      <c r="C461" s="52">
        <v>6</v>
      </c>
      <c r="D461" s="50" t="s">
        <v>24</v>
      </c>
      <c r="E461" s="203">
        <v>116</v>
      </c>
      <c r="F461" s="33">
        <v>60</v>
      </c>
      <c r="G461" s="51">
        <v>46096</v>
      </c>
      <c r="H461" s="363">
        <v>1</v>
      </c>
      <c r="I461" s="33">
        <v>12</v>
      </c>
      <c r="J461" s="51">
        <v>46096</v>
      </c>
      <c r="K461" s="367">
        <v>1</v>
      </c>
      <c r="L461" s="36" t="s">
        <v>506</v>
      </c>
      <c r="M461" s="228" t="b">
        <f>+ISNUMBER(PAGOS[[#This Row],[REG]])</f>
        <v>1</v>
      </c>
    </row>
    <row r="462" spans="1:13" x14ac:dyDescent="0.3">
      <c r="A462" s="50">
        <v>460</v>
      </c>
      <c r="B462" s="281" t="s">
        <v>530</v>
      </c>
      <c r="C462" s="52">
        <v>1</v>
      </c>
      <c r="D462" s="50" t="s">
        <v>355</v>
      </c>
      <c r="E462" s="203">
        <v>0</v>
      </c>
      <c r="F462" s="33">
        <v>0</v>
      </c>
      <c r="G462" s="51">
        <v>46096</v>
      </c>
      <c r="H462" s="363" t="s">
        <v>490</v>
      </c>
      <c r="I462" s="33">
        <v>4</v>
      </c>
      <c r="J462" s="51">
        <v>46096</v>
      </c>
      <c r="K462" s="367" t="s">
        <v>490</v>
      </c>
      <c r="L462" s="36" t="s">
        <v>523</v>
      </c>
      <c r="M462" s="228" t="b">
        <f>+ISNUMBER(PAGOS[[#This Row],[REG]])</f>
        <v>1</v>
      </c>
    </row>
    <row r="463" spans="1:13" x14ac:dyDescent="0.3">
      <c r="A463" s="50">
        <v>461</v>
      </c>
      <c r="B463" s="281" t="s">
        <v>530</v>
      </c>
      <c r="C463" s="52">
        <v>1</v>
      </c>
      <c r="D463" s="50" t="s">
        <v>356</v>
      </c>
      <c r="E463" s="203">
        <v>0</v>
      </c>
      <c r="F463" s="33">
        <v>0</v>
      </c>
      <c r="G463" s="51">
        <v>46096</v>
      </c>
      <c r="H463" s="363" t="s">
        <v>490</v>
      </c>
      <c r="I463" s="33">
        <v>4</v>
      </c>
      <c r="J463" s="51">
        <v>46096</v>
      </c>
      <c r="K463" s="367" t="s">
        <v>490</v>
      </c>
      <c r="L463" s="36" t="s">
        <v>523</v>
      </c>
      <c r="M463" s="228" t="b">
        <f>+ISNUMBER(PAGOS[[#This Row],[REG]])</f>
        <v>1</v>
      </c>
    </row>
    <row r="464" spans="1:13" x14ac:dyDescent="0.3">
      <c r="A464" s="50">
        <v>462</v>
      </c>
      <c r="B464" s="281" t="s">
        <v>530</v>
      </c>
      <c r="C464" s="52">
        <v>1</v>
      </c>
      <c r="D464" s="50" t="s">
        <v>13</v>
      </c>
      <c r="E464" s="203">
        <v>0</v>
      </c>
      <c r="F464" s="33">
        <v>0</v>
      </c>
      <c r="G464" s="51">
        <v>46096</v>
      </c>
      <c r="H464" s="363" t="s">
        <v>490</v>
      </c>
      <c r="I464" s="33">
        <v>4</v>
      </c>
      <c r="J464" s="51">
        <v>46096</v>
      </c>
      <c r="K464" s="367" t="s">
        <v>490</v>
      </c>
      <c r="L464" s="36" t="s">
        <v>523</v>
      </c>
      <c r="M464" s="228" t="b">
        <f>+ISNUMBER(PAGOS[[#This Row],[REG]])</f>
        <v>1</v>
      </c>
    </row>
    <row r="465" spans="1:13" x14ac:dyDescent="0.3">
      <c r="A465" s="50">
        <v>463</v>
      </c>
      <c r="B465" s="281" t="s">
        <v>530</v>
      </c>
      <c r="C465" s="52">
        <v>1</v>
      </c>
      <c r="D465" s="50" t="s">
        <v>12</v>
      </c>
      <c r="E465" s="203">
        <v>0</v>
      </c>
      <c r="F465" s="33">
        <v>0</v>
      </c>
      <c r="G465" s="51">
        <v>46096</v>
      </c>
      <c r="H465" s="363" t="s">
        <v>490</v>
      </c>
      <c r="I465" s="33">
        <v>4</v>
      </c>
      <c r="J465" s="51">
        <v>46096</v>
      </c>
      <c r="K465" s="367" t="s">
        <v>490</v>
      </c>
      <c r="L465" s="36" t="s">
        <v>523</v>
      </c>
      <c r="M465" s="228" t="b">
        <f>+ISNUMBER(PAGOS[[#This Row],[REG]])</f>
        <v>1</v>
      </c>
    </row>
    <row r="466" spans="1:13" x14ac:dyDescent="0.3">
      <c r="A466" s="50">
        <v>464</v>
      </c>
      <c r="B466" s="281" t="s">
        <v>530</v>
      </c>
      <c r="C466" s="52">
        <v>1</v>
      </c>
      <c r="D466" s="50" t="s">
        <v>299</v>
      </c>
      <c r="E466" s="203">
        <v>0</v>
      </c>
      <c r="F466" s="33">
        <v>0</v>
      </c>
      <c r="G466" s="51">
        <v>46096</v>
      </c>
      <c r="H466" s="363" t="s">
        <v>490</v>
      </c>
      <c r="I466" s="33">
        <v>4</v>
      </c>
      <c r="J466" s="51">
        <v>46096</v>
      </c>
      <c r="K466" s="367" t="s">
        <v>490</v>
      </c>
      <c r="L466" s="36" t="s">
        <v>523</v>
      </c>
      <c r="M466" s="228" t="b">
        <f>+ISNUMBER(PAGOS[[#This Row],[REG]])</f>
        <v>1</v>
      </c>
    </row>
    <row r="467" spans="1:13" x14ac:dyDescent="0.3">
      <c r="A467" s="50">
        <v>465</v>
      </c>
      <c r="B467" s="281" t="s">
        <v>530</v>
      </c>
      <c r="C467" s="52">
        <v>1</v>
      </c>
      <c r="D467" s="50" t="s">
        <v>300</v>
      </c>
      <c r="E467" s="203">
        <v>0</v>
      </c>
      <c r="F467" s="33">
        <v>0</v>
      </c>
      <c r="G467" s="51">
        <v>46096</v>
      </c>
      <c r="H467" s="363" t="s">
        <v>490</v>
      </c>
      <c r="I467" s="33">
        <v>4</v>
      </c>
      <c r="J467" s="51">
        <v>46096</v>
      </c>
      <c r="K467" s="367" t="s">
        <v>490</v>
      </c>
      <c r="L467" s="36" t="s">
        <v>523</v>
      </c>
      <c r="M467" s="228" t="b">
        <f>+ISNUMBER(PAGOS[[#This Row],[REG]])</f>
        <v>1</v>
      </c>
    </row>
    <row r="468" spans="1:13" x14ac:dyDescent="0.3">
      <c r="A468" s="50">
        <v>466</v>
      </c>
      <c r="B468" s="281" t="s">
        <v>532</v>
      </c>
      <c r="C468" s="52">
        <v>16</v>
      </c>
      <c r="D468" s="50" t="s">
        <v>23</v>
      </c>
      <c r="E468" s="203">
        <v>109</v>
      </c>
      <c r="F468" s="33">
        <v>100</v>
      </c>
      <c r="G468" s="51">
        <v>46112</v>
      </c>
      <c r="H468" s="363">
        <v>3</v>
      </c>
      <c r="I468" s="33">
        <v>6</v>
      </c>
      <c r="J468" s="51">
        <v>46112</v>
      </c>
      <c r="K468" s="367">
        <v>3</v>
      </c>
      <c r="L468" s="36" t="s">
        <v>379</v>
      </c>
      <c r="M468" s="228" t="b">
        <f>+ISNUMBER(PAGOS[[#This Row],[REG]])</f>
        <v>1</v>
      </c>
    </row>
    <row r="469" spans="1:13" x14ac:dyDescent="0.3">
      <c r="A469" s="50">
        <v>467</v>
      </c>
      <c r="B469" s="281" t="s">
        <v>531</v>
      </c>
      <c r="C469" s="52">
        <v>2</v>
      </c>
      <c r="D469" s="50" t="s">
        <v>71</v>
      </c>
      <c r="E469" s="203">
        <v>0</v>
      </c>
      <c r="F469" s="33">
        <v>31</v>
      </c>
      <c r="G469" s="51">
        <v>46115</v>
      </c>
      <c r="H469" s="363" t="s">
        <v>491</v>
      </c>
      <c r="I469" s="33">
        <v>0</v>
      </c>
      <c r="J469" s="51">
        <v>46115</v>
      </c>
      <c r="K469" s="367" t="s">
        <v>491</v>
      </c>
      <c r="L469" s="36" t="s">
        <v>535</v>
      </c>
      <c r="M469" s="228" t="b">
        <f>+ISNUMBER(PAGOS[[#This Row],[REG]])</f>
        <v>1</v>
      </c>
    </row>
    <row r="470" spans="1:13" x14ac:dyDescent="0.3">
      <c r="A470" s="50">
        <v>468</v>
      </c>
      <c r="B470" s="281" t="s">
        <v>532</v>
      </c>
      <c r="C470" s="52">
        <v>16</v>
      </c>
      <c r="D470" s="50" t="s">
        <v>23</v>
      </c>
      <c r="E470" s="203">
        <v>117</v>
      </c>
      <c r="F470" s="33">
        <v>100</v>
      </c>
      <c r="G470" s="51">
        <v>46120</v>
      </c>
      <c r="H470" s="363">
        <v>2</v>
      </c>
      <c r="I470" s="33">
        <v>6</v>
      </c>
      <c r="J470" s="51">
        <v>46121</v>
      </c>
      <c r="K470" s="367">
        <v>2</v>
      </c>
      <c r="L470" s="36" t="s">
        <v>534</v>
      </c>
      <c r="M470" s="228" t="b">
        <f>+ISNUMBER(PAGOS[[#This Row],[REG]])</f>
        <v>1</v>
      </c>
    </row>
    <row r="471" spans="1:13" x14ac:dyDescent="0.3">
      <c r="A471" s="50">
        <v>469</v>
      </c>
      <c r="B471" s="281" t="s">
        <v>532</v>
      </c>
      <c r="C471" s="52">
        <v>16</v>
      </c>
      <c r="D471" s="50" t="s">
        <v>23</v>
      </c>
      <c r="E471" s="203">
        <v>114</v>
      </c>
      <c r="F471" s="33">
        <v>200</v>
      </c>
      <c r="G471" s="51">
        <v>46124</v>
      </c>
      <c r="H471" s="363">
        <v>2</v>
      </c>
      <c r="I471" s="33">
        <v>8</v>
      </c>
      <c r="J471" s="51">
        <v>46124</v>
      </c>
      <c r="K471" s="367">
        <v>2</v>
      </c>
      <c r="L471" s="36" t="s">
        <v>534</v>
      </c>
      <c r="M471" s="228" t="b">
        <f>+ISNUMBER(PAGOS[[#This Row],[REG]])</f>
        <v>1</v>
      </c>
    </row>
    <row r="472" spans="1:13" x14ac:dyDescent="0.3">
      <c r="A472" s="50">
        <v>470</v>
      </c>
      <c r="B472" s="281" t="s">
        <v>532</v>
      </c>
      <c r="C472" s="52">
        <v>6</v>
      </c>
      <c r="D472" s="50" t="s">
        <v>24</v>
      </c>
      <c r="E472" s="203">
        <v>83</v>
      </c>
      <c r="F472" s="33">
        <v>100</v>
      </c>
      <c r="G472" s="51">
        <v>46127</v>
      </c>
      <c r="H472" s="363">
        <v>8</v>
      </c>
      <c r="I472" s="33">
        <v>24</v>
      </c>
      <c r="J472" s="51">
        <v>46127</v>
      </c>
      <c r="K472" s="367">
        <v>8</v>
      </c>
      <c r="L472" s="36" t="s">
        <v>376</v>
      </c>
      <c r="M472" s="228" t="b">
        <f>+ISNUMBER(PAGOS[[#This Row],[REG]])</f>
        <v>1</v>
      </c>
    </row>
    <row r="473" spans="1:13" x14ac:dyDescent="0.3">
      <c r="A473" s="50">
        <v>471</v>
      </c>
      <c r="B473" s="281" t="s">
        <v>532</v>
      </c>
      <c r="C473" s="52">
        <v>11</v>
      </c>
      <c r="D473" s="50" t="s">
        <v>19</v>
      </c>
      <c r="E473" s="203">
        <v>104</v>
      </c>
      <c r="F473" s="33">
        <v>33.33</v>
      </c>
      <c r="G473" s="51">
        <v>46127</v>
      </c>
      <c r="H473" s="363">
        <v>5</v>
      </c>
      <c r="I473" s="33">
        <v>4</v>
      </c>
      <c r="J473" s="51">
        <v>46127</v>
      </c>
      <c r="K473" s="367">
        <v>5</v>
      </c>
      <c r="L473" s="36" t="s">
        <v>436</v>
      </c>
      <c r="M473" s="228" t="b">
        <f>+ISNUMBER(PAGOS[[#This Row],[REG]])</f>
        <v>1</v>
      </c>
    </row>
    <row r="474" spans="1:13" x14ac:dyDescent="0.3">
      <c r="A474" s="50">
        <v>472</v>
      </c>
      <c r="B474" s="281" t="s">
        <v>532</v>
      </c>
      <c r="C474" s="52">
        <v>14</v>
      </c>
      <c r="D474" s="50" t="s">
        <v>21</v>
      </c>
      <c r="E474" s="203">
        <v>106</v>
      </c>
      <c r="F474" s="33">
        <v>111.11</v>
      </c>
      <c r="G474" s="51">
        <v>46127</v>
      </c>
      <c r="H474" s="363">
        <v>4</v>
      </c>
      <c r="I474" s="33">
        <v>40</v>
      </c>
      <c r="J474" s="51">
        <v>46127</v>
      </c>
      <c r="K474" s="367">
        <v>4</v>
      </c>
      <c r="L474" s="36" t="s">
        <v>558</v>
      </c>
      <c r="M474" s="228" t="b">
        <f>+ISNUMBER(PAGOS[[#This Row],[REG]])</f>
        <v>1</v>
      </c>
    </row>
    <row r="475" spans="1:13" x14ac:dyDescent="0.3">
      <c r="A475" s="50">
        <v>473</v>
      </c>
      <c r="B475" s="281" t="s">
        <v>532</v>
      </c>
      <c r="C475" s="52">
        <v>5</v>
      </c>
      <c r="D475" s="50" t="s">
        <v>14</v>
      </c>
      <c r="E475" s="203">
        <v>110</v>
      </c>
      <c r="F475" s="33">
        <v>100</v>
      </c>
      <c r="G475" s="51">
        <v>46127</v>
      </c>
      <c r="H475" s="363">
        <v>3</v>
      </c>
      <c r="I475" s="33">
        <v>24</v>
      </c>
      <c r="J475" s="51">
        <v>46127</v>
      </c>
      <c r="K475" s="367">
        <v>3</v>
      </c>
      <c r="L475" s="36" t="s">
        <v>379</v>
      </c>
      <c r="M475" s="228" t="b">
        <f>+ISNUMBER(PAGOS[[#This Row],[REG]])</f>
        <v>1</v>
      </c>
    </row>
    <row r="476" spans="1:13" x14ac:dyDescent="0.3">
      <c r="A476" s="50">
        <v>474</v>
      </c>
      <c r="B476" s="281" t="s">
        <v>532</v>
      </c>
      <c r="C476" s="52">
        <v>6</v>
      </c>
      <c r="D476" s="50" t="s">
        <v>24</v>
      </c>
      <c r="E476" s="203">
        <v>116</v>
      </c>
      <c r="F476" s="33">
        <v>60</v>
      </c>
      <c r="G476" s="51">
        <v>46127</v>
      </c>
      <c r="H476" s="363">
        <v>2</v>
      </c>
      <c r="I476" s="33">
        <v>12</v>
      </c>
      <c r="J476" s="51">
        <v>46127</v>
      </c>
      <c r="K476" s="367">
        <v>2</v>
      </c>
      <c r="L476" s="36" t="s">
        <v>559</v>
      </c>
      <c r="M476" s="228" t="b">
        <f>+ISNUMBER(PAGOS[[#This Row],[REG]])</f>
        <v>1</v>
      </c>
    </row>
    <row r="477" spans="1:13" x14ac:dyDescent="0.3">
      <c r="A477" s="50">
        <v>475</v>
      </c>
      <c r="B477" s="281" t="s">
        <v>530</v>
      </c>
      <c r="C477" s="52">
        <v>1</v>
      </c>
      <c r="D477" s="50" t="s">
        <v>13</v>
      </c>
      <c r="E477" s="203">
        <v>0</v>
      </c>
      <c r="F477" s="33">
        <v>0</v>
      </c>
      <c r="G477" s="51">
        <v>46127</v>
      </c>
      <c r="H477" s="363" t="s">
        <v>490</v>
      </c>
      <c r="I477" s="33">
        <v>4</v>
      </c>
      <c r="J477" s="51">
        <v>46127</v>
      </c>
      <c r="K477" s="367" t="s">
        <v>490</v>
      </c>
      <c r="L477" s="36" t="s">
        <v>560</v>
      </c>
      <c r="M477" s="228" t="b">
        <f>+ISNUMBER(PAGOS[[#This Row],[REG]])</f>
        <v>1</v>
      </c>
    </row>
    <row r="478" spans="1:13" x14ac:dyDescent="0.3">
      <c r="A478" s="50">
        <v>476</v>
      </c>
      <c r="B478" s="281" t="s">
        <v>530</v>
      </c>
      <c r="C478" s="52">
        <v>1</v>
      </c>
      <c r="D478" s="50" t="s">
        <v>299</v>
      </c>
      <c r="E478" s="203">
        <v>0</v>
      </c>
      <c r="F478" s="33">
        <v>0</v>
      </c>
      <c r="G478" s="51">
        <v>46127</v>
      </c>
      <c r="H478" s="363" t="s">
        <v>490</v>
      </c>
      <c r="I478" s="33">
        <v>4</v>
      </c>
      <c r="J478" s="51">
        <v>46127</v>
      </c>
      <c r="K478" s="367" t="s">
        <v>490</v>
      </c>
      <c r="L478" s="36" t="s">
        <v>560</v>
      </c>
      <c r="M478" s="228" t="b">
        <f>+ISNUMBER(PAGOS[[#This Row],[REG]])</f>
        <v>1</v>
      </c>
    </row>
    <row r="479" spans="1:13" x14ac:dyDescent="0.3">
      <c r="A479" s="50">
        <v>477</v>
      </c>
      <c r="B479" s="281" t="s">
        <v>530</v>
      </c>
      <c r="C479" s="52">
        <v>1</v>
      </c>
      <c r="D479" s="50" t="s">
        <v>300</v>
      </c>
      <c r="E479" s="203">
        <v>0</v>
      </c>
      <c r="F479" s="33">
        <v>0</v>
      </c>
      <c r="G479" s="51">
        <v>46127</v>
      </c>
      <c r="H479" s="363" t="s">
        <v>490</v>
      </c>
      <c r="I479" s="33">
        <v>4</v>
      </c>
      <c r="J479" s="51">
        <v>46127</v>
      </c>
      <c r="K479" s="367" t="s">
        <v>490</v>
      </c>
      <c r="L479" s="36" t="s">
        <v>560</v>
      </c>
      <c r="M479" s="228" t="b">
        <f>+ISNUMBER(PAGOS[[#This Row],[REG]])</f>
        <v>1</v>
      </c>
    </row>
    <row r="480" spans="1:13" x14ac:dyDescent="0.3">
      <c r="A480" s="50">
        <v>478</v>
      </c>
      <c r="B480" s="281" t="s">
        <v>530</v>
      </c>
      <c r="C480" s="52">
        <v>1</v>
      </c>
      <c r="D480" s="50" t="s">
        <v>355</v>
      </c>
      <c r="E480" s="203">
        <v>0</v>
      </c>
      <c r="F480" s="33">
        <v>0</v>
      </c>
      <c r="G480" s="51">
        <v>46127</v>
      </c>
      <c r="H480" s="363" t="s">
        <v>490</v>
      </c>
      <c r="I480" s="33">
        <v>4</v>
      </c>
      <c r="J480" s="51">
        <v>46127</v>
      </c>
      <c r="K480" s="367" t="s">
        <v>490</v>
      </c>
      <c r="L480" s="36" t="s">
        <v>560</v>
      </c>
      <c r="M480" s="228" t="b">
        <f>+ISNUMBER(PAGOS[[#This Row],[REG]])</f>
        <v>1</v>
      </c>
    </row>
    <row r="481" spans="1:13" x14ac:dyDescent="0.3">
      <c r="A481" s="50">
        <v>479</v>
      </c>
      <c r="B481" s="281" t="s">
        <v>530</v>
      </c>
      <c r="C481" s="52">
        <v>1</v>
      </c>
      <c r="D481" s="50" t="s">
        <v>356</v>
      </c>
      <c r="E481" s="203">
        <v>0</v>
      </c>
      <c r="F481" s="33">
        <v>0</v>
      </c>
      <c r="G481" s="51">
        <v>46127</v>
      </c>
      <c r="H481" s="363" t="s">
        <v>490</v>
      </c>
      <c r="I481" s="33">
        <v>4</v>
      </c>
      <c r="J481" s="51">
        <v>46127</v>
      </c>
      <c r="K481" s="367" t="s">
        <v>490</v>
      </c>
      <c r="L481" s="36" t="s">
        <v>560</v>
      </c>
      <c r="M481" s="228" t="b">
        <f>+ISNUMBER(PAGOS[[#This Row],[REG]])</f>
        <v>1</v>
      </c>
    </row>
    <row r="482" spans="1:13" x14ac:dyDescent="0.3">
      <c r="A482" s="50">
        <v>480</v>
      </c>
      <c r="B482" s="281" t="s">
        <v>530</v>
      </c>
      <c r="C482" s="52">
        <v>1</v>
      </c>
      <c r="D482" s="50" t="s">
        <v>12</v>
      </c>
      <c r="E482" s="203">
        <v>0</v>
      </c>
      <c r="F482" s="33">
        <v>0</v>
      </c>
      <c r="G482" s="51">
        <v>46127</v>
      </c>
      <c r="H482" s="363" t="s">
        <v>490</v>
      </c>
      <c r="I482" s="33">
        <v>4</v>
      </c>
      <c r="J482" s="51">
        <v>46127</v>
      </c>
      <c r="K482" s="367" t="s">
        <v>490</v>
      </c>
      <c r="L482" s="36" t="s">
        <v>560</v>
      </c>
      <c r="M482" s="228" t="b">
        <f>+ISNUMBER(PAGOS[[#This Row],[REG]])</f>
        <v>1</v>
      </c>
    </row>
    <row r="483" spans="1:13" x14ac:dyDescent="0.3">
      <c r="A483" s="50">
        <v>481</v>
      </c>
      <c r="B483" s="281" t="s">
        <v>532</v>
      </c>
      <c r="C483" s="52">
        <v>10</v>
      </c>
      <c r="D483" s="50" t="s">
        <v>18</v>
      </c>
      <c r="E483" s="203">
        <v>118</v>
      </c>
      <c r="F483" s="33">
        <v>200</v>
      </c>
      <c r="G483" s="51">
        <v>46127</v>
      </c>
      <c r="H483" s="363">
        <v>1</v>
      </c>
      <c r="I483" s="33">
        <v>4</v>
      </c>
      <c r="J483" s="51">
        <v>46127</v>
      </c>
      <c r="K483" s="367">
        <v>1</v>
      </c>
      <c r="L483" s="36" t="s">
        <v>562</v>
      </c>
      <c r="M483" s="228" t="b">
        <f>+ISNUMBER(PAGOS[[#This Row],[REG]])</f>
        <v>1</v>
      </c>
    </row>
    <row r="484" spans="1:13" x14ac:dyDescent="0.3">
      <c r="A484" s="50">
        <v>482</v>
      </c>
      <c r="B484" s="281" t="s">
        <v>532</v>
      </c>
      <c r="C484" s="52">
        <v>9</v>
      </c>
      <c r="D484" s="50" t="s">
        <v>17</v>
      </c>
      <c r="E484" s="203">
        <v>105</v>
      </c>
      <c r="F484" s="33">
        <v>100</v>
      </c>
      <c r="G484" s="51">
        <v>46127</v>
      </c>
      <c r="H484" s="363">
        <v>4</v>
      </c>
      <c r="I484" s="33">
        <v>10</v>
      </c>
      <c r="J484" s="51">
        <v>46127</v>
      </c>
      <c r="K484" s="367">
        <v>4</v>
      </c>
      <c r="L484" s="36" t="s">
        <v>448</v>
      </c>
      <c r="M484" s="228" t="b">
        <f>+ISNUMBER(PAGOS[[#This Row],[REG]])</f>
        <v>1</v>
      </c>
    </row>
    <row r="485" spans="1:13" x14ac:dyDescent="0.3">
      <c r="A485" s="50">
        <v>483</v>
      </c>
      <c r="B485" s="281" t="s">
        <v>531</v>
      </c>
      <c r="C485" s="52">
        <v>2</v>
      </c>
      <c r="D485" s="50" t="s">
        <v>71</v>
      </c>
      <c r="E485" s="203">
        <v>0</v>
      </c>
      <c r="F485" s="33">
        <v>128</v>
      </c>
      <c r="G485" s="51">
        <v>46127</v>
      </c>
      <c r="H485" s="363" t="s">
        <v>491</v>
      </c>
      <c r="I485" s="33">
        <v>0</v>
      </c>
      <c r="J485" s="51">
        <v>46127</v>
      </c>
      <c r="K485" s="367" t="s">
        <v>491</v>
      </c>
      <c r="L485" s="36" t="s">
        <v>563</v>
      </c>
      <c r="M485" s="228" t="b">
        <f>+ISNUMBER(PAGOS[[#This Row],[REG]])</f>
        <v>1</v>
      </c>
    </row>
    <row r="486" spans="1:13" x14ac:dyDescent="0.3">
      <c r="A486" s="50">
        <v>484</v>
      </c>
      <c r="B486" s="281" t="s">
        <v>532</v>
      </c>
      <c r="C486" s="52">
        <v>13</v>
      </c>
      <c r="D486" s="50" t="s">
        <v>301</v>
      </c>
      <c r="E486" s="203">
        <v>103</v>
      </c>
      <c r="F486" s="33">
        <v>100</v>
      </c>
      <c r="G486" s="51">
        <v>46128</v>
      </c>
      <c r="H486" s="363">
        <v>5</v>
      </c>
      <c r="I486" s="33">
        <v>20</v>
      </c>
      <c r="J486" s="51">
        <v>46128</v>
      </c>
      <c r="K486" s="367">
        <v>5</v>
      </c>
      <c r="L486" s="36" t="s">
        <v>436</v>
      </c>
      <c r="M486" s="228" t="b">
        <f>+ISNUMBER(PAGOS[[#This Row],[REG]])</f>
        <v>1</v>
      </c>
    </row>
    <row r="487" spans="1:13" x14ac:dyDescent="0.3">
      <c r="A487" s="50">
        <v>485</v>
      </c>
      <c r="B487" s="281" t="s">
        <v>532</v>
      </c>
      <c r="C487" s="52">
        <v>12</v>
      </c>
      <c r="D487" s="50" t="s">
        <v>20</v>
      </c>
      <c r="E487" s="203">
        <v>115</v>
      </c>
      <c r="F487" s="33">
        <v>125</v>
      </c>
      <c r="G487" s="51">
        <v>46128</v>
      </c>
      <c r="H487" s="363">
        <v>2</v>
      </c>
      <c r="I487" s="33">
        <v>30</v>
      </c>
      <c r="J487" s="51">
        <v>46128</v>
      </c>
      <c r="K487" s="367">
        <v>2</v>
      </c>
      <c r="L487" s="36" t="s">
        <v>442</v>
      </c>
      <c r="M487" s="228" t="b">
        <f>+ISNUMBER(PAGOS[[#This Row],[REG]])</f>
        <v>1</v>
      </c>
    </row>
    <row r="488" spans="1:13" x14ac:dyDescent="0.3">
      <c r="A488" s="50">
        <v>486</v>
      </c>
      <c r="B488" s="281" t="s">
        <v>532</v>
      </c>
      <c r="C488" s="52">
        <v>16</v>
      </c>
      <c r="D488" s="50" t="s">
        <v>23</v>
      </c>
      <c r="E488" s="203">
        <v>120</v>
      </c>
      <c r="F488" s="33">
        <v>100</v>
      </c>
      <c r="G488" s="51">
        <v>46135</v>
      </c>
      <c r="H488" s="363">
        <v>1</v>
      </c>
      <c r="I488" s="33">
        <v>2</v>
      </c>
      <c r="J488" s="51">
        <v>46132</v>
      </c>
      <c r="K488" s="367">
        <v>1</v>
      </c>
      <c r="L488" s="36" t="s">
        <v>419</v>
      </c>
      <c r="M488" s="228" t="b">
        <f>+ISNUMBER(PAGOS[[#This Row],[REG]])</f>
        <v>1</v>
      </c>
    </row>
    <row r="490" spans="1:13" x14ac:dyDescent="0.3">
      <c r="I490" s="362"/>
    </row>
  </sheetData>
  <mergeCells count="1">
    <mergeCell ref="A1:L1"/>
  </mergeCells>
  <phoneticPr fontId="3" type="noConversion"/>
  <hyperlinks>
    <hyperlink ref="A1:L1" location="REGISTRO!A1" display="PAGOS" xr:uid="{63994116-5263-494B-8B75-D53820B04F3D}"/>
  </hyperlinks>
  <pageMargins left="0.7" right="0.7" top="0.75" bottom="0.75" header="0.3" footer="0.3"/>
  <pageSetup paperSize="9" scale="42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6"/>
  <sheetViews>
    <sheetView workbookViewId="0">
      <pane ySplit="1" topLeftCell="A18" activePane="bottomLeft" state="frozen"/>
      <selection pane="bottomLeft" activeCell="C46" sqref="C46"/>
    </sheetView>
  </sheetViews>
  <sheetFormatPr baseColWidth="10" defaultRowHeight="14.4" x14ac:dyDescent="0.3"/>
  <cols>
    <col min="1" max="1" width="13" bestFit="1" customWidth="1"/>
    <col min="2" max="2" width="10.6640625" bestFit="1" customWidth="1"/>
    <col min="3" max="3" width="10.44140625" bestFit="1" customWidth="1"/>
    <col min="4" max="4" width="24" bestFit="1" customWidth="1"/>
  </cols>
  <sheetData>
    <row r="1" spans="1:6" x14ac:dyDescent="0.3">
      <c r="A1" s="173" t="s">
        <v>333</v>
      </c>
      <c r="B1" s="174" t="s">
        <v>48</v>
      </c>
      <c r="C1" s="174" t="s">
        <v>69</v>
      </c>
      <c r="D1" s="175" t="s">
        <v>262</v>
      </c>
    </row>
    <row r="2" spans="1:6" x14ac:dyDescent="0.3">
      <c r="A2" s="241" cm="1">
        <f t="array" ref="A2">IF(DENERO_CAJA[[#This Row],[MONTO]]&lt;&gt;"",ROW()-ROW(DENERO_CAJA[#Headers]),"")</f>
        <v>1</v>
      </c>
      <c r="B2" s="166">
        <v>44788</v>
      </c>
      <c r="C2" s="179">
        <v>130</v>
      </c>
      <c r="D2" s="172" t="s">
        <v>480</v>
      </c>
      <c r="F2" s="197"/>
    </row>
    <row r="3" spans="1:6" x14ac:dyDescent="0.3">
      <c r="A3" s="241" cm="1">
        <f t="array" ref="A3">IF(DENERO_CAJA[[#This Row],[MONTO]]&lt;&gt;"",ROW()-ROW(DENERO_CAJA[#Headers]),"")</f>
        <v>2</v>
      </c>
      <c r="B3" s="166">
        <v>44819</v>
      </c>
      <c r="C3" s="179">
        <v>100</v>
      </c>
      <c r="D3" s="172" t="s">
        <v>480</v>
      </c>
      <c r="F3" s="197"/>
    </row>
    <row r="4" spans="1:6" x14ac:dyDescent="0.3">
      <c r="A4" s="241" cm="1">
        <f t="array" ref="A4">IF(DENERO_CAJA[[#This Row],[MONTO]]&lt;&gt;"",ROW()-ROW(DENERO_CAJA[#Headers]),"")</f>
        <v>3</v>
      </c>
      <c r="B4" s="166">
        <v>44849</v>
      </c>
      <c r="C4" s="179">
        <v>113.2</v>
      </c>
      <c r="D4" s="172" t="s">
        <v>480</v>
      </c>
      <c r="F4" s="197"/>
    </row>
    <row r="5" spans="1:6" x14ac:dyDescent="0.3">
      <c r="A5" s="241" cm="1">
        <f t="array" ref="A5">IF(DENERO_CAJA[[#This Row],[MONTO]]&lt;&gt;"",ROW()-ROW(DENERO_CAJA[#Headers]),"")</f>
        <v>4</v>
      </c>
      <c r="B5" s="166">
        <v>44880</v>
      </c>
      <c r="C5" s="179">
        <v>130.4</v>
      </c>
      <c r="D5" s="172" t="s">
        <v>480</v>
      </c>
      <c r="F5" s="197"/>
    </row>
    <row r="6" spans="1:6" x14ac:dyDescent="0.3">
      <c r="A6" s="241" cm="1">
        <f t="array" ref="A6">IF(DENERO_CAJA[[#This Row],[MONTO]]&lt;&gt;"",ROW()-ROW(DENERO_CAJA[#Headers]),"")</f>
        <v>5</v>
      </c>
      <c r="B6" s="166">
        <v>44910</v>
      </c>
      <c r="C6" s="179">
        <v>108.4</v>
      </c>
      <c r="D6" s="172" t="s">
        <v>480</v>
      </c>
      <c r="F6" s="197"/>
    </row>
    <row r="7" spans="1:6" x14ac:dyDescent="0.3">
      <c r="A7" s="241" cm="1">
        <f t="array" ref="A7">IF(DENERO_CAJA[[#This Row],[MONTO]]&lt;&gt;"",ROW()-ROW(DENERO_CAJA[#Headers]),"")</f>
        <v>6</v>
      </c>
      <c r="B7" s="166">
        <v>44941</v>
      </c>
      <c r="C7" s="179">
        <v>133.80000000000001</v>
      </c>
      <c r="D7" s="172" t="s">
        <v>480</v>
      </c>
      <c r="F7" s="197"/>
    </row>
    <row r="8" spans="1:6" x14ac:dyDescent="0.3">
      <c r="A8" s="241" cm="1">
        <f t="array" ref="A8">IF(DENERO_CAJA[[#This Row],[MONTO]]&lt;&gt;"",ROW()-ROW(DENERO_CAJA[#Headers]),"")</f>
        <v>7</v>
      </c>
      <c r="B8" s="166">
        <v>44972</v>
      </c>
      <c r="C8" s="179">
        <v>52.87</v>
      </c>
      <c r="D8" s="172" t="s">
        <v>480</v>
      </c>
      <c r="F8" s="197"/>
    </row>
    <row r="9" spans="1:6" x14ac:dyDescent="0.3">
      <c r="A9" s="242" cm="1">
        <f t="array" ref="A9">IF(DENERO_CAJA[[#This Row],[MONTO]]&lt;&gt;"",ROW()-ROW(DENERO_CAJA[#Headers]),"")</f>
        <v>8</v>
      </c>
      <c r="B9" s="166">
        <v>45000</v>
      </c>
      <c r="C9" s="179">
        <v>24.94</v>
      </c>
      <c r="D9" s="172" t="s">
        <v>480</v>
      </c>
      <c r="F9" s="197"/>
    </row>
    <row r="10" spans="1:6" x14ac:dyDescent="0.3">
      <c r="A10" s="242" cm="1">
        <f t="array" ref="A10">IF(DENERO_CAJA[[#This Row],[MONTO]]&lt;&gt;"",ROW()-ROW(DENERO_CAJA[#Headers]),"")</f>
        <v>9</v>
      </c>
      <c r="B10" s="166">
        <v>45031</v>
      </c>
      <c r="C10" s="179">
        <v>366.6</v>
      </c>
      <c r="D10" s="172" t="s">
        <v>480</v>
      </c>
      <c r="F10" s="197"/>
    </row>
    <row r="11" spans="1:6" x14ac:dyDescent="0.3">
      <c r="A11" s="242" cm="1">
        <f t="array" ref="A11">IF(DENERO_CAJA[[#This Row],[MONTO]]&lt;&gt;"",ROW()-ROW(DENERO_CAJA[#Headers]),"")</f>
        <v>10</v>
      </c>
      <c r="B11" s="166">
        <v>45061</v>
      </c>
      <c r="C11" s="179">
        <v>583</v>
      </c>
      <c r="D11" s="172" t="s">
        <v>480</v>
      </c>
      <c r="F11" s="197"/>
    </row>
    <row r="12" spans="1:6" x14ac:dyDescent="0.3">
      <c r="A12" s="242" cm="1">
        <f t="array" ref="A12">IF(DENERO_CAJA[[#This Row],[MONTO]]&lt;&gt;"",ROW()-ROW(DENERO_CAJA[#Headers]),"")</f>
        <v>11</v>
      </c>
      <c r="B12" s="166">
        <v>45092</v>
      </c>
      <c r="C12" s="179">
        <v>60</v>
      </c>
      <c r="D12" s="172" t="s">
        <v>480</v>
      </c>
      <c r="F12" s="197"/>
    </row>
    <row r="13" spans="1:6" x14ac:dyDescent="0.3">
      <c r="A13" s="242" cm="1">
        <f t="array" ref="A13">IF(DENERO_CAJA[[#This Row],[MONTO]]&lt;&gt;"",ROW()-ROW(DENERO_CAJA[#Headers]),"")</f>
        <v>12</v>
      </c>
      <c r="B13" s="166">
        <v>45122</v>
      </c>
      <c r="C13" s="179">
        <v>230</v>
      </c>
      <c r="D13" s="172" t="s">
        <v>480</v>
      </c>
      <c r="F13" s="197"/>
    </row>
    <row r="14" spans="1:6" x14ac:dyDescent="0.3">
      <c r="A14" s="242" cm="1">
        <f t="array" ref="A14">IF(DENERO_CAJA[[#This Row],[MONTO]]&lt;&gt;"",ROW()-ROW(DENERO_CAJA[#Headers]),"")</f>
        <v>13</v>
      </c>
      <c r="B14" s="166">
        <v>45153</v>
      </c>
      <c r="C14" s="179">
        <v>394</v>
      </c>
      <c r="D14" s="172" t="s">
        <v>480</v>
      </c>
      <c r="F14" s="197"/>
    </row>
    <row r="15" spans="1:6" x14ac:dyDescent="0.3">
      <c r="A15" s="242" cm="1">
        <f t="array" ref="A15">IF(DENERO_CAJA[[#This Row],[MONTO]]&lt;&gt;"",ROW()-ROW(DENERO_CAJA[#Headers]),"")</f>
        <v>14</v>
      </c>
      <c r="B15" s="166">
        <v>45184</v>
      </c>
      <c r="C15" s="179">
        <v>75</v>
      </c>
      <c r="D15" s="172" t="s">
        <v>480</v>
      </c>
      <c r="F15" s="197"/>
    </row>
    <row r="16" spans="1:6" x14ac:dyDescent="0.3">
      <c r="A16" s="242" cm="1">
        <f t="array" ref="A16">IF(DENERO_CAJA[[#This Row],[MONTO]]&lt;&gt;"",ROW()-ROW(DENERO_CAJA[#Headers]),"")</f>
        <v>15</v>
      </c>
      <c r="B16" s="166">
        <v>45214</v>
      </c>
      <c r="C16" s="179">
        <v>164</v>
      </c>
      <c r="D16" s="172" t="s">
        <v>480</v>
      </c>
      <c r="F16" s="197"/>
    </row>
    <row r="17" spans="1:6" x14ac:dyDescent="0.3">
      <c r="A17" s="242" cm="1">
        <f t="array" ref="A17">IF(DENERO_CAJA[[#This Row],[MONTO]]&lt;&gt;"",ROW()-ROW(DENERO_CAJA[#Headers]),"")</f>
        <v>16</v>
      </c>
      <c r="B17" s="166">
        <v>45245</v>
      </c>
      <c r="C17" s="179">
        <v>13.66</v>
      </c>
      <c r="D17" s="172" t="s">
        <v>480</v>
      </c>
      <c r="F17" s="197"/>
    </row>
    <row r="18" spans="1:6" x14ac:dyDescent="0.3">
      <c r="A18" s="242" cm="1">
        <f t="array" ref="A18">IF(DENERO_CAJA[[#This Row],[MONTO]]&lt;&gt;"",ROW()-ROW(DENERO_CAJA[#Headers]),"")</f>
        <v>17</v>
      </c>
      <c r="B18" s="166">
        <v>45275</v>
      </c>
      <c r="C18" s="179">
        <v>320.8</v>
      </c>
      <c r="D18" s="172" t="s">
        <v>480</v>
      </c>
      <c r="F18" s="197"/>
    </row>
    <row r="19" spans="1:6" x14ac:dyDescent="0.3">
      <c r="A19" s="242" cm="1">
        <f t="array" ref="A19">IF(DENERO_CAJA[[#This Row],[MONTO]]&lt;&gt;"",ROW()-ROW(DENERO_CAJA[#Headers]),"")</f>
        <v>18</v>
      </c>
      <c r="B19" s="166">
        <v>45306</v>
      </c>
      <c r="C19" s="179">
        <v>331.94</v>
      </c>
      <c r="D19" s="172" t="s">
        <v>480</v>
      </c>
      <c r="F19" s="197"/>
    </row>
    <row r="20" spans="1:6" x14ac:dyDescent="0.3">
      <c r="A20" s="242" cm="1">
        <f t="array" ref="A20">IF(DENERO_CAJA[[#This Row],[MONTO]]&lt;&gt;"",ROW()-ROW(DENERO_CAJA[#Headers]),"")</f>
        <v>19</v>
      </c>
      <c r="B20" s="166">
        <v>45337</v>
      </c>
      <c r="C20" s="179">
        <v>473.08</v>
      </c>
      <c r="D20" s="172" t="s">
        <v>480</v>
      </c>
      <c r="F20" s="197"/>
    </row>
    <row r="21" spans="1:6" x14ac:dyDescent="0.3">
      <c r="A21" s="242" cm="1">
        <f t="array" ref="A21">IF(DENERO_CAJA[[#This Row],[MONTO]]&lt;&gt;"",ROW()-ROW(DENERO_CAJA[#Headers]),"")</f>
        <v>20</v>
      </c>
      <c r="B21" s="166">
        <v>45366</v>
      </c>
      <c r="C21" s="179">
        <v>53.22</v>
      </c>
      <c r="D21" s="172" t="s">
        <v>480</v>
      </c>
      <c r="F21" s="197"/>
    </row>
    <row r="22" spans="1:6" x14ac:dyDescent="0.3">
      <c r="A22" s="242" cm="1">
        <f t="array" ref="A22">IF(DENERO_CAJA[[#This Row],[MONTO]]&lt;&gt;"",ROW()-ROW(DENERO_CAJA[#Headers]),"")</f>
        <v>21</v>
      </c>
      <c r="B22" s="166">
        <v>45397</v>
      </c>
      <c r="C22" s="179">
        <v>469.36</v>
      </c>
      <c r="D22" s="172" t="s">
        <v>480</v>
      </c>
      <c r="F22" s="197"/>
    </row>
    <row r="23" spans="1:6" x14ac:dyDescent="0.3">
      <c r="A23" s="242" cm="1">
        <f t="array" ref="A23">IF(DENERO_CAJA[[#This Row],[MONTO]]&lt;&gt;"",ROW()-ROW(DENERO_CAJA[#Headers]),"")</f>
        <v>22</v>
      </c>
      <c r="B23" s="166">
        <v>45427</v>
      </c>
      <c r="C23" s="179">
        <v>139.5</v>
      </c>
      <c r="D23" s="172" t="s">
        <v>480</v>
      </c>
      <c r="F23" s="197"/>
    </row>
    <row r="24" spans="1:6" x14ac:dyDescent="0.3">
      <c r="A24" s="242" cm="1">
        <f t="array" ref="A24">IF(DENERO_CAJA[[#This Row],[MONTO]]&lt;&gt;"",ROW()-ROW(DENERO_CAJA[#Headers]),"")</f>
        <v>23</v>
      </c>
      <c r="B24" s="166">
        <v>45458</v>
      </c>
      <c r="C24" s="179">
        <v>46.24</v>
      </c>
      <c r="D24" s="172" t="s">
        <v>480</v>
      </c>
      <c r="F24" s="197"/>
    </row>
    <row r="25" spans="1:6" x14ac:dyDescent="0.3">
      <c r="A25" s="242" cm="1">
        <f t="array" ref="A25">IF(DENERO_CAJA[[#This Row],[MONTO]]&lt;&gt;"",ROW()-ROW(DENERO_CAJA[#Headers]),"")</f>
        <v>24</v>
      </c>
      <c r="B25" s="166">
        <v>45488</v>
      </c>
      <c r="C25" s="179">
        <v>136.94999999999999</v>
      </c>
      <c r="D25" s="172" t="s">
        <v>480</v>
      </c>
      <c r="F25" s="197"/>
    </row>
    <row r="26" spans="1:6" x14ac:dyDescent="0.3">
      <c r="A26" s="242" cm="1">
        <f t="array" ref="A26">IF(DENERO_CAJA[[#This Row],[MONTO]]&lt;&gt;"",ROW()-ROW(DENERO_CAJA[#Headers]),"")</f>
        <v>25</v>
      </c>
      <c r="B26" s="166">
        <v>45519</v>
      </c>
      <c r="C26" s="179">
        <v>198.33</v>
      </c>
      <c r="D26" s="172" t="s">
        <v>480</v>
      </c>
      <c r="F26" s="197"/>
    </row>
    <row r="27" spans="1:6" x14ac:dyDescent="0.3">
      <c r="A27" s="242" cm="1">
        <f t="array" ref="A27">IF(DENERO_CAJA[[#This Row],[MONTO]]&lt;&gt;"",ROW()-ROW(DENERO_CAJA[#Headers]),"")</f>
        <v>26</v>
      </c>
      <c r="B27" s="166">
        <v>45550</v>
      </c>
      <c r="C27" s="179">
        <v>645.71</v>
      </c>
      <c r="D27" s="172" t="s">
        <v>480</v>
      </c>
      <c r="F27" s="197"/>
    </row>
    <row r="28" spans="1:6" x14ac:dyDescent="0.3">
      <c r="A28" s="242" cm="1">
        <f t="array" ref="A28">IF(DENERO_CAJA[[#This Row],[MONTO]]&lt;&gt;"",ROW()-ROW(DENERO_CAJA[#Headers]),"")</f>
        <v>27</v>
      </c>
      <c r="B28" s="166">
        <v>45580</v>
      </c>
      <c r="C28" s="179">
        <v>613.79</v>
      </c>
      <c r="D28" s="172" t="s">
        <v>480</v>
      </c>
      <c r="F28" s="197"/>
    </row>
    <row r="29" spans="1:6" x14ac:dyDescent="0.3">
      <c r="A29" s="242" cm="1">
        <f t="array" ref="A29">IF(DENERO_CAJA[[#This Row],[MONTO]]&lt;&gt;"",ROW()-ROW(DENERO_CAJA[#Headers]),"")</f>
        <v>28</v>
      </c>
      <c r="B29" s="166">
        <v>45611</v>
      </c>
      <c r="C29" s="179">
        <v>223.68</v>
      </c>
      <c r="D29" s="172" t="s">
        <v>480</v>
      </c>
      <c r="F29" s="197"/>
    </row>
    <row r="30" spans="1:6" x14ac:dyDescent="0.3">
      <c r="A30" s="242" cm="1">
        <f t="array" ref="A30">IF(DENERO_CAJA[[#This Row],[MONTO]]&lt;&gt;"",ROW()-ROW(DENERO_CAJA[#Headers]),"")</f>
        <v>29</v>
      </c>
      <c r="B30" s="166">
        <v>45641</v>
      </c>
      <c r="C30" s="179">
        <v>120.72</v>
      </c>
      <c r="D30" s="172" t="s">
        <v>480</v>
      </c>
      <c r="F30" s="197"/>
    </row>
    <row r="31" spans="1:6" x14ac:dyDescent="0.3">
      <c r="A31" s="242" cm="1">
        <f t="array" ref="A31">IF(DENERO_CAJA[[#This Row],[MONTO]]&lt;&gt;"",ROW()-ROW(DENERO_CAJA[#Headers]),"")</f>
        <v>30</v>
      </c>
      <c r="B31" s="166">
        <v>45672</v>
      </c>
      <c r="C31" s="179">
        <v>233.66</v>
      </c>
      <c r="D31" s="172" t="s">
        <v>480</v>
      </c>
      <c r="F31" s="197"/>
    </row>
    <row r="32" spans="1:6" x14ac:dyDescent="0.3">
      <c r="A32" s="242" cm="1">
        <f t="array" ref="A32">IF(DENERO_CAJA[[#This Row],[MONTO]]&lt;&gt;"",ROW()-ROW(DENERO_CAJA[#Headers]),"")</f>
        <v>31</v>
      </c>
      <c r="B32" s="166">
        <v>45703</v>
      </c>
      <c r="C32" s="179">
        <v>346</v>
      </c>
      <c r="D32" s="172" t="s">
        <v>480</v>
      </c>
      <c r="F32" s="197"/>
    </row>
    <row r="33" spans="1:6" x14ac:dyDescent="0.3">
      <c r="A33" s="242" cm="1">
        <f t="array" ref="A33">IF(DENERO_CAJA[[#This Row],[MONTO]]&lt;&gt;"",ROW()-ROW(DENERO_CAJA[#Headers]),"")</f>
        <v>32</v>
      </c>
      <c r="B33" s="166">
        <v>45731</v>
      </c>
      <c r="C33" s="179">
        <v>13.67</v>
      </c>
      <c r="D33" s="172" t="s">
        <v>480</v>
      </c>
      <c r="F33" s="197"/>
    </row>
    <row r="34" spans="1:6" x14ac:dyDescent="0.3">
      <c r="A34" s="242" cm="1">
        <f t="array" ref="A34">IF(DENERO_CAJA[[#This Row],[MONTO]]&lt;&gt;"",ROW()-ROW(DENERO_CAJA[#Headers]),"")</f>
        <v>33</v>
      </c>
      <c r="B34" s="166">
        <v>45762</v>
      </c>
      <c r="C34" s="179">
        <v>1573.34</v>
      </c>
      <c r="D34" s="172" t="s">
        <v>480</v>
      </c>
      <c r="F34" s="197"/>
    </row>
    <row r="35" spans="1:6" x14ac:dyDescent="0.3">
      <c r="A35" s="242" cm="1">
        <f t="array" ref="A35">IF(DENERO_CAJA[[#This Row],[MONTO]]&lt;&gt;"",ROW()-ROW(DENERO_CAJA[#Headers]),"")</f>
        <v>34</v>
      </c>
      <c r="B35" s="166">
        <v>45792</v>
      </c>
      <c r="C35" s="179">
        <v>66.34</v>
      </c>
      <c r="D35" s="172" t="s">
        <v>480</v>
      </c>
      <c r="F35" s="197"/>
    </row>
    <row r="36" spans="1:6" x14ac:dyDescent="0.3">
      <c r="A36" s="242" cm="1">
        <f t="array" ref="A36">IF(DENERO_CAJA[[#This Row],[MONTO]]&lt;&gt;"",ROW()-ROW(DENERO_CAJA[#Headers]),"")</f>
        <v>35</v>
      </c>
      <c r="B36" s="166">
        <v>45823</v>
      </c>
      <c r="C36" s="179">
        <v>1836.81</v>
      </c>
      <c r="D36" s="172" t="s">
        <v>480</v>
      </c>
      <c r="F36" s="197"/>
    </row>
    <row r="37" spans="1:6" x14ac:dyDescent="0.3">
      <c r="A37" s="242" cm="1">
        <f t="array" ref="A37">IF(DENERO_CAJA[[#This Row],[MONTO]]&lt;&gt;"",ROW()-ROW(DENERO_CAJA[#Headers]),"")</f>
        <v>36</v>
      </c>
      <c r="B37" s="166">
        <v>45853</v>
      </c>
      <c r="C37" s="179">
        <f>3518.49</f>
        <v>3518.49</v>
      </c>
      <c r="D37" s="172" t="s">
        <v>480</v>
      </c>
      <c r="F37" s="197"/>
    </row>
    <row r="38" spans="1:6" x14ac:dyDescent="0.3">
      <c r="A38" s="242">
        <v>37</v>
      </c>
      <c r="B38" s="38">
        <v>45884</v>
      </c>
      <c r="C38" s="179">
        <v>1041.96</v>
      </c>
      <c r="D38" s="172" t="s">
        <v>480</v>
      </c>
    </row>
    <row r="39" spans="1:6" x14ac:dyDescent="0.3">
      <c r="A39" s="242">
        <v>38</v>
      </c>
      <c r="B39" s="38">
        <v>45915</v>
      </c>
      <c r="C39" s="179">
        <v>1253.83</v>
      </c>
      <c r="D39" s="172" t="s">
        <v>480</v>
      </c>
    </row>
    <row r="40" spans="1:6" x14ac:dyDescent="0.3">
      <c r="A40" s="242">
        <v>39</v>
      </c>
      <c r="B40" s="38">
        <v>45945</v>
      </c>
      <c r="C40" s="179">
        <v>2283.7800000000002</v>
      </c>
      <c r="D40" s="172" t="s">
        <v>480</v>
      </c>
    </row>
    <row r="41" spans="1:6" x14ac:dyDescent="0.3">
      <c r="A41" s="242">
        <v>40</v>
      </c>
      <c r="B41" s="38">
        <v>45976</v>
      </c>
      <c r="C41" s="179">
        <v>2381.06</v>
      </c>
      <c r="D41" s="172" t="s">
        <v>480</v>
      </c>
    </row>
    <row r="42" spans="1:6" x14ac:dyDescent="0.3">
      <c r="A42" s="242">
        <v>41</v>
      </c>
      <c r="B42" s="38">
        <v>46008</v>
      </c>
      <c r="C42" s="179">
        <v>81.06</v>
      </c>
      <c r="D42" s="172" t="s">
        <v>480</v>
      </c>
    </row>
    <row r="43" spans="1:6" x14ac:dyDescent="0.3">
      <c r="A43" s="242">
        <v>42</v>
      </c>
      <c r="B43" s="38">
        <v>46037</v>
      </c>
      <c r="C43" s="179">
        <v>552.47</v>
      </c>
      <c r="D43" s="172" t="s">
        <v>480</v>
      </c>
    </row>
    <row r="44" spans="1:6" x14ac:dyDescent="0.3">
      <c r="A44" s="242">
        <v>43</v>
      </c>
      <c r="B44" s="38">
        <v>46068</v>
      </c>
      <c r="C44" s="179">
        <v>1803.75</v>
      </c>
      <c r="D44" s="172" t="s">
        <v>480</v>
      </c>
    </row>
    <row r="45" spans="1:6" x14ac:dyDescent="0.3">
      <c r="A45" s="242">
        <v>44</v>
      </c>
      <c r="B45" s="38">
        <v>46097</v>
      </c>
      <c r="C45" s="42">
        <v>2884.19</v>
      </c>
      <c r="D45" s="361" t="s">
        <v>524</v>
      </c>
    </row>
    <row r="46" spans="1:6" x14ac:dyDescent="0.3">
      <c r="A46" s="242">
        <v>45</v>
      </c>
      <c r="B46" s="38">
        <v>46127</v>
      </c>
      <c r="C46" s="42">
        <v>1809.63</v>
      </c>
      <c r="D46" s="361" t="s">
        <v>570</v>
      </c>
    </row>
  </sheetData>
  <sheetProtection algorithmName="SHA-512" hashValue="h7KPXXHCaj35S6+KE15gd9w+4wobUVagfa4s11I9yP3rqqa88/jclmN6WVh6ODV12X+woi04Tn8Diy8+fc1opw==" saltValue="waR0byXjId/nZoXZBg5O0A==" spinCount="100000" sheet="1" objects="1" scenarios="1"/>
  <pageMargins left="0.7" right="0.7" top="0.75" bottom="0.75" header="0.3" footer="0.3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8"/>
  <sheetViews>
    <sheetView workbookViewId="0">
      <selection activeCell="H3" sqref="H3"/>
    </sheetView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0.44140625" bestFit="1" customWidth="1"/>
    <col min="4" max="4" width="5.33203125" bestFit="1" customWidth="1"/>
    <col min="5" max="5" width="9.33203125" bestFit="1" customWidth="1"/>
    <col min="6" max="6" width="8.109375" bestFit="1" customWidth="1"/>
    <col min="7" max="8" width="12.44140625" bestFit="1" customWidth="1"/>
    <col min="9" max="10" width="10.6640625" bestFit="1" customWidth="1"/>
    <col min="11" max="11" width="12.44140625" customWidth="1"/>
    <col min="12" max="12" width="11" bestFit="1" customWidth="1"/>
    <col min="13" max="13" width="9.33203125" bestFit="1" customWidth="1"/>
    <col min="14" max="14" width="12" bestFit="1" customWidth="1"/>
    <col min="15" max="15" width="10.33203125" bestFit="1" customWidth="1"/>
    <col min="16" max="16" width="11" bestFit="1" customWidth="1"/>
    <col min="17" max="17" width="10.33203125" bestFit="1" customWidth="1"/>
  </cols>
  <sheetData>
    <row r="2" spans="2:18" ht="21.6" thickBot="1" x14ac:dyDescent="0.45">
      <c r="D2" s="278" t="s">
        <v>369</v>
      </c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</row>
    <row r="3" spans="2:18" ht="15.6" thickTop="1" thickBot="1" x14ac:dyDescent="0.35">
      <c r="D3" s="276"/>
      <c r="E3" s="54"/>
      <c r="F3" s="276" t="s">
        <v>466</v>
      </c>
      <c r="G3" s="277"/>
      <c r="H3" s="257"/>
      <c r="I3" s="276" t="s">
        <v>467</v>
      </c>
      <c r="J3" s="54"/>
      <c r="K3" s="257"/>
    </row>
    <row r="4" spans="2:18" ht="15" thickTop="1" x14ac:dyDescent="0.3">
      <c r="B4" s="370" t="s">
        <v>357</v>
      </c>
      <c r="E4" s="258"/>
      <c r="F4" s="258"/>
      <c r="G4" s="259" t="s">
        <v>360</v>
      </c>
      <c r="H4" s="259" t="s">
        <v>361</v>
      </c>
      <c r="I4" s="260" t="s">
        <v>363</v>
      </c>
      <c r="J4" s="260" t="s">
        <v>361</v>
      </c>
      <c r="K4" s="261" t="s">
        <v>361</v>
      </c>
      <c r="L4" s="262" t="s">
        <v>360</v>
      </c>
      <c r="M4" s="262" t="s">
        <v>32</v>
      </c>
      <c r="N4" s="258"/>
      <c r="O4" s="258"/>
      <c r="P4" s="258"/>
      <c r="Q4" s="258"/>
    </row>
    <row r="5" spans="2:18" x14ac:dyDescent="0.3">
      <c r="B5" s="370" t="s">
        <v>27</v>
      </c>
      <c r="C5" s="370" t="s">
        <v>11</v>
      </c>
      <c r="D5" t="s">
        <v>465</v>
      </c>
      <c r="E5" s="260" t="s">
        <v>358</v>
      </c>
      <c r="F5" s="260" t="s">
        <v>359</v>
      </c>
      <c r="G5" s="259" t="s">
        <v>113</v>
      </c>
      <c r="H5" s="259" t="s">
        <v>113</v>
      </c>
      <c r="I5" s="260" t="s">
        <v>362</v>
      </c>
      <c r="J5" s="260" t="s">
        <v>362</v>
      </c>
      <c r="K5" s="261" t="s">
        <v>469</v>
      </c>
      <c r="L5" s="262" t="s">
        <v>468</v>
      </c>
      <c r="M5" s="262" t="s">
        <v>468</v>
      </c>
      <c r="N5" s="260" t="s">
        <v>365</v>
      </c>
      <c r="O5" s="260" t="s">
        <v>366</v>
      </c>
      <c r="P5" s="260" t="s">
        <v>368</v>
      </c>
      <c r="Q5" s="260" t="s">
        <v>25</v>
      </c>
    </row>
    <row r="6" spans="2:18" x14ac:dyDescent="0.3">
      <c r="B6" s="263">
        <v>1</v>
      </c>
      <c r="C6" s="263" t="s">
        <v>70</v>
      </c>
      <c r="D6" s="263">
        <v>1</v>
      </c>
      <c r="E6" s="263">
        <f>IF(OR($H$3="",$K$3=""),SUMIFS(APORTACIONESOCIOS[APORTE],APORTACIONESOCIOS[CODIGO CLIENTE],B6),SUMIFS(APORTACIONESOCIOS[APORTE],APORTACIONESOCIOS[CODIGO CLIENTE],B6,APORTACIONESOCIOS[FECHA],"&gt;="&amp;$H$3,APORTACIONESOCIOS[FECHA],"&lt;="&amp;$K$3))</f>
        <v>0</v>
      </c>
      <c r="F6" s="264">
        <f>IF(OR($H$3="",$K$3=""),SUMIFS(PRESTAMOS[MONTO AMORTIZACION],PRESTAMOS[NOMBRE CLIENTE],C6,PRESTAMOS[TIPO],"AYUDA"),SUMIFS(PRESTAMOS[MONTO AMORTIZACION],PRESTAMOS[NOMBRE CLIENTE],C6,PRESTAMOS[TIPO],"AYUDA",PRESTAMOS[FECHA DEL PRESTAMO],"&gt;="&amp;$H$3,PRESTAMOS[FECHA DEL PRESTAMO],"&lt;="&amp;$K$3))</f>
        <v>0</v>
      </c>
      <c r="G6" s="265">
        <f>IF(OR($H$3="",$K$3=""),SUMIFS(PRESTAMOS[MONTO AMORTIZACION],PRESTAMOS[CODIGO CLIENTE],B6,PRESTAMOS[TIPO],"&lt;&gt;AYUDA"),SUMIFS(PRESTAMOS[MONTO AMORTIZACION],PRESTAMOS[CODIGO CLIENTE],B6,PRESTAMOS[TIPO],"&lt;&gt;AYUDA",PRESTAMOS[FECHA DEL PRESTAMO],"&gt;="&amp;$H$3,PRESTAMOS[FECHA DEL PRESTAMO],"&lt;="&amp;$K$3))</f>
        <v>0</v>
      </c>
      <c r="H6" s="265">
        <f>IF(OR($H$3="",$K$3=""),SUMIFS(PRESTAMOS[T. INT],PRESTAMOS[CODIGO CLIENTE],B6,PRESTAMOS[TIPO],"&lt;&gt;AYUDA"),SUMIFS(PRESTAMOS[T. INT],PRESTAMOS[CODIGO CLIENTE],B6,PRESTAMOS[TIPO],"&lt;&gt;AYUDA",PRESTAMOS[FECHA DEL PRESTAMO],"&gt;="&amp;$H$3,PRESTAMOS[FECHA DEL PRESTAMO],"&lt;="&amp;$K$3))</f>
        <v>0</v>
      </c>
      <c r="I6" s="264">
        <v>0</v>
      </c>
      <c r="J6" s="264">
        <v>0</v>
      </c>
      <c r="K6" s="266">
        <v>0</v>
      </c>
      <c r="L6" s="267">
        <f>+G6-(I6)</f>
        <v>0</v>
      </c>
      <c r="M6" s="267">
        <f t="shared" ref="M6:M23" si="0">+H6-(J6+K6)</f>
        <v>0</v>
      </c>
      <c r="N6" s="268">
        <f>IF(OR($H$3="",$K$3=""),(SUMIFS(PAGOS[PAGO DEL MONTO],PAGOS[NOMBRE CLIENTE],C6,PAGOS[TIPO],"INGRESO"))+(SUMIFS(PAGOS[PAGO DEL INTERES],PAGOS[NOMBRE CLIENTE],C6,PAGOS[TIPO],"INGRESO")),(SUMIFS(PAGOS[PAGO DEL MONTO],PAGOS[NOMBRE CLIENTE],C6,PAGOS[TIPO],"INGRESO",PAGOS[FECHA PAGO DEL MONTO],"&gt;="&amp;$H$3,PAGOS[FECHA PAGO DEL MONTO],"&lt;="&amp;$K$3))+(SUMIFS(PAGOS[PAGO DEL INTERES],PAGOS[NOMBRE CLIENTE],C6,PAGOS[TIPO],"INGRESO",PAGOS[FECHA PAGO INTERES],"&gt;="&amp;$H$3,PAGOS[FECHA PAGO INTERES],"&lt;="&amp;$K$3)))</f>
        <v>43.5</v>
      </c>
      <c r="O6" s="268">
        <f>IF(OR($H$3="",$K$3=""),IF(C6="SOCIOS GASTOS",SUMIFS(PAGOS[PAGO DEL MONTO],PAGOS[NOMBRE CLIENTE],"SOCIOS GASTOS",PAGOS[TIPO],"EGRESO")+(SUMIFS(PAGOS[PAGO DEL INTERES],PAGOS[NOMBRE CLIENTE],"SOCIOS GASTOS",PAGOS[TIPO],"EGRESO")),0)+F6,IF(C6="SOCIOS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INTERES],"&lt;="&amp;$K$3)),0)+F6)</f>
        <v>0</v>
      </c>
      <c r="P6" s="269">
        <f>IF(OR(B6=1,B6=2),0,($H$24+$N$24)-($O$24+$K$24))/16</f>
        <v>0</v>
      </c>
      <c r="Q6" s="270">
        <f>+E6+P6</f>
        <v>0</v>
      </c>
    </row>
    <row r="7" spans="2:18" x14ac:dyDescent="0.3">
      <c r="B7" s="263">
        <v>2</v>
      </c>
      <c r="C7" s="263" t="s">
        <v>71</v>
      </c>
      <c r="D7" s="263">
        <v>1</v>
      </c>
      <c r="E7" s="263">
        <f>IF(OR($H$3="",$K$3=""),SUMIFS(APORTACIONESOCIOS[APORTE],APORTACIONESOCIOS[CODIGO CLIENTE],B7),SUMIFS(APORTACIONESOCIOS[APORTE],APORTACIONESOCIOS[CODIGO CLIENTE],B7,APORTACIONESOCIOS[FECHA],"&gt;="&amp;$H$3,APORTACIONESOCIOS[FECHA],"&lt;="&amp;$K$3))</f>
        <v>0</v>
      </c>
      <c r="F7" s="264">
        <f>IF(OR($H$3="",$K$3=""),SUMIFS(PRESTAMOS[MONTO AMORTIZACION],PRESTAMOS[NOMBRE CLIENTE],C7,PRESTAMOS[TIPO],"AYUDA"),SUMIFS(PRESTAMOS[MONTO AMORTIZACION],PRESTAMOS[NOMBRE CLIENTE],C7,PRESTAMOS[TIPO],"AYUDA",PRESTAMOS[FECHA DEL PRESTAMO],"&gt;="&amp;$H$3,PRESTAMOS[FECHA DEL PRESTAMO],"&lt;="&amp;$K$3))</f>
        <v>0</v>
      </c>
      <c r="G7" s="265">
        <f>IF(OR($H$3="",$K$3=""),SUMIFS(PRESTAMOS[MONTO AMORTIZACION],PRESTAMOS[CODIGO CLIENTE],B7,PRESTAMOS[TIPO],"&lt;&gt;AYUDA"),SUMIFS(PRESTAMOS[MONTO AMORTIZACION],PRESTAMOS[CODIGO CLIENTE],B7,PRESTAMOS[TIPO],"&lt;&gt;AYUDA",PRESTAMOS[FECHA DEL PRESTAMO],"&gt;="&amp;$H$3,PRESTAMOS[FECHA DEL PRESTAMO],"&lt;="&amp;$K$3))</f>
        <v>0</v>
      </c>
      <c r="H7" s="265">
        <f>IF(OR($H$3="",$K$3=""),SUMIFS(PRESTAMOS[T. INT],PRESTAMOS[CODIGO CLIENTE],B7,PRESTAMOS[TIPO],"&lt;&gt;AYUDA"),SUMIFS(PRESTAMOS[T. INT],PRESTAMOS[CODIGO CLIENTE],B7,PRESTAMOS[TIPO],"&lt;&gt;AYUDA",PRESTAMOS[FECHA DEL PRESTAMO],"&gt;="&amp;$H$3,PRESTAMOS[FECHA DEL PRESTAMO],"&lt;="&amp;$K$3))</f>
        <v>0</v>
      </c>
      <c r="I7" s="264">
        <v>0</v>
      </c>
      <c r="J7" s="264">
        <v>0</v>
      </c>
      <c r="K7" s="266">
        <v>0</v>
      </c>
      <c r="L7" s="267">
        <f t="shared" ref="L7:L23" si="1">+G7-(I7)</f>
        <v>0</v>
      </c>
      <c r="M7" s="267">
        <f t="shared" si="0"/>
        <v>0</v>
      </c>
      <c r="N7" s="268">
        <f>IF(OR($H$3="",$K$3=""),(SUMIFS(PAGOS[PAGO DEL MONTO],PAGOS[NOMBRE CLIENTE],C7,PAGOS[TIPO],"INGRESO"))+(SUMIFS(PAGOS[PAGO DEL INTERES],PAGOS[NOMBRE CLIENTE],C7,PAGOS[TIPO],"INGRESO")),(SUMIFS(PAGOS[PAGO DEL MONTO],PAGOS[NOMBRE CLIENTE],C7,PAGOS[TIPO],"INGRESO",PAGOS[FECHA PAGO DEL MONTO],"&gt;="&amp;$H$3,PAGOS[FECHA PAGO DEL MONTO],"&lt;="&amp;$K$3))+(SUMIFS(PAGOS[PAGO DEL INTERES],PAGOS[NOMBRE CLIENTE],C7,PAGOS[TIPO],"INGRESO",PAGOS[FECHA PAGO INTERES],"&gt;="&amp;$H$3,PAGOS[FECHA PAGO INTERES],"&lt;="&amp;$K$3)))</f>
        <v>0</v>
      </c>
      <c r="O7" s="268">
        <f>IF(OR($H$3="",$K$3=""),IF(C7="SOCIOS GASTOS",SUMIFS(PAGOS[PAGO DEL MONTO],PAGOS[NOMBRE CLIENTE],"SOCIOS GASTOS",PAGOS[TIPO],"EGRESO")+(SUMIFS(PAGOS[PAGO DEL INTERES],PAGOS[NOMBRE CLIENTE],"SOCIOS GASTOS",PAGOS[TIPO],"EGRESO")),0)+F7,IF(C7="SOCIOS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INTERES],"&lt;="&amp;$K$3)),0)+F7)</f>
        <v>1454.01</v>
      </c>
      <c r="P7" s="269">
        <f t="shared" ref="P7:P23" si="2">IF(OR(B7=1,B7=2),0,($H$24+$N$24)-($O$24+$K$24))/16</f>
        <v>0</v>
      </c>
      <c r="Q7" s="270">
        <f t="shared" ref="Q7:Q23" si="3">+E7+P7</f>
        <v>0</v>
      </c>
    </row>
    <row r="8" spans="2:18" x14ac:dyDescent="0.3">
      <c r="B8" s="263">
        <v>3</v>
      </c>
      <c r="C8" s="263" t="s">
        <v>13</v>
      </c>
      <c r="D8" s="263">
        <v>45</v>
      </c>
      <c r="E8" s="263">
        <f>IF(OR($H$3="",$K$3=""),SUMIFS(APORTACIONESOCIOS[APORTE],APORTACIONESOCIOS[CODIGO CLIENTE],B8),SUMIFS(APORTACIONESOCIOS[APORTE],APORTACIONESOCIOS[CODIGO CLIENTE],B8,APORTACIONESOCIOS[FECHA],"&gt;="&amp;$H$3,APORTACIONESOCIOS[FECHA],"&lt;="&amp;$K$3))</f>
        <v>490</v>
      </c>
      <c r="F8" s="264">
        <f>IF(OR($H$3="",$K$3=""),SUMIFS(PRESTAMOS[MONTO AMORTIZACION],PRESTAMOS[NOMBRE CLIENTE],C8,PRESTAMOS[TIPO],"AYUDA"),SUMIFS(PRESTAMOS[MONTO AMORTIZACION],PRESTAMOS[NOMBRE CLIENTE],C8,PRESTAMOS[TIPO],"AYUDA",PRESTAMOS[FECHA DEL PRESTAMO],"&gt;="&amp;$H$3,PRESTAMOS[FECHA DEL PRESTAMO],"&lt;="&amp;$K$3))</f>
        <v>0</v>
      </c>
      <c r="G8" s="265">
        <f>IF(OR($H$3="",$K$3=""),SUMIFS(PRESTAMOS[MONTO AMORTIZACION],PRESTAMOS[CODIGO CLIENTE],B8,PRESTAMOS[TIPO],"&lt;&gt;AYUDA"),SUMIFS(PRESTAMOS[MONTO AMORTIZACION],PRESTAMOS[CODIGO CLIENTE],B8,PRESTAMOS[TIPO],"&lt;&gt;AYUDA",PRESTAMOS[FECHA DEL PRESTAMO],"&gt;="&amp;$H$3,PRESTAMOS[FECHA DEL PRESTAMO],"&lt;="&amp;$K$3))</f>
        <v>1260</v>
      </c>
      <c r="H8" s="265">
        <f>IF(OR($H$3="",$K$3=""),SUMIFS(PRESTAMOS[T. INT],PRESTAMOS[CODIGO CLIENTE],B8,PRESTAMOS[TIPO],"&lt;&gt;AYUDA"),SUMIFS(PRESTAMOS[T. INT],PRESTAMOS[CODIGO CLIENTE],B8,PRESTAMOS[TIPO],"&lt;&gt;AYUDA",PRESTAMOS[FECHA DEL PRESTAMO],"&gt;="&amp;$H$3,PRESTAMOS[FECHA DEL PRESTAMO],"&lt;="&amp;$K$3))</f>
        <v>76.400000000000006</v>
      </c>
      <c r="I8" s="264">
        <f>IF(OR($H$3="",$K$3=""),SUMIFS(PAGOS[PAGO DEL MONTO],PAGOS[CODIGO CLIENTE],B8,PAGOS[TIPO],"&lt;&gt;EGRESO"),SUMIFS(PAGOS[PAGO DEL MONTO],PAGOS[CODIGO CLIENTE],B8,PAGOS[TIPO],"&lt;&gt;EGRESO",PAGOS[TIPO],"&lt;&gt;INGRESO",PAGOS[FECHA PAGO DEL MONTO],"&gt;="&amp;$H$3,PAGOS[FECHA PAGO DEL MONTO],"&lt;="&amp;$K$3))</f>
        <v>1260.01</v>
      </c>
      <c r="J8" s="264">
        <f>IF(OR($H$3="",$K$3=""),SUMIFS(PAGOS[PAGO DEL INTERES],PAGOS[CODIGO CLIENTE],B8,PAGOS[TIPO],"&lt;&gt;EGRESO",PAGOS[TIPO],"&lt;&gt;INGRESO"),SUMIFS(PAGOS[PAGO DEL INTERES],PAGOS[CODIGO CLIENTE],B8,PAGOS[TIPO],"&lt;&gt;EGRESO",PAGOS[TIPO],"&lt;&gt;INGRESO",PAGOS[FECHA PAGO INTERES],"&gt;="&amp;$H$3,PAGOS[FECHA PAGO INTERES],"&lt;="&amp;$K$3))</f>
        <v>76.400000000000006</v>
      </c>
      <c r="K8" s="266">
        <f>IF(OR($H$3="",$K$3=""),SUMIFS(PAGOS[PAGO DEL INTERES],PAGOS[CODIGO CLIENTE],B8,PAGOS[TIPO],"EGRESO"),SUMIFS(PAGOS[PAGO DEL INTERES],PAGOS[CODIGO CLIENTE],B8,PAGOS[TIPO],"EGRESO",PAGOS[FECHA PAGO INTERES],"&gt;="&amp;$H$3,PAGOS[FECHA PAGO INTERES],"&lt;="&amp;$K$3))</f>
        <v>0</v>
      </c>
      <c r="L8" s="267">
        <f t="shared" si="1"/>
        <v>-9.9999999999909051E-3</v>
      </c>
      <c r="M8" s="267">
        <f t="shared" si="0"/>
        <v>0</v>
      </c>
      <c r="N8" s="268">
        <f>IF(OR($H$3="",$K$3=""),(SUMIFS(PAGOS[PAGO DEL MONTO],PAGOS[NOMBRE CLIENTE],C8,PAGOS[TIPO],"INGRESO"))+(SUMIFS(PAGOS[PAGO DEL INTERES],PAGOS[NOMBRE CLIENTE],C8,PAGOS[TIPO],"INGRESO")),(SUMIFS(PAGOS[PAGO DEL MONTO],PAGOS[NOMBRE CLIENTE],C8,PAGOS[TIPO],"INGRESO",PAGOS[FECHA PAGO DEL MONTO],"&gt;="&amp;$H$3,PAGOS[FECHA PAGO DEL MONTO],"&lt;="&amp;$K$3))+(SUMIFS(PAGOS[PAGO DEL INTERES],PAGOS[NOMBRE CLIENTE],C8,PAGOS[TIPO],"INGRESO",PAGOS[FECHA PAGO INTERES],"&gt;="&amp;$H$3,PAGOS[FECHA PAGO INTERES],"&lt;="&amp;$K$3)))</f>
        <v>21.35</v>
      </c>
      <c r="O8" s="268">
        <f>IF(OR($H$3="",$K$3=""),IF(C8="SOCIOS GASTOS",SUMIFS(PAGOS[PAGO DEL MONTO],PAGOS[NOMBRE CLIENTE],"SOCIOS GASTOS",PAGOS[TIPO],"EGRESO")+(SUMIFS(PAGOS[PAGO DEL INTERES],PAGOS[NOMBRE CLIENTE],"SOCIOS GASTOS",PAGOS[TIPO],"EGRESO")),0)+F8,IF(C8="SOCIOS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INTERES],"&lt;="&amp;$K$3)),0)+F8)</f>
        <v>0</v>
      </c>
      <c r="P8" s="269">
        <f t="shared" si="2"/>
        <v>269.01812499999994</v>
      </c>
      <c r="Q8" s="270">
        <f>+E8+P8</f>
        <v>759.01812499999994</v>
      </c>
      <c r="R8" s="71"/>
    </row>
    <row r="9" spans="2:18" x14ac:dyDescent="0.3">
      <c r="B9" s="263">
        <v>4</v>
      </c>
      <c r="C9" s="263" t="s">
        <v>12</v>
      </c>
      <c r="D9" s="263">
        <v>45</v>
      </c>
      <c r="E9" s="263">
        <f>IF(OR($H$3="",$K$3=""),SUMIFS(APORTACIONESOCIOS[APORTE],APORTACIONESOCIOS[CODIGO CLIENTE],B9),SUMIFS(APORTACIONESOCIOS[APORTE],APORTACIONESOCIOS[CODIGO CLIENTE],B9,APORTACIONESOCIOS[FECHA],"&gt;="&amp;$H$3,APORTACIONESOCIOS[FECHA],"&lt;="&amp;$K$3))</f>
        <v>490</v>
      </c>
      <c r="F9" s="264">
        <f>IF(OR($H$3="",$K$3=""),SUMIFS(PRESTAMOS[MONTO AMORTIZACION],PRESTAMOS[NOMBRE CLIENTE],C9,PRESTAMOS[TIPO],"AYUDA"),SUMIFS(PRESTAMOS[MONTO AMORTIZACION],PRESTAMOS[NOMBRE CLIENTE],C9,PRESTAMOS[TIPO],"AYUDA",PRESTAMOS[FECHA DEL PRESTAMO],"&gt;="&amp;$H$3,PRESTAMOS[FECHA DEL PRESTAMO],"&lt;="&amp;$K$3))</f>
        <v>260</v>
      </c>
      <c r="G9" s="265">
        <f>IF(OR($H$3="",$K$3=""),SUMIFS(PRESTAMOS[MONTO AMORTIZACION],PRESTAMOS[CODIGO CLIENTE],B9,PRESTAMOS[TIPO],"&lt;&gt;AYUDA"),SUMIFS(PRESTAMOS[MONTO AMORTIZACION],PRESTAMOS[CODIGO CLIENTE],B9,PRESTAMOS[TIPO],"&lt;&gt;AYUDA",PRESTAMOS[FECHA DEL PRESTAMO],"&gt;="&amp;$H$3,PRESTAMOS[FECHA DEL PRESTAMO],"&lt;="&amp;$K$3))</f>
        <v>1500</v>
      </c>
      <c r="H9" s="265">
        <f>IF(OR($H$3="",$K$3=""),SUMIFS(PRESTAMOS[T. INT],PRESTAMOS[CODIGO CLIENTE],B9,PRESTAMOS[TIPO],"&lt;&gt;AYUDA"),SUMIFS(PRESTAMOS[T. INT],PRESTAMOS[CODIGO CLIENTE],B9,PRESTAMOS[TIPO],"&lt;&gt;AYUDA",PRESTAMOS[FECHA DEL PRESTAMO],"&gt;="&amp;$H$3,PRESTAMOS[FECHA DEL PRESTAMO],"&lt;="&amp;$K$3))</f>
        <v>108</v>
      </c>
      <c r="I9" s="264">
        <f>IF(OR($H$3="",$K$3=""),SUMIFS(PAGOS[PAGO DEL MONTO],PAGOS[CODIGO CLIENTE],B9,PAGOS[TIPO],"&lt;&gt;EGRESO"),SUMIFS(PAGOS[PAGO DEL MONTO],PAGOS[CODIGO CLIENTE],B9,PAGOS[TIPO],"&lt;&gt;EGRESO",PAGOS[TIPO],"&lt;&gt;INGRESO",PAGOS[FECHA PAGO DEL MONTO],"&gt;="&amp;$H$3,PAGOS[FECHA PAGO DEL MONTO],"&lt;="&amp;$K$3))</f>
        <v>1500</v>
      </c>
      <c r="J9" s="264">
        <f>IF(OR($H$3="",$K$3=""),SUMIFS(PAGOS[PAGO DEL INTERES],PAGOS[CODIGO CLIENTE],B9,PAGOS[TIPO],"&lt;&gt;EGRESO",PAGOS[TIPO],"&lt;&gt;INGRESO"),SUMIFS(PAGOS[PAGO DEL INTERES],PAGOS[CODIGO CLIENTE],B9,PAGOS[TIPO],"&lt;&gt;EGRESO",PAGOS[TIPO],"&lt;&gt;INGRESO",PAGOS[FECHA PAGO INTERES],"&gt;="&amp;$H$3,PAGOS[FECHA PAGO INTERES],"&lt;="&amp;$K$3))</f>
        <v>108</v>
      </c>
      <c r="K9" s="266">
        <f>IF(OR($H$3="",$K$3=""),SUMIFS(PAGOS[PAGO DEL INTERES],PAGOS[CODIGO CLIENTE],B9,PAGOS[TIPO],"EGRESO"),SUMIFS(PAGOS[PAGO DEL INTERES],PAGOS[CODIGO CLIENTE],B9,PAGOS[TIPO],"EGRESO",PAGOS[FECHA PAGO INTERES],"&gt;="&amp;$H$3,PAGOS[FECHA PAGO INTERES],"&lt;="&amp;$K$3))</f>
        <v>0</v>
      </c>
      <c r="L9" s="267">
        <f t="shared" si="1"/>
        <v>0</v>
      </c>
      <c r="M9" s="267">
        <f t="shared" si="0"/>
        <v>0</v>
      </c>
      <c r="N9" s="268">
        <f>IF(OR($H$3="",$K$3=""),(SUMIFS(PAGOS[PAGO DEL MONTO],PAGOS[NOMBRE CLIENTE],C9,PAGOS[TIPO],"INGRESO"))+(SUMIFS(PAGOS[PAGO DEL INTERES],PAGOS[NOMBRE CLIENTE],C9,PAGOS[TIPO],"INGRESO")),(SUMIFS(PAGOS[PAGO DEL MONTO],PAGOS[NOMBRE CLIENTE],C9,PAGOS[TIPO],"INGRESO",PAGOS[FECHA PAGO DEL MONTO],"&gt;="&amp;$H$3,PAGOS[FECHA PAGO DEL MONTO],"&lt;="&amp;$K$3))+(SUMIFS(PAGOS[PAGO DEL INTERES],PAGOS[NOMBRE CLIENTE],C9,PAGOS[TIPO],"INGRESO",PAGOS[FECHA PAGO INTERES],"&gt;="&amp;$H$3,PAGOS[FECHA PAGO INTERES],"&lt;="&amp;$K$3)))</f>
        <v>8</v>
      </c>
      <c r="O9" s="268">
        <f>IF(OR($H$3="",$K$3=""),IF(C9="SOCIOS GASTOS",SUMIFS(PAGOS[PAGO DEL MONTO],PAGOS[NOMBRE CLIENTE],"SOCIOS GASTOS",PAGOS[TIPO],"EGRESO")+(SUMIFS(PAGOS[PAGO DEL INTERES],PAGOS[NOMBRE CLIENTE],"SOCIOS GASTOS",PAGOS[TIPO],"EGRESO")),0)+F9,IF(C9="SOCIOS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INTERES],"&lt;="&amp;$K$3)),0)+F9)</f>
        <v>260</v>
      </c>
      <c r="P9" s="269">
        <f t="shared" si="2"/>
        <v>269.01812499999994</v>
      </c>
      <c r="Q9" s="270">
        <f t="shared" si="3"/>
        <v>759.01812499999994</v>
      </c>
      <c r="R9" s="71"/>
    </row>
    <row r="10" spans="2:18" x14ac:dyDescent="0.3">
      <c r="B10" s="263">
        <v>5</v>
      </c>
      <c r="C10" s="263" t="s">
        <v>14</v>
      </c>
      <c r="D10" s="263">
        <v>45</v>
      </c>
      <c r="E10" s="263">
        <f>IF(OR($H$3="",$K$3=""),SUMIFS(APORTACIONESOCIOS[APORTE],APORTACIONESOCIOS[CODIGO CLIENTE],B10),SUMIFS(APORTACIONESOCIOS[APORTE],APORTACIONESOCIOS[CODIGO CLIENTE],B10,APORTACIONESOCIOS[FECHA],"&gt;="&amp;$H$3,APORTACIONESOCIOS[FECHA],"&lt;="&amp;$K$3))</f>
        <v>490</v>
      </c>
      <c r="F10" s="264">
        <f>IF(OR($H$3="",$K$3=""),SUMIFS(PRESTAMOS[MONTO AMORTIZACION],PRESTAMOS[NOMBRE CLIENTE],C10,PRESTAMOS[TIPO],"AYUDA"),SUMIFS(PRESTAMOS[MONTO AMORTIZACION],PRESTAMOS[NOMBRE CLIENTE],C10,PRESTAMOS[TIPO],"AYUDA",PRESTAMOS[FECHA DEL PRESTAMO],"&gt;="&amp;$H$3,PRESTAMOS[FECHA DEL PRESTAMO],"&lt;="&amp;$K$3))</f>
        <v>0</v>
      </c>
      <c r="G10" s="265">
        <f>IF(OR($H$3="",$K$3=""),SUMIFS(PRESTAMOS[MONTO AMORTIZACION],PRESTAMOS[CODIGO CLIENTE],B10,PRESTAMOS[TIPO],"&lt;&gt;AYUDA"),SUMIFS(PRESTAMOS[MONTO AMORTIZACION],PRESTAMOS[CODIGO CLIENTE],B10,PRESTAMOS[TIPO],"&lt;&gt;AYUDA",PRESTAMOS[FECHA DEL PRESTAMO],"&gt;="&amp;$H$3,PRESTAMOS[FECHA DEL PRESTAMO],"&lt;="&amp;$K$3))</f>
        <v>5000</v>
      </c>
      <c r="H10" s="265">
        <f>IF(OR($H$3="",$K$3=""),SUMIFS(PRESTAMOS[T. INT],PRESTAMOS[CODIGO CLIENTE],B10,PRESTAMOS[TIPO],"&lt;&gt;AYUDA"),SUMIFS(PRESTAMOS[T. INT],PRESTAMOS[CODIGO CLIENTE],B10,PRESTAMOS[TIPO],"&lt;&gt;AYUDA",PRESTAMOS[FECHA DEL PRESTAMO],"&gt;="&amp;$H$3,PRESTAMOS[FECHA DEL PRESTAMO],"&lt;="&amp;$K$3))</f>
        <v>900</v>
      </c>
      <c r="I10" s="264">
        <f>IF(OR($H$3="",$K$3=""),SUMIFS(PAGOS[PAGO DEL MONTO],PAGOS[CODIGO CLIENTE],B10,PAGOS[TIPO],"&lt;&gt;EGRESO"),SUMIFS(PAGOS[PAGO DEL MONTO],PAGOS[CODIGO CLIENTE],B10,PAGOS[TIPO],"&lt;&gt;EGRESO",PAGOS[TIPO],"&lt;&gt;INGRESO",PAGOS[FECHA PAGO DEL MONTO],"&gt;="&amp;$H$3,PAGOS[FECHA PAGO DEL MONTO],"&lt;="&amp;$K$3))</f>
        <v>4100</v>
      </c>
      <c r="J10" s="264">
        <f>IF(OR($H$3="",$K$3=""),SUMIFS(PAGOS[PAGO DEL INTERES],PAGOS[CODIGO CLIENTE],B10,PAGOS[TIPO],"&lt;&gt;EGRESO",PAGOS[TIPO],"&lt;&gt;INGRESO"),SUMIFS(PAGOS[PAGO DEL INTERES],PAGOS[CODIGO CLIENTE],B10,PAGOS[TIPO],"&lt;&gt;EGRESO",PAGOS[TIPO],"&lt;&gt;INGRESO",PAGOS[FECHA PAGO INTERES],"&gt;="&amp;$H$3,PAGOS[FECHA PAGO INTERES],"&lt;="&amp;$K$3))</f>
        <v>568</v>
      </c>
      <c r="K10" s="266">
        <f>IF(OR($H$3="",$K$3=""),SUMIFS(PAGOS[PAGO DEL INTERES],PAGOS[CODIGO CLIENTE],B10,PAGOS[TIPO],"EGRESO"),SUMIFS(PAGOS[PAGO DEL INTERES],PAGOS[CODIGO CLIENTE],B10,PAGOS[TIPO],"EGRESO",PAGOS[FECHA PAGO INTERES],"&gt;="&amp;$H$3,PAGOS[FECHA PAGO INTERES],"&lt;="&amp;$K$3))</f>
        <v>116</v>
      </c>
      <c r="L10" s="267">
        <f t="shared" si="1"/>
        <v>900</v>
      </c>
      <c r="M10" s="267">
        <f t="shared" si="0"/>
        <v>216</v>
      </c>
      <c r="N10" s="268">
        <f>IF(OR($H$3="",$K$3=""),(SUMIFS(PAGOS[PAGO DEL MONTO],PAGOS[NOMBRE CLIENTE],C10,PAGOS[TIPO],"INGRESO"))+(SUMIFS(PAGOS[PAGO DEL INTERES],PAGOS[NOMBRE CLIENTE],C10,PAGOS[TIPO],"INGRESO")),(SUMIFS(PAGOS[PAGO DEL MONTO],PAGOS[NOMBRE CLIENTE],C10,PAGOS[TIPO],"INGRESO",PAGOS[FECHA PAGO DEL MONTO],"&gt;="&amp;$H$3,PAGOS[FECHA PAGO DEL MONTO],"&lt;="&amp;$K$3))+(SUMIFS(PAGOS[PAGO DEL INTERES],PAGOS[NOMBRE CLIENTE],C10,PAGOS[TIPO],"INGRESO",PAGOS[FECHA PAGO INTERES],"&gt;="&amp;$H$3,PAGOS[FECHA PAGO INTERES],"&lt;="&amp;$K$3)))</f>
        <v>13.35</v>
      </c>
      <c r="O10" s="268">
        <f>IF(OR($H$3="",$K$3=""),IF(C10="SOCIOS GASTOS",SUMIFS(PAGOS[PAGO DEL MONTO],PAGOS[NOMBRE CLIENTE],"SOCIOS GASTOS",PAGOS[TIPO],"EGRESO")+(SUMIFS(PAGOS[PAGO DEL INTERES],PAGOS[NOMBRE CLIENTE],"SOCIOS GASTOS",PAGOS[TIPO],"EGRESO")),0)+F10,IF(C10="SOCIOS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INTERES],"&lt;="&amp;$K$3)),0)+F10)</f>
        <v>0</v>
      </c>
      <c r="P10" s="269">
        <f t="shared" si="2"/>
        <v>269.01812499999994</v>
      </c>
      <c r="Q10" s="270">
        <f t="shared" si="3"/>
        <v>759.01812499999994</v>
      </c>
    </row>
    <row r="11" spans="2:18" x14ac:dyDescent="0.3">
      <c r="B11" s="263">
        <v>6</v>
      </c>
      <c r="C11" s="263" t="s">
        <v>24</v>
      </c>
      <c r="D11" s="263">
        <v>45</v>
      </c>
      <c r="E11" s="263">
        <f>IF(OR($H$3="",$K$3=""),SUMIFS(APORTACIONESOCIOS[APORTE],APORTACIONESOCIOS[CODIGO CLIENTE],B11),SUMIFS(APORTACIONESOCIOS[APORTE],APORTACIONESOCIOS[CODIGO CLIENTE],B11,APORTACIONESOCIOS[FECHA],"&gt;="&amp;$H$3,APORTACIONESOCIOS[FECHA],"&lt;="&amp;$K$3))</f>
        <v>490</v>
      </c>
      <c r="F11" s="264">
        <f>IF(OR($H$3="",$K$3=""),SUMIFS(PRESTAMOS[MONTO AMORTIZACION],PRESTAMOS[NOMBRE CLIENTE],C11,PRESTAMOS[TIPO],"AYUDA"),SUMIFS(PRESTAMOS[MONTO AMORTIZACION],PRESTAMOS[NOMBRE CLIENTE],C11,PRESTAMOS[TIPO],"AYUDA",PRESTAMOS[FECHA DEL PRESTAMO],"&gt;="&amp;$H$3,PRESTAMOS[FECHA DEL PRESTAMO],"&lt;="&amp;$K$3))</f>
        <v>0</v>
      </c>
      <c r="G11" s="265">
        <f>IF(OR($H$3="",$K$3=""),SUMIFS(PRESTAMOS[MONTO AMORTIZACION],PRESTAMOS[CODIGO CLIENTE],B11,PRESTAMOS[TIPO],"&lt;&gt;AYUDA"),SUMIFS(PRESTAMOS[MONTO AMORTIZACION],PRESTAMOS[CODIGO CLIENTE],B11,PRESTAMOS[TIPO],"&lt;&gt;AYUDA",PRESTAMOS[FECHA DEL PRESTAMO],"&gt;="&amp;$H$3,PRESTAMOS[FECHA DEL PRESTAMO],"&lt;="&amp;$K$3))</f>
        <v>4180</v>
      </c>
      <c r="H11" s="265">
        <f>IF(OR($H$3="",$K$3=""),SUMIFS(PRESTAMOS[T. INT],PRESTAMOS[CODIGO CLIENTE],B11,PRESTAMOS[TIPO],"&lt;&gt;AYUDA"),SUMIFS(PRESTAMOS[T. INT],PRESTAMOS[CODIGO CLIENTE],B11,PRESTAMOS[TIPO],"&lt;&gt;AYUDA",PRESTAMOS[FECHA DEL PRESTAMO],"&gt;="&amp;$H$3,PRESTAMOS[FECHA DEL PRESTAMO],"&lt;="&amp;$K$3))</f>
        <v>755.6</v>
      </c>
      <c r="I11" s="264">
        <f>IF(OR($H$3="",$K$3=""),SUMIFS(PAGOS[PAGO DEL MONTO],PAGOS[CODIGO CLIENTE],B11,PAGOS[TIPO],"&lt;&gt;EGRESO"),SUMIFS(PAGOS[PAGO DEL MONTO],PAGOS[CODIGO CLIENTE],B11,PAGOS[TIPO],"&lt;&gt;EGRESO",PAGOS[TIPO],"&lt;&gt;INGRESO",PAGOS[FECHA PAGO DEL MONTO],"&gt;="&amp;$H$3,PAGOS[FECHA PAGO DEL MONTO],"&lt;="&amp;$K$3))</f>
        <v>3300</v>
      </c>
      <c r="J11" s="264">
        <f>IF(OR($H$3="",$K$3=""),SUMIFS(PAGOS[PAGO DEL INTERES],PAGOS[CODIGO CLIENTE],B11,PAGOS[TIPO],"&lt;&gt;EGRESO",PAGOS[TIPO],"&lt;&gt;INGRESO"),SUMIFS(PAGOS[PAGO DEL INTERES],PAGOS[CODIGO CLIENTE],B11,PAGOS[TIPO],"&lt;&gt;EGRESO",PAGOS[TIPO],"&lt;&gt;INGRESO",PAGOS[FECHA PAGO INTERES],"&gt;="&amp;$H$3,PAGOS[FECHA PAGO INTERES],"&lt;="&amp;$K$3))</f>
        <v>489.6</v>
      </c>
      <c r="K11" s="266">
        <f>IF(OR($H$3="",$K$3=""),SUMIFS(PAGOS[PAGO DEL INTERES],PAGOS[CODIGO CLIENTE],B11,PAGOS[TIPO],"EGRESO"),SUMIFS(PAGOS[PAGO DEL INTERES],PAGOS[CODIGO CLIENTE],B11,PAGOS[TIPO],"EGRESO",PAGOS[FECHA PAGO INTERES],"&gt;="&amp;$H$3,PAGOS[FECHA PAGO INTERES],"&lt;="&amp;$K$3))</f>
        <v>74</v>
      </c>
      <c r="L11" s="267">
        <f t="shared" si="1"/>
        <v>880</v>
      </c>
      <c r="M11" s="267">
        <f t="shared" si="0"/>
        <v>192</v>
      </c>
      <c r="N11" s="268">
        <f>IF(OR($H$3="",$K$3=""),(SUMIFS(PAGOS[PAGO DEL MONTO],PAGOS[NOMBRE CLIENTE],C11,PAGOS[TIPO],"INGRESO"))+(SUMIFS(PAGOS[PAGO DEL INTERES],PAGOS[NOMBRE CLIENTE],C11,PAGOS[TIPO],"INGRESO")),(SUMIFS(PAGOS[PAGO DEL MONTO],PAGOS[NOMBRE CLIENTE],C11,PAGOS[TIPO],"INGRESO",PAGOS[FECHA PAGO DEL MONTO],"&gt;="&amp;$H$3,PAGOS[FECHA PAGO DEL MONTO],"&lt;="&amp;$K$3))+(SUMIFS(PAGOS[PAGO DEL INTERES],PAGOS[NOMBRE CLIENTE],C11,PAGOS[TIPO],"INGRESO",PAGOS[FECHA PAGO INTERES],"&gt;="&amp;$H$3,PAGOS[FECHA PAGO INTERES],"&lt;="&amp;$K$3)))</f>
        <v>18.350000000000001</v>
      </c>
      <c r="O11" s="268">
        <f>IF(OR($H$3="",$K$3=""),IF(C11="SOCIOS GASTOS",SUMIFS(PAGOS[PAGO DEL MONTO],PAGOS[NOMBRE CLIENTE],"SOCIOS GASTOS",PAGOS[TIPO],"EGRESO")+(SUMIFS(PAGOS[PAGO DEL INTERES],PAGOS[NOMBRE CLIENTE],"SOCIOS GASTOS",PAGOS[TIPO],"EGRESO")),0)+F11,IF(C11="SOCIOS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INTERES],"&lt;="&amp;$K$3)),0)+F11)</f>
        <v>0</v>
      </c>
      <c r="P11" s="269">
        <f t="shared" si="2"/>
        <v>269.01812499999994</v>
      </c>
      <c r="Q11" s="270">
        <f t="shared" si="3"/>
        <v>759.01812499999994</v>
      </c>
    </row>
    <row r="12" spans="2:18" x14ac:dyDescent="0.3">
      <c r="B12" s="263">
        <v>7</v>
      </c>
      <c r="C12" s="263" t="s">
        <v>355</v>
      </c>
      <c r="D12" s="263">
        <v>45</v>
      </c>
      <c r="E12" s="263">
        <f>IF(OR($H$3="",$K$3=""),SUMIFS(APORTACIONESOCIOS[APORTE],APORTACIONESOCIOS[CODIGO CLIENTE],B12),SUMIFS(APORTACIONESOCIOS[APORTE],APORTACIONESOCIOS[CODIGO CLIENTE],B12,APORTACIONESOCIOS[FECHA],"&gt;="&amp;$H$3,APORTACIONESOCIOS[FECHA],"&lt;="&amp;$K$3))</f>
        <v>490</v>
      </c>
      <c r="F12" s="264">
        <f>IF(OR($H$3="",$K$3=""),SUMIFS(PRESTAMOS[MONTO AMORTIZACION],PRESTAMOS[NOMBRE CLIENTE],C12,PRESTAMOS[TIPO],"AYUDA"),SUMIFS(PRESTAMOS[MONTO AMORTIZACION],PRESTAMOS[NOMBRE CLIENTE],C12,PRESTAMOS[TIPO],"AYUDA",PRESTAMOS[FECHA DEL PRESTAMO],"&gt;="&amp;$H$3,PRESTAMOS[FECHA DEL PRESTAMO],"&lt;="&amp;$K$3))</f>
        <v>0</v>
      </c>
      <c r="G12" s="265">
        <f>IF(OR($H$3="",$K$3=""),SUMIFS(PRESTAMOS[MONTO AMORTIZACION],PRESTAMOS[CODIGO CLIENTE],B12,PRESTAMOS[TIPO],"&lt;&gt;AYUDA"),SUMIFS(PRESTAMOS[MONTO AMORTIZACION],PRESTAMOS[CODIGO CLIENTE],B12,PRESTAMOS[TIPO],"&lt;&gt;AYUDA",PRESTAMOS[FECHA DEL PRESTAMO],"&gt;="&amp;$H$3,PRESTAMOS[FECHA DEL PRESTAMO],"&lt;="&amp;$K$3))</f>
        <v>4050</v>
      </c>
      <c r="H12" s="265">
        <f>IF(OR($H$3="",$K$3=""),SUMIFS(PRESTAMOS[T. INT],PRESTAMOS[CODIGO CLIENTE],B12,PRESTAMOS[TIPO],"&lt;&gt;AYUDA"),SUMIFS(PRESTAMOS[T. INT],PRESTAMOS[CODIGO CLIENTE],B12,PRESTAMOS[TIPO],"&lt;&gt;AYUDA",PRESTAMOS[FECHA DEL PRESTAMO],"&gt;="&amp;$H$3,PRESTAMOS[FECHA DEL PRESTAMO],"&lt;="&amp;$K$3))</f>
        <v>168</v>
      </c>
      <c r="I12" s="264">
        <f>IF(OR($H$3="",$K$3=""),SUMIFS(PAGOS[PAGO DEL MONTO],PAGOS[CODIGO CLIENTE],B12,PAGOS[TIPO],"&lt;&gt;EGRESO"),SUMIFS(PAGOS[PAGO DEL MONTO],PAGOS[CODIGO CLIENTE],B12,PAGOS[TIPO],"&lt;&gt;EGRESO",PAGOS[TIPO],"&lt;&gt;INGRESO",PAGOS[FECHA PAGO DEL MONTO],"&gt;="&amp;$H$3,PAGOS[FECHA PAGO DEL MONTO],"&lt;="&amp;$K$3))</f>
        <v>3850</v>
      </c>
      <c r="J12" s="264">
        <f>IF(OR($H$3="",$K$3=""),SUMIFS(PAGOS[PAGO DEL INTERES],PAGOS[CODIGO CLIENTE],B12,PAGOS[TIPO],"&lt;&gt;EGRESO",PAGOS[TIPO],"&lt;&gt;INGRESO"),SUMIFS(PAGOS[PAGO DEL INTERES],PAGOS[CODIGO CLIENTE],B12,PAGOS[TIPO],"&lt;&gt;EGRESO",PAGOS[TIPO],"&lt;&gt;INGRESO",PAGOS[FECHA PAGO INTERES],"&gt;="&amp;$H$3,PAGOS[FECHA PAGO INTERES],"&lt;="&amp;$K$3))</f>
        <v>164</v>
      </c>
      <c r="K12" s="266">
        <f>IF(OR($H$3="",$K$3=""),SUMIFS(PAGOS[PAGO DEL INTERES],PAGOS[CODIGO CLIENTE],B12,PAGOS[TIPO],"EGRESO"),SUMIFS(PAGOS[PAGO DEL INTERES],PAGOS[CODIGO CLIENTE],B12,PAGOS[TIPO],"EGRESO",PAGOS[FECHA PAGO INTERES],"&gt;="&amp;$H$3,PAGOS[FECHA PAGO INTERES],"&lt;="&amp;$K$3))</f>
        <v>0</v>
      </c>
      <c r="L12" s="267">
        <f t="shared" si="1"/>
        <v>200</v>
      </c>
      <c r="M12" s="267">
        <f t="shared" si="0"/>
        <v>4</v>
      </c>
      <c r="N12" s="268">
        <f>IF(OR($H$3="",$K$3=""),(SUMIFS(PAGOS[PAGO DEL MONTO],PAGOS[NOMBRE CLIENTE],C12,PAGOS[TIPO],"INGRESO"))+(SUMIFS(PAGOS[PAGO DEL INTERES],PAGOS[NOMBRE CLIENTE],C12,PAGOS[TIPO],"INGRESO")),(SUMIFS(PAGOS[PAGO DEL MONTO],PAGOS[NOMBRE CLIENTE],C12,PAGOS[TIPO],"INGRESO",PAGOS[FECHA PAGO DEL MONTO],"&gt;="&amp;$H$3,PAGOS[FECHA PAGO DEL MONTO],"&lt;="&amp;$K$3))+(SUMIFS(PAGOS[PAGO DEL INTERES],PAGOS[NOMBRE CLIENTE],C12,PAGOS[TIPO],"INGRESO",PAGOS[FECHA PAGO INTERES],"&gt;="&amp;$H$3,PAGOS[FECHA PAGO INTERES],"&lt;="&amp;$K$3)))</f>
        <v>25.35</v>
      </c>
      <c r="O12" s="268">
        <f>IF(OR($H$3="",$K$3=""),IF(C12="SOCIOS GASTOS",SUMIFS(PAGOS[PAGO DEL MONTO],PAGOS[NOMBRE CLIENTE],"SOCIOS GASTOS",PAGOS[TIPO],"EGRESO")+(SUMIFS(PAGOS[PAGO DEL INTERES],PAGOS[NOMBRE CLIENTE],"SOCIOS GASTOS",PAGOS[TIPO],"EGRESO")),0)+F12,IF(C12="SOCIOS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INTERES],"&lt;="&amp;$K$3)),0)+F12)</f>
        <v>0</v>
      </c>
      <c r="P12" s="269">
        <f t="shared" si="2"/>
        <v>269.01812499999994</v>
      </c>
      <c r="Q12" s="270">
        <f t="shared" si="3"/>
        <v>759.01812499999994</v>
      </c>
    </row>
    <row r="13" spans="2:18" x14ac:dyDescent="0.3">
      <c r="B13" s="263">
        <v>8</v>
      </c>
      <c r="C13" s="263" t="s">
        <v>356</v>
      </c>
      <c r="D13" s="263">
        <v>45</v>
      </c>
      <c r="E13" s="263">
        <f>IF(OR($H$3="",$K$3=""),SUMIFS(APORTACIONESOCIOS[APORTE],APORTACIONESOCIOS[CODIGO CLIENTE],B13),SUMIFS(APORTACIONESOCIOS[APORTE],APORTACIONESOCIOS[CODIGO CLIENTE],B13,APORTACIONESOCIOS[FECHA],"&gt;="&amp;$H$3,APORTACIONESOCIOS[FECHA],"&lt;="&amp;$K$3))</f>
        <v>490</v>
      </c>
      <c r="F13" s="264">
        <f>IF(OR($H$3="",$K$3=""),SUMIFS(PRESTAMOS[MONTO AMORTIZACION],PRESTAMOS[NOMBRE CLIENTE],C13,PRESTAMOS[TIPO],"AYUDA"),SUMIFS(PRESTAMOS[MONTO AMORTIZACION],PRESTAMOS[NOMBRE CLIENTE],C13,PRESTAMOS[TIPO],"AYUDA",PRESTAMOS[FECHA DEL PRESTAMO],"&gt;="&amp;$H$3,PRESTAMOS[FECHA DEL PRESTAMO],"&lt;="&amp;$K$3))</f>
        <v>0</v>
      </c>
      <c r="G13" s="265">
        <f>IF(OR($H$3="",$K$3=""),SUMIFS(PRESTAMOS[MONTO AMORTIZACION],PRESTAMOS[CODIGO CLIENTE],B13,PRESTAMOS[TIPO],"&lt;&gt;AYUDA"),SUMIFS(PRESTAMOS[MONTO AMORTIZACION],PRESTAMOS[CODIGO CLIENTE],B13,PRESTAMOS[TIPO],"&lt;&gt;AYUDA",PRESTAMOS[FECHA DEL PRESTAMO],"&gt;="&amp;$H$3,PRESTAMOS[FECHA DEL PRESTAMO],"&lt;="&amp;$K$3))</f>
        <v>2450</v>
      </c>
      <c r="H13" s="265">
        <f>IF(OR($H$3="",$K$3=""),SUMIFS(PRESTAMOS[T. INT],PRESTAMOS[CODIGO CLIENTE],B13,PRESTAMOS[TIPO],"&lt;&gt;AYUDA"),SUMIFS(PRESTAMOS[T. INT],PRESTAMOS[CODIGO CLIENTE],B13,PRESTAMOS[TIPO],"&lt;&gt;AYUDA",PRESTAMOS[FECHA DEL PRESTAMO],"&gt;="&amp;$H$3,PRESTAMOS[FECHA DEL PRESTAMO],"&lt;="&amp;$K$3))</f>
        <v>188</v>
      </c>
      <c r="I13" s="264">
        <f>IF(OR($H$3="",$K$3=""),SUMIFS(PAGOS[PAGO DEL MONTO],PAGOS[CODIGO CLIENTE],B13,PAGOS[TIPO],"&lt;&gt;EGRESO"),SUMIFS(PAGOS[PAGO DEL MONTO],PAGOS[CODIGO CLIENTE],B13,PAGOS[TIPO],"&lt;&gt;EGRESO",PAGOS[TIPO],"&lt;&gt;INGRESO",PAGOS[FECHA PAGO DEL MONTO],"&gt;="&amp;$H$3,PAGOS[FECHA PAGO DEL MONTO],"&lt;="&amp;$K$3))</f>
        <v>2450</v>
      </c>
      <c r="J13" s="264">
        <f>IF(OR($H$3="",$K$3=""),SUMIFS(PAGOS[PAGO DEL INTERES],PAGOS[CODIGO CLIENTE],B13,PAGOS[TIPO],"&lt;&gt;EGRESO",PAGOS[TIPO],"&lt;&gt;INGRESO"),SUMIFS(PAGOS[PAGO DEL INTERES],PAGOS[CODIGO CLIENTE],B13,PAGOS[TIPO],"&lt;&gt;EGRESO",PAGOS[TIPO],"&lt;&gt;INGRESO",PAGOS[FECHA PAGO INTERES],"&gt;="&amp;$H$3,PAGOS[FECHA PAGO INTERES],"&lt;="&amp;$K$3))</f>
        <v>172</v>
      </c>
      <c r="K13" s="266">
        <f>IF(OR($H$3="",$K$3=""),SUMIFS(PAGOS[PAGO DEL INTERES],PAGOS[CODIGO CLIENTE],B13,PAGOS[TIPO],"EGRESO"),SUMIFS(PAGOS[PAGO DEL INTERES],PAGOS[CODIGO CLIENTE],B13,PAGOS[TIPO],"EGRESO",PAGOS[FECHA PAGO INTERES],"&gt;="&amp;$H$3,PAGOS[FECHA PAGO INTERES],"&lt;="&amp;$K$3))</f>
        <v>16</v>
      </c>
      <c r="L13" s="267">
        <f t="shared" si="1"/>
        <v>0</v>
      </c>
      <c r="M13" s="267">
        <f t="shared" si="0"/>
        <v>0</v>
      </c>
      <c r="N13" s="268">
        <f>IF(OR($H$3="",$K$3=""),(SUMIFS(PAGOS[PAGO DEL MONTO],PAGOS[NOMBRE CLIENTE],C13,PAGOS[TIPO],"INGRESO"))+(SUMIFS(PAGOS[PAGO DEL INTERES],PAGOS[NOMBRE CLIENTE],C13,PAGOS[TIPO],"INGRESO")),(SUMIFS(PAGOS[PAGO DEL MONTO],PAGOS[NOMBRE CLIENTE],C13,PAGOS[TIPO],"INGRESO",PAGOS[FECHA PAGO DEL MONTO],"&gt;="&amp;$H$3,PAGOS[FECHA PAGO DEL MONTO],"&lt;="&amp;$K$3))+(SUMIFS(PAGOS[PAGO DEL INTERES],PAGOS[NOMBRE CLIENTE],C13,PAGOS[TIPO],"INGRESO",PAGOS[FECHA PAGO INTERES],"&gt;="&amp;$H$3,PAGOS[FECHA PAGO INTERES],"&lt;="&amp;$K$3)))</f>
        <v>25.35</v>
      </c>
      <c r="O13" s="268">
        <f>IF(OR($H$3="",$K$3=""),IF(C13="SOCIOS GASTOS",SUMIFS(PAGOS[PAGO DEL MONTO],PAGOS[NOMBRE CLIENTE],"SOCIOS GASTOS",PAGOS[TIPO],"EGRESO")+(SUMIFS(PAGOS[PAGO DEL INTERES],PAGOS[NOMBRE CLIENTE],"SOCIOS GASTOS",PAGOS[TIPO],"EGRESO")),0)+F13,IF(C13="SOCIOS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INTERES],"&lt;="&amp;$K$3)),0)+F13)</f>
        <v>0</v>
      </c>
      <c r="P13" s="269">
        <f t="shared" si="2"/>
        <v>269.01812499999994</v>
      </c>
      <c r="Q13" s="270">
        <f t="shared" si="3"/>
        <v>759.01812499999994</v>
      </c>
    </row>
    <row r="14" spans="2:18" x14ac:dyDescent="0.3">
      <c r="B14" s="263">
        <v>9</v>
      </c>
      <c r="C14" s="263" t="s">
        <v>17</v>
      </c>
      <c r="D14" s="263">
        <v>45</v>
      </c>
      <c r="E14" s="263">
        <f>IF(OR($H$3="",$K$3=""),SUMIFS(APORTACIONESOCIOS[APORTE],APORTACIONESOCIOS[CODIGO CLIENTE],B14),SUMIFS(APORTACIONESOCIOS[APORTE],APORTACIONESOCIOS[CODIGO CLIENTE],B14,APORTACIONESOCIOS[FECHA],"&gt;="&amp;$H$3,APORTACIONESOCIOS[FECHA],"&lt;="&amp;$K$3))</f>
        <v>470</v>
      </c>
      <c r="F14" s="264">
        <f>IF(OR($H$3="",$K$3=""),SUMIFS(PRESTAMOS[MONTO AMORTIZACION],PRESTAMOS[NOMBRE CLIENTE],C14,PRESTAMOS[TIPO],"AYUDA"),SUMIFS(PRESTAMOS[MONTO AMORTIZACION],PRESTAMOS[NOMBRE CLIENTE],C14,PRESTAMOS[TIPO],"AYUDA",PRESTAMOS[FECHA DEL PRESTAMO],"&gt;="&amp;$H$3,PRESTAMOS[FECHA DEL PRESTAMO],"&lt;="&amp;$K$3))</f>
        <v>0</v>
      </c>
      <c r="G14" s="265">
        <f>IF(OR($H$3="",$K$3=""),SUMIFS(PRESTAMOS[MONTO AMORTIZACION],PRESTAMOS[CODIGO CLIENTE],B14,PRESTAMOS[TIPO],"&lt;&gt;AYUDA"),SUMIFS(PRESTAMOS[MONTO AMORTIZACION],PRESTAMOS[CODIGO CLIENTE],B14,PRESTAMOS[TIPO],"&lt;&gt;AYUDA",PRESTAMOS[FECHA DEL PRESTAMO],"&gt;="&amp;$H$3,PRESTAMOS[FECHA DEL PRESTAMO],"&lt;="&amp;$K$3))</f>
        <v>3360</v>
      </c>
      <c r="H14" s="265">
        <f>IF(OR($H$3="",$K$3=""),SUMIFS(PRESTAMOS[T. INT],PRESTAMOS[CODIGO CLIENTE],B14,PRESTAMOS[TIPO],"&lt;&gt;AYUDA"),SUMIFS(PRESTAMOS[T. INT],PRESTAMOS[CODIGO CLIENTE],B14,PRESTAMOS[TIPO],"&lt;&gt;AYUDA",PRESTAMOS[FECHA DEL PRESTAMO],"&gt;="&amp;$H$3,PRESTAMOS[FECHA DEL PRESTAMO],"&lt;="&amp;$K$3))</f>
        <v>350.4</v>
      </c>
      <c r="I14" s="264">
        <f>IF(OR($H$3="",$K$3=""),SUMIFS(PAGOS[PAGO DEL MONTO],PAGOS[CODIGO CLIENTE],B14,PAGOS[TIPO],"&lt;&gt;EGRESO"),SUMIFS(PAGOS[PAGO DEL MONTO],PAGOS[CODIGO CLIENTE],B14,PAGOS[TIPO],"&lt;&gt;EGRESO",PAGOS[TIPO],"&lt;&gt;INGRESO",PAGOS[FECHA PAGO DEL MONTO],"&gt;="&amp;$H$3,PAGOS[FECHA PAGO DEL MONTO],"&lt;="&amp;$K$3))</f>
        <v>3260</v>
      </c>
      <c r="J14" s="264">
        <f>IF(OR($H$3="",$K$3=""),SUMIFS(PAGOS[PAGO DEL INTERES],PAGOS[CODIGO CLIENTE],B14,PAGOS[TIPO],"&lt;&gt;EGRESO",PAGOS[TIPO],"&lt;&gt;INGRESO"),SUMIFS(PAGOS[PAGO DEL INTERES],PAGOS[CODIGO CLIENTE],B14,PAGOS[TIPO],"&lt;&gt;EGRESO",PAGOS[TIPO],"&lt;&gt;INGRESO",PAGOS[FECHA PAGO INTERES],"&gt;="&amp;$H$3,PAGOS[FECHA PAGO INTERES],"&lt;="&amp;$K$3))</f>
        <v>316.39999999999998</v>
      </c>
      <c r="K14" s="266">
        <f>IF(OR($H$3="",$K$3=""),SUMIFS(PAGOS[PAGO DEL INTERES],PAGOS[CODIGO CLIENTE],B14,PAGOS[TIPO],"EGRESO"),SUMIFS(PAGOS[PAGO DEL INTERES],PAGOS[CODIGO CLIENTE],B14,PAGOS[TIPO],"EGRESO",PAGOS[FECHA PAGO INTERES],"&gt;="&amp;$H$3,PAGOS[FECHA PAGO INTERES],"&lt;="&amp;$K$3))</f>
        <v>24</v>
      </c>
      <c r="L14" s="267">
        <f t="shared" si="1"/>
        <v>100</v>
      </c>
      <c r="M14" s="267">
        <f t="shared" si="0"/>
        <v>10</v>
      </c>
      <c r="N14" s="268">
        <f>IF(OR($H$3="",$K$3=""),(SUMIFS(PAGOS[PAGO DEL MONTO],PAGOS[NOMBRE CLIENTE],C14,PAGOS[TIPO],"INGRESO"))+(SUMIFS(PAGOS[PAGO DEL INTERES],PAGOS[NOMBRE CLIENTE],C14,PAGOS[TIPO],"INGRESO")),(SUMIFS(PAGOS[PAGO DEL MONTO],PAGOS[NOMBRE CLIENTE],C14,PAGOS[TIPO],"INGRESO",PAGOS[FECHA PAGO DEL MONTO],"&gt;="&amp;$H$3,PAGOS[FECHA PAGO DEL MONTO],"&lt;="&amp;$K$3))+(SUMIFS(PAGOS[PAGO DEL INTERES],PAGOS[NOMBRE CLIENTE],C14,PAGOS[TIPO],"INGRESO",PAGOS[FECHA PAGO INTERES],"&gt;="&amp;$H$3,PAGOS[FECHA PAGO INTERES],"&lt;="&amp;$K$3)))</f>
        <v>13.35</v>
      </c>
      <c r="O14" s="268">
        <f>IF(OR($H$3="",$K$3=""),IF(C14="SOCIOS GASTOS",SUMIFS(PAGOS[PAGO DEL MONTO],PAGOS[NOMBRE CLIENTE],"SOCIOS GASTOS",PAGOS[TIPO],"EGRESO")+(SUMIFS(PAGOS[PAGO DEL INTERES],PAGOS[NOMBRE CLIENTE],"SOCIOS GASTOS",PAGOS[TIPO],"EGRESO")),0)+F14,IF(C14="SOCIOS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INTERES],"&lt;="&amp;$K$3)),0)+F14)</f>
        <v>0</v>
      </c>
      <c r="P14" s="269">
        <f t="shared" si="2"/>
        <v>269.01812499999994</v>
      </c>
      <c r="Q14" s="270">
        <f t="shared" si="3"/>
        <v>739.01812499999994</v>
      </c>
    </row>
    <row r="15" spans="2:18" x14ac:dyDescent="0.3">
      <c r="B15" s="263">
        <v>10</v>
      </c>
      <c r="C15" s="263" t="s">
        <v>18</v>
      </c>
      <c r="D15" s="263">
        <v>45</v>
      </c>
      <c r="E15" s="263">
        <f>IF(OR($H$3="",$K$3=""),SUMIFS(APORTACIONESOCIOS[APORTE],APORTACIONESOCIOS[CODIGO CLIENTE],B15),SUMIFS(APORTACIONESOCIOS[APORTE],APORTACIONESOCIOS[CODIGO CLIENTE],B15,APORTACIONESOCIOS[FECHA],"&gt;="&amp;$H$3,APORTACIONESOCIOS[FECHA],"&lt;="&amp;$K$3))</f>
        <v>470</v>
      </c>
      <c r="F15" s="264">
        <f>IF(OR($H$3="",$K$3=""),SUMIFS(PRESTAMOS[MONTO AMORTIZACION],PRESTAMOS[NOMBRE CLIENTE],C15,PRESTAMOS[TIPO],"AYUDA"),SUMIFS(PRESTAMOS[MONTO AMORTIZACION],PRESTAMOS[NOMBRE CLIENTE],C15,PRESTAMOS[TIPO],"AYUDA",PRESTAMOS[FECHA DEL PRESTAMO],"&gt;="&amp;$H$3,PRESTAMOS[FECHA DEL PRESTAMO],"&lt;="&amp;$K$3))</f>
        <v>0</v>
      </c>
      <c r="G15" s="265">
        <f>IF(OR($H$3="",$K$3=""),SUMIFS(PRESTAMOS[MONTO AMORTIZACION],PRESTAMOS[CODIGO CLIENTE],B15,PRESTAMOS[TIPO],"&lt;&gt;AYUDA"),SUMIFS(PRESTAMOS[MONTO AMORTIZACION],PRESTAMOS[CODIGO CLIENTE],B15,PRESTAMOS[TIPO],"&lt;&gt;AYUDA",PRESTAMOS[FECHA DEL PRESTAMO],"&gt;="&amp;$H$3,PRESTAMOS[FECHA DEL PRESTAMO],"&lt;="&amp;$K$3))</f>
        <v>1450</v>
      </c>
      <c r="H15" s="265">
        <f>IF(OR($H$3="",$K$3=""),SUMIFS(PRESTAMOS[T. INT],PRESTAMOS[CODIGO CLIENTE],B15,PRESTAMOS[TIPO],"&lt;&gt;AYUDA"),SUMIFS(PRESTAMOS[T. INT],PRESTAMOS[CODIGO CLIENTE],B15,PRESTAMOS[TIPO],"&lt;&gt;AYUDA",PRESTAMOS[FECHA DEL PRESTAMO],"&gt;="&amp;$H$3,PRESTAMOS[FECHA DEL PRESTAMO],"&lt;="&amp;$K$3))</f>
        <v>121</v>
      </c>
      <c r="I15" s="264">
        <f>IF(OR($H$3="",$K$3=""),SUMIFS(PAGOS[PAGO DEL MONTO],PAGOS[CODIGO CLIENTE],B15,PAGOS[TIPO],"&lt;&gt;EGRESO"),SUMIFS(PAGOS[PAGO DEL MONTO],PAGOS[CODIGO CLIENTE],B15,PAGOS[TIPO],"&lt;&gt;EGRESO",PAGOS[TIPO],"&lt;&gt;INGRESO",PAGOS[FECHA PAGO DEL MONTO],"&gt;="&amp;$H$3,PAGOS[FECHA PAGO DEL MONTO],"&lt;="&amp;$K$3))</f>
        <v>950</v>
      </c>
      <c r="J15" s="264">
        <f>IF(OR($H$3="",$K$3=""),SUMIFS(PAGOS[PAGO DEL INTERES],PAGOS[CODIGO CLIENTE],B15,PAGOS[TIPO],"&lt;&gt;EGRESO",PAGOS[TIPO],"&lt;&gt;INGRESO"),SUMIFS(PAGOS[PAGO DEL INTERES],PAGOS[CODIGO CLIENTE],B15,PAGOS[TIPO],"&lt;&gt;EGRESO",PAGOS[TIPO],"&lt;&gt;INGRESO",PAGOS[FECHA PAGO INTERES],"&gt;="&amp;$H$3,PAGOS[FECHA PAGO INTERES],"&lt;="&amp;$K$3))</f>
        <v>63</v>
      </c>
      <c r="K15" s="266">
        <f>IF(OR($H$3="",$K$3=""),SUMIFS(PAGOS[PAGO DEL INTERES],PAGOS[CODIGO CLIENTE],B15,PAGOS[TIPO],"EGRESO"),SUMIFS(PAGOS[PAGO DEL INTERES],PAGOS[CODIGO CLIENTE],B15,PAGOS[TIPO],"EGRESO",PAGOS[FECHA PAGO INTERES],"&gt;="&amp;$H$3,PAGOS[FECHA PAGO INTERES],"&lt;="&amp;$K$3))</f>
        <v>8</v>
      </c>
      <c r="L15" s="267">
        <f t="shared" si="1"/>
        <v>500</v>
      </c>
      <c r="M15" s="267">
        <f t="shared" si="0"/>
        <v>50</v>
      </c>
      <c r="N15" s="268">
        <f>IF(OR($H$3="",$K$3=""),(SUMIFS(PAGOS[PAGO DEL MONTO],PAGOS[NOMBRE CLIENTE],C15,PAGOS[TIPO],"INGRESO"))+(SUMIFS(PAGOS[PAGO DEL INTERES],PAGOS[NOMBRE CLIENTE],C15,PAGOS[TIPO],"INGRESO")),(SUMIFS(PAGOS[PAGO DEL MONTO],PAGOS[NOMBRE CLIENTE],C15,PAGOS[TIPO],"INGRESO",PAGOS[FECHA PAGO DEL MONTO],"&gt;="&amp;$H$3,PAGOS[FECHA PAGO DEL MONTO],"&lt;="&amp;$K$3))+(SUMIFS(PAGOS[PAGO DEL INTERES],PAGOS[NOMBRE CLIENTE],C15,PAGOS[TIPO],"INGRESO",PAGOS[FECHA PAGO INTERES],"&gt;="&amp;$H$3,PAGOS[FECHA PAGO INTERES],"&lt;="&amp;$K$3)))</f>
        <v>13.35</v>
      </c>
      <c r="O15" s="268">
        <f>IF(OR($H$3="",$K$3=""),IF(C15="SOCIOS GASTOS",SUMIFS(PAGOS[PAGO DEL MONTO],PAGOS[NOMBRE CLIENTE],"SOCIOS GASTOS",PAGOS[TIPO],"EGRESO")+(SUMIFS(PAGOS[PAGO DEL INTERES],PAGOS[NOMBRE CLIENTE],"SOCIOS GASTOS",PAGOS[TIPO],"EGRESO")),0)+F15,IF(C15="SOCIOS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INTERES],"&lt;="&amp;$K$3)),0)+F15)</f>
        <v>0</v>
      </c>
      <c r="P15" s="269">
        <f t="shared" si="2"/>
        <v>269.01812499999994</v>
      </c>
      <c r="Q15" s="270">
        <f t="shared" si="3"/>
        <v>739.01812499999994</v>
      </c>
    </row>
    <row r="16" spans="2:18" x14ac:dyDescent="0.3">
      <c r="B16" s="263">
        <v>11</v>
      </c>
      <c r="C16" s="263" t="s">
        <v>19</v>
      </c>
      <c r="D16" s="263">
        <v>45</v>
      </c>
      <c r="E16" s="263">
        <f>IF(OR($H$3="",$K$3=""),SUMIFS(APORTACIONESOCIOS[APORTE],APORTACIONESOCIOS[CODIGO CLIENTE],B16),SUMIFS(APORTACIONESOCIOS[APORTE],APORTACIONESOCIOS[CODIGO CLIENTE],B16,APORTACIONESOCIOS[FECHA],"&gt;="&amp;$H$3,APORTACIONESOCIOS[FECHA],"&lt;="&amp;$K$3))</f>
        <v>490</v>
      </c>
      <c r="F16" s="264">
        <f>IF(OR($H$3="",$K$3=""),SUMIFS(PRESTAMOS[MONTO AMORTIZACION],PRESTAMOS[NOMBRE CLIENTE],C16,PRESTAMOS[TIPO],"AYUDA"),SUMIFS(PRESTAMOS[MONTO AMORTIZACION],PRESTAMOS[NOMBRE CLIENTE],C16,PRESTAMOS[TIPO],"AYUDA",PRESTAMOS[FECHA DEL PRESTAMO],"&gt;="&amp;$H$3,PRESTAMOS[FECHA DEL PRESTAMO],"&lt;="&amp;$K$3))</f>
        <v>0</v>
      </c>
      <c r="G16" s="265">
        <f>IF(OR($H$3="",$K$3=""),SUMIFS(PRESTAMOS[MONTO AMORTIZACION],PRESTAMOS[CODIGO CLIENTE],B16,PRESTAMOS[TIPO],"&lt;&gt;AYUDA"),SUMIFS(PRESTAMOS[MONTO AMORTIZACION],PRESTAMOS[CODIGO CLIENTE],B16,PRESTAMOS[TIPO],"&lt;&gt;AYUDA",PRESTAMOS[FECHA DEL PRESTAMO],"&gt;="&amp;$H$3,PRESTAMOS[FECHA DEL PRESTAMO],"&lt;="&amp;$K$3))</f>
        <v>1600</v>
      </c>
      <c r="H16" s="265">
        <f>IF(OR($H$3="",$K$3=""),SUMIFS(PRESTAMOS[T. INT],PRESTAMOS[CODIGO CLIENTE],B16,PRESTAMOS[TIPO],"&lt;&gt;AYUDA"),SUMIFS(PRESTAMOS[T. INT],PRESTAMOS[CODIGO CLIENTE],B16,PRESTAMOS[TIPO],"&lt;&gt;AYUDA",PRESTAMOS[FECHA DEL PRESTAMO],"&gt;="&amp;$H$3,PRESTAMOS[FECHA DEL PRESTAMO],"&lt;="&amp;$K$3))</f>
        <v>128</v>
      </c>
      <c r="I16" s="264">
        <f>IF(OR($H$3="",$K$3=""),SUMIFS(PAGOS[PAGO DEL MONTO],PAGOS[CODIGO CLIENTE],B16,PAGOS[TIPO],"&lt;&gt;EGRESO"),SUMIFS(PAGOS[PAGO DEL MONTO],PAGOS[CODIGO CLIENTE],B16,PAGOS[TIPO],"&lt;&gt;EGRESO",PAGOS[TIPO],"&lt;&gt;INGRESO",PAGOS[FECHA PAGO DEL MONTO],"&gt;="&amp;$H$3,PAGOS[FECHA PAGO DEL MONTO],"&lt;="&amp;$K$3))</f>
        <v>1566.6499999999996</v>
      </c>
      <c r="J16" s="264">
        <f>IF(OR($H$3="",$K$3=""),SUMIFS(PAGOS[PAGO DEL INTERES],PAGOS[CODIGO CLIENTE],B16,PAGOS[TIPO],"&lt;&gt;EGRESO",PAGOS[TIPO],"&lt;&gt;INGRESO"),SUMIFS(PAGOS[PAGO DEL INTERES],PAGOS[CODIGO CLIENTE],B16,PAGOS[TIPO],"&lt;&gt;EGRESO",PAGOS[TIPO],"&lt;&gt;INGRESO",PAGOS[FECHA PAGO INTERES],"&gt;="&amp;$H$3,PAGOS[FECHA PAGO INTERES],"&lt;="&amp;$K$3))</f>
        <v>116</v>
      </c>
      <c r="K16" s="266">
        <f>IF(OR($H$3="",$K$3=""),SUMIFS(PAGOS[PAGO DEL INTERES],PAGOS[CODIGO CLIENTE],B16,PAGOS[TIPO],"EGRESO"),SUMIFS(PAGOS[PAGO DEL INTERES],PAGOS[CODIGO CLIENTE],B16,PAGOS[TIPO],"EGRESO",PAGOS[FECHA PAGO INTERES],"&gt;="&amp;$H$3,PAGOS[FECHA PAGO INTERES],"&lt;="&amp;$K$3))</f>
        <v>8</v>
      </c>
      <c r="L16" s="267">
        <f t="shared" si="1"/>
        <v>33.350000000000364</v>
      </c>
      <c r="M16" s="267">
        <f t="shared" si="0"/>
        <v>4</v>
      </c>
      <c r="N16" s="268">
        <f>IF(OR($H$3="",$K$3=""),(SUMIFS(PAGOS[PAGO DEL MONTO],PAGOS[NOMBRE CLIENTE],C16,PAGOS[TIPO],"INGRESO"))+(SUMIFS(PAGOS[PAGO DEL INTERES],PAGOS[NOMBRE CLIENTE],C16,PAGOS[TIPO],"INGRESO")),(SUMIFS(PAGOS[PAGO DEL MONTO],PAGOS[NOMBRE CLIENTE],C16,PAGOS[TIPO],"INGRESO",PAGOS[FECHA PAGO DEL MONTO],"&gt;="&amp;$H$3,PAGOS[FECHA PAGO DEL MONTO],"&lt;="&amp;$K$3))+(SUMIFS(PAGOS[PAGO DEL INTERES],PAGOS[NOMBRE CLIENTE],C16,PAGOS[TIPO],"INGRESO",PAGOS[FECHA PAGO INTERES],"&gt;="&amp;$H$3,PAGOS[FECHA PAGO INTERES],"&lt;="&amp;$K$3)))</f>
        <v>17.350000000000001</v>
      </c>
      <c r="O16" s="268">
        <f>IF(OR($H$3="",$K$3=""),IF(C16="SOCIOS GASTOS",SUMIFS(PAGOS[PAGO DEL MONTO],PAGOS[NOMBRE CLIENTE],"SOCIOS GASTOS",PAGOS[TIPO],"EGRESO")+(SUMIFS(PAGOS[PAGO DEL INTERES],PAGOS[NOMBRE CLIENTE],"SOCIOS GASTOS",PAGOS[TIPO],"EGRESO")),0)+F16,IF(C16="SOCIOS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INTERES],"&lt;="&amp;$K$3)),0)+F16)</f>
        <v>0</v>
      </c>
      <c r="P16" s="269">
        <f t="shared" si="2"/>
        <v>269.01812499999994</v>
      </c>
      <c r="Q16" s="270">
        <f t="shared" si="3"/>
        <v>759.01812499999994</v>
      </c>
    </row>
    <row r="17" spans="2:17" x14ac:dyDescent="0.3">
      <c r="B17" s="263">
        <v>12</v>
      </c>
      <c r="C17" s="263" t="s">
        <v>20</v>
      </c>
      <c r="D17" s="263">
        <v>45</v>
      </c>
      <c r="E17" s="263">
        <f>IF(OR($H$3="",$K$3=""),SUMIFS(APORTACIONESOCIOS[APORTE],APORTACIONESOCIOS[CODIGO CLIENTE],B17),SUMIFS(APORTACIONESOCIOS[APORTE],APORTACIONESOCIOS[CODIGO CLIENTE],B17,APORTACIONESOCIOS[FECHA],"&gt;="&amp;$H$3,APORTACIONESOCIOS[FECHA],"&lt;="&amp;$K$3))</f>
        <v>490</v>
      </c>
      <c r="F17" s="264">
        <f>IF(OR($H$3="",$K$3=""),SUMIFS(PRESTAMOS[MONTO AMORTIZACION],PRESTAMOS[NOMBRE CLIENTE],C17,PRESTAMOS[TIPO],"AYUDA"),SUMIFS(PRESTAMOS[MONTO AMORTIZACION],PRESTAMOS[NOMBRE CLIENTE],C17,PRESTAMOS[TIPO],"AYUDA",PRESTAMOS[FECHA DEL PRESTAMO],"&gt;="&amp;$H$3,PRESTAMOS[FECHA DEL PRESTAMO],"&lt;="&amp;$K$3))</f>
        <v>100</v>
      </c>
      <c r="G17" s="265">
        <f>IF(OR($H$3="",$K$3=""),SUMIFS(PRESTAMOS[MONTO AMORTIZACION],PRESTAMOS[CODIGO CLIENTE],B17,PRESTAMOS[TIPO],"&lt;&gt;AYUDA"),SUMIFS(PRESTAMOS[MONTO AMORTIZACION],PRESTAMOS[CODIGO CLIENTE],B17,PRESTAMOS[TIPO],"&lt;&gt;AYUDA",PRESTAMOS[FECHA DEL PRESTAMO],"&gt;="&amp;$H$3,PRESTAMOS[FECHA DEL PRESTAMO],"&lt;="&amp;$K$3))</f>
        <v>5000</v>
      </c>
      <c r="H17" s="265">
        <f>IF(OR($H$3="",$K$3=""),SUMIFS(PRESTAMOS[T. INT],PRESTAMOS[CODIGO CLIENTE],B17,PRESTAMOS[TIPO],"&lt;&gt;AYUDA"),SUMIFS(PRESTAMOS[T. INT],PRESTAMOS[CODIGO CLIENTE],B17,PRESTAMOS[TIPO],"&lt;&gt;AYUDA",PRESTAMOS[FECHA DEL PRESTAMO],"&gt;="&amp;$H$3,PRESTAMOS[FECHA DEL PRESTAMO],"&lt;="&amp;$K$3))</f>
        <v>948</v>
      </c>
      <c r="I17" s="264">
        <f>IF(OR($H$3="",$K$3=""),SUMIFS(PAGOS[PAGO DEL MONTO],PAGOS[CODIGO CLIENTE],B17,PAGOS[TIPO],"&lt;&gt;EGRESO"),SUMIFS(PAGOS[PAGO DEL MONTO],PAGOS[CODIGO CLIENTE],B17,PAGOS[TIPO],"&lt;&gt;EGRESO",PAGOS[TIPO],"&lt;&gt;INGRESO",PAGOS[FECHA PAGO DEL MONTO],"&gt;="&amp;$H$3,PAGOS[FECHA PAGO DEL MONTO],"&lt;="&amp;$K$3))</f>
        <v>3750</v>
      </c>
      <c r="J17" s="264">
        <f>IF(OR($H$3="",$K$3=""),SUMIFS(PAGOS[PAGO DEL INTERES],PAGOS[CODIGO CLIENTE],B17,PAGOS[TIPO],"&lt;&gt;EGRESO",PAGOS[TIPO],"&lt;&gt;INGRESO"),SUMIFS(PAGOS[PAGO DEL INTERES],PAGOS[CODIGO CLIENTE],B17,PAGOS[TIPO],"&lt;&gt;EGRESO",PAGOS[TIPO],"&lt;&gt;INGRESO",PAGOS[FECHA PAGO INTERES],"&gt;="&amp;$H$3,PAGOS[FECHA PAGO INTERES],"&lt;="&amp;$K$3))</f>
        <v>528</v>
      </c>
      <c r="K17" s="266">
        <f>IF(OR($H$3="",$K$3=""),SUMIFS(PAGOS[PAGO DEL INTERES],PAGOS[CODIGO CLIENTE],B17,PAGOS[TIPO],"EGRESO"),SUMIFS(PAGOS[PAGO DEL INTERES],PAGOS[CODIGO CLIENTE],B17,PAGOS[TIPO],"EGRESO",PAGOS[FECHA PAGO INTERES],"&gt;="&amp;$H$3,PAGOS[FECHA PAGO INTERES],"&lt;="&amp;$K$3))</f>
        <v>120</v>
      </c>
      <c r="L17" s="267">
        <f t="shared" si="1"/>
        <v>1250</v>
      </c>
      <c r="M17" s="267">
        <f t="shared" si="0"/>
        <v>300</v>
      </c>
      <c r="N17" s="268">
        <f>IF(OR($H$3="",$K$3=""),(SUMIFS(PAGOS[PAGO DEL MONTO],PAGOS[NOMBRE CLIENTE],C17,PAGOS[TIPO],"INGRESO"))+(SUMIFS(PAGOS[PAGO DEL INTERES],PAGOS[NOMBRE CLIENTE],C17,PAGOS[TIPO],"INGRESO")),(SUMIFS(PAGOS[PAGO DEL MONTO],PAGOS[NOMBRE CLIENTE],C17,PAGOS[TIPO],"INGRESO",PAGOS[FECHA PAGO DEL MONTO],"&gt;="&amp;$H$3,PAGOS[FECHA PAGO DEL MONTO],"&lt;="&amp;$K$3))+(SUMIFS(PAGOS[PAGO DEL INTERES],PAGOS[NOMBRE CLIENTE],C17,PAGOS[TIPO],"INGRESO",PAGOS[FECHA PAGO INTERES],"&gt;="&amp;$H$3,PAGOS[FECHA PAGO INTERES],"&lt;="&amp;$K$3)))</f>
        <v>13.35</v>
      </c>
      <c r="O17" s="268">
        <f>IF(OR($H$3="",$K$3=""),IF(C17="SOCIOS GASTOS",SUMIFS(PAGOS[PAGO DEL MONTO],PAGOS[NOMBRE CLIENTE],"SOCIOS GASTOS",PAGOS[TIPO],"EGRESO")+(SUMIFS(PAGOS[PAGO DEL INTERES],PAGOS[NOMBRE CLIENTE],"SOCIOS GASTOS",PAGOS[TIPO],"EGRESO")),0)+F17,IF(C17="SOCIOS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INTERES],"&lt;="&amp;$K$3)),0)+F17)</f>
        <v>100</v>
      </c>
      <c r="P17" s="269">
        <f t="shared" si="2"/>
        <v>269.01812499999994</v>
      </c>
      <c r="Q17" s="270">
        <f t="shared" si="3"/>
        <v>759.01812499999994</v>
      </c>
    </row>
    <row r="18" spans="2:17" x14ac:dyDescent="0.3">
      <c r="B18" s="263">
        <v>13</v>
      </c>
      <c r="C18" s="263" t="s">
        <v>301</v>
      </c>
      <c r="D18" s="263">
        <v>13</v>
      </c>
      <c r="E18" s="263">
        <f>IF(OR($H$3="",$K$3=""),SUMIFS(APORTACIONESOCIOS[APORTE],APORTACIONESOCIOS[CODIGO CLIENTE],B18),SUMIFS(APORTACIONESOCIOS[APORTE],APORTACIONESOCIOS[CODIGO CLIENTE],B18,APORTACIONESOCIOS[FECHA],"&gt;="&amp;$H$3,APORTACIONESOCIOS[FECHA],"&lt;="&amp;$K$3))</f>
        <v>490</v>
      </c>
      <c r="F18" s="264">
        <f>IF(OR($H$3="",$K$3=""),SUMIFS(PRESTAMOS[MONTO AMORTIZACION],PRESTAMOS[NOMBRE CLIENTE],C18,PRESTAMOS[TIPO],"AYUDA"),SUMIFS(PRESTAMOS[MONTO AMORTIZACION],PRESTAMOS[NOMBRE CLIENTE],C18,PRESTAMOS[TIPO],"AYUDA",PRESTAMOS[FECHA DEL PRESTAMO],"&gt;="&amp;$H$3,PRESTAMOS[FECHA DEL PRESTAMO],"&lt;="&amp;$K$3))</f>
        <v>0</v>
      </c>
      <c r="G18" s="265">
        <f>IF(OR($H$3="",$K$3=""),SUMIFS(PRESTAMOS[MONTO AMORTIZACION],PRESTAMOS[CODIGO CLIENTE],B18,PRESTAMOS[TIPO],"&lt;&gt;AYUDA"),SUMIFS(PRESTAMOS[MONTO AMORTIZACION],PRESTAMOS[CODIGO CLIENTE],B18,PRESTAMOS[TIPO],"&lt;&gt;AYUDA",PRESTAMOS[FECHA DEL PRESTAMO],"&gt;="&amp;$H$3,PRESTAMOS[FECHA DEL PRESTAMO],"&lt;="&amp;$K$3))</f>
        <v>1000</v>
      </c>
      <c r="H18" s="265">
        <f>IF(OR($H$3="",$K$3=""),SUMIFS(PRESTAMOS[T. INT],PRESTAMOS[CODIGO CLIENTE],B18,PRESTAMOS[TIPO],"&lt;&gt;AYUDA"),SUMIFS(PRESTAMOS[T. INT],PRESTAMOS[CODIGO CLIENTE],B18,PRESTAMOS[TIPO],"&lt;&gt;AYUDA",PRESTAMOS[FECHA DEL PRESTAMO],"&gt;="&amp;$H$3,PRESTAMOS[FECHA DEL PRESTAMO],"&lt;="&amp;$K$3))</f>
        <v>200</v>
      </c>
      <c r="I18" s="264">
        <f>IF(OR($H$3="",$K$3=""),SUMIFS(PAGOS[PAGO DEL MONTO],PAGOS[CODIGO CLIENTE],B18,PAGOS[TIPO],"&lt;&gt;EGRESO"),SUMIFS(PAGOS[PAGO DEL MONTO],PAGOS[CODIGO CLIENTE],B18,PAGOS[TIPO],"&lt;&gt;EGRESO",PAGOS[TIPO],"&lt;&gt;INGRESO",PAGOS[FECHA PAGO DEL MONTO],"&gt;="&amp;$H$3,PAGOS[FECHA PAGO DEL MONTO],"&lt;="&amp;$K$3))</f>
        <v>500</v>
      </c>
      <c r="J18" s="264">
        <f>IF(OR($H$3="",$K$3=""),SUMIFS(PAGOS[PAGO DEL INTERES],PAGOS[CODIGO CLIENTE],B18,PAGOS[TIPO],"&lt;&gt;EGRESO",PAGOS[TIPO],"&lt;&gt;INGRESO"),SUMIFS(PAGOS[PAGO DEL INTERES],PAGOS[CODIGO CLIENTE],B18,PAGOS[TIPO],"&lt;&gt;EGRESO",PAGOS[TIPO],"&lt;&gt;INGRESO",PAGOS[FECHA PAGO INTERES],"&gt;="&amp;$H$3,PAGOS[FECHA PAGO INTERES],"&lt;="&amp;$K$3))</f>
        <v>100</v>
      </c>
      <c r="K18" s="266">
        <f>IF(OR($H$3="",$K$3=""),SUMIFS(PAGOS[PAGO DEL INTERES],PAGOS[CODIGO CLIENTE],B18,PAGOS[TIPO],"EGRESO"),SUMIFS(PAGOS[PAGO DEL INTERES],PAGOS[CODIGO CLIENTE],B18,PAGOS[TIPO],"EGRESO",PAGOS[FECHA PAGO INTERES],"&gt;="&amp;$H$3,PAGOS[FECHA PAGO INTERES],"&lt;="&amp;$K$3))</f>
        <v>0</v>
      </c>
      <c r="L18" s="267">
        <f t="shared" si="1"/>
        <v>500</v>
      </c>
      <c r="M18" s="267">
        <f t="shared" si="0"/>
        <v>100</v>
      </c>
      <c r="N18" s="268">
        <f>IF(OR($H$3="",$K$3=""),(SUMIFS(PAGOS[PAGO DEL MONTO],PAGOS[NOMBRE CLIENTE],C18,PAGOS[TIPO],"INGRESO"))+(SUMIFS(PAGOS[PAGO DEL INTERES],PAGOS[NOMBRE CLIENTE],C18,PAGOS[TIPO],"INGRESO")),(SUMIFS(PAGOS[PAGO DEL MONTO],PAGOS[NOMBRE CLIENTE],C18,PAGOS[TIPO],"INGRESO",PAGOS[FECHA PAGO DEL MONTO],"&gt;="&amp;$H$3,PAGOS[FECHA PAGO DEL MONTO],"&lt;="&amp;$K$3))+(SUMIFS(PAGOS[PAGO DEL INTERES],PAGOS[NOMBRE CLIENTE],C18,PAGOS[TIPO],"INGRESO",PAGOS[FECHA PAGO INTERES],"&gt;="&amp;$H$3,PAGOS[FECHA PAGO INTERES],"&lt;="&amp;$K$3)))</f>
        <v>0</v>
      </c>
      <c r="O18" s="268">
        <f>IF(OR($H$3="",$K$3=""),IF(C18="SOCIOS GASTOS",SUMIFS(PAGOS[PAGO DEL MONTO],PAGOS[NOMBRE CLIENTE],"SOCIOS GASTOS",PAGOS[TIPO],"EGRESO")+(SUMIFS(PAGOS[PAGO DEL INTERES],PAGOS[NOMBRE CLIENTE],"SOCIOS GASTOS",PAGOS[TIPO],"EGRESO")),0)+F18,IF(C18="SOCIOS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INTERES],"&lt;="&amp;$K$3)),0)+F18)</f>
        <v>0</v>
      </c>
      <c r="P18" s="269">
        <f t="shared" si="2"/>
        <v>269.01812499999994</v>
      </c>
      <c r="Q18" s="270">
        <f t="shared" si="3"/>
        <v>759.01812499999994</v>
      </c>
    </row>
    <row r="19" spans="2:17" x14ac:dyDescent="0.3">
      <c r="B19" s="263">
        <v>14</v>
      </c>
      <c r="C19" s="263" t="s">
        <v>21</v>
      </c>
      <c r="D19" s="263">
        <v>45</v>
      </c>
      <c r="E19" s="263">
        <f>IF(OR($H$3="",$K$3=""),SUMIFS(APORTACIONESOCIOS[APORTE],APORTACIONESOCIOS[CODIGO CLIENTE],B19),SUMIFS(APORTACIONESOCIOS[APORTE],APORTACIONESOCIOS[CODIGO CLIENTE],B19,APORTACIONESOCIOS[FECHA],"&gt;="&amp;$H$3,APORTACIONESOCIOS[FECHA],"&lt;="&amp;$K$3))</f>
        <v>490</v>
      </c>
      <c r="F19" s="264">
        <f>IF(OR($H$3="",$K$3=""),SUMIFS(PRESTAMOS[MONTO AMORTIZACION],PRESTAMOS[NOMBRE CLIENTE],C19,PRESTAMOS[TIPO],"AYUDA"),SUMIFS(PRESTAMOS[MONTO AMORTIZACION],PRESTAMOS[NOMBRE CLIENTE],C19,PRESTAMOS[TIPO],"AYUDA",PRESTAMOS[FECHA DEL PRESTAMO],"&gt;="&amp;$H$3,PRESTAMOS[FECHA DEL PRESTAMO],"&lt;="&amp;$K$3))</f>
        <v>100</v>
      </c>
      <c r="G19" s="265">
        <f>IF(OR($H$3="",$K$3=""),SUMIFS(PRESTAMOS[MONTO AMORTIZACION],PRESTAMOS[CODIGO CLIENTE],B19,PRESTAMOS[TIPO],"&lt;&gt;AYUDA"),SUMIFS(PRESTAMOS[MONTO AMORTIZACION],PRESTAMOS[CODIGO CLIENTE],B19,PRESTAMOS[TIPO],"&lt;&gt;AYUDA",PRESTAMOS[FECHA DEL PRESTAMO],"&gt;="&amp;$H$3,PRESTAMOS[FECHA DEL PRESTAMO],"&lt;="&amp;$K$3))</f>
        <v>5620</v>
      </c>
      <c r="H19" s="265">
        <f>IF(OR($H$3="",$K$3=""),SUMIFS(PRESTAMOS[T. INT],PRESTAMOS[CODIGO CLIENTE],B19,PRESTAMOS[TIPO],"&lt;&gt;AYUDA"),SUMIFS(PRESTAMOS[T. INT],PRESTAMOS[CODIGO CLIENTE],B19,PRESTAMOS[TIPO],"&lt;&gt;AYUDA",PRESTAMOS[FECHA DEL PRESTAMO],"&gt;="&amp;$H$3,PRESTAMOS[FECHA DEL PRESTAMO],"&lt;="&amp;$K$3))</f>
        <v>1049</v>
      </c>
      <c r="I19" s="264">
        <f>IF(OR($H$3="",$K$3=""),SUMIFS(PAGOS[PAGO DEL MONTO],PAGOS[CODIGO CLIENTE],B19,PAGOS[TIPO],"&lt;&gt;EGRESO"),SUMIFS(PAGOS[PAGO DEL MONTO],PAGOS[CODIGO CLIENTE],B19,PAGOS[TIPO],"&lt;&gt;EGRESO",PAGOS[TIPO],"&lt;&gt;INGRESO",PAGOS[FECHA PAGO DEL MONTO],"&gt;="&amp;$H$3,PAGOS[FECHA PAGO DEL MONTO],"&lt;="&amp;$K$3))</f>
        <v>4064.4400000000005</v>
      </c>
      <c r="J19" s="264">
        <f>IF(OR($H$3="",$K$3=""),SUMIFS(PAGOS[PAGO DEL INTERES],PAGOS[CODIGO CLIENTE],B19,PAGOS[TIPO],"&lt;&gt;EGRESO",PAGOS[TIPO],"&lt;&gt;INGRESO"),SUMIFS(PAGOS[PAGO DEL INTERES],PAGOS[CODIGO CLIENTE],B19,PAGOS[TIPO],"&lt;&gt;EGRESO",PAGOS[TIPO],"&lt;&gt;INGRESO",PAGOS[FECHA PAGO INTERES],"&gt;="&amp;$H$3,PAGOS[FECHA PAGO INTERES],"&lt;="&amp;$K$3))</f>
        <v>447</v>
      </c>
      <c r="K19" s="266">
        <f>IF(OR($H$3="",$K$3=""),SUMIFS(PAGOS[PAGO DEL INTERES],PAGOS[CODIGO CLIENTE],B19,PAGOS[TIPO],"EGRESO"),SUMIFS(PAGOS[PAGO DEL INTERES],PAGOS[CODIGO CLIENTE],B19,PAGOS[TIPO],"EGRESO",PAGOS[FECHA PAGO INTERES],"&gt;="&amp;$H$3,PAGOS[FECHA PAGO INTERES],"&lt;="&amp;$K$3))</f>
        <v>42</v>
      </c>
      <c r="L19" s="267">
        <f t="shared" si="1"/>
        <v>1555.5599999999995</v>
      </c>
      <c r="M19" s="267">
        <f t="shared" si="0"/>
        <v>560</v>
      </c>
      <c r="N19" s="268">
        <f>IF(OR($H$3="",$K$3=""),(SUMIFS(PAGOS[PAGO DEL MONTO],PAGOS[NOMBRE CLIENTE],C19,PAGOS[TIPO],"INGRESO"))+(SUMIFS(PAGOS[PAGO DEL INTERES],PAGOS[NOMBRE CLIENTE],C19,PAGOS[TIPO],"INGRESO")),(SUMIFS(PAGOS[PAGO DEL MONTO],PAGOS[NOMBRE CLIENTE],C19,PAGOS[TIPO],"INGRESO",PAGOS[FECHA PAGO DEL MONTO],"&gt;="&amp;$H$3,PAGOS[FECHA PAGO DEL MONTO],"&lt;="&amp;$K$3))+(SUMIFS(PAGOS[PAGO DEL INTERES],PAGOS[NOMBRE CLIENTE],C19,PAGOS[TIPO],"INGRESO",PAGOS[FECHA PAGO INTERES],"&gt;="&amp;$H$3,PAGOS[FECHA PAGO INTERES],"&lt;="&amp;$K$3)))</f>
        <v>13.35</v>
      </c>
      <c r="O19" s="268">
        <f>IF(OR($H$3="",$K$3=""),IF(C19="SOCIOS GASTOS",SUMIFS(PAGOS[PAGO DEL MONTO],PAGOS[NOMBRE CLIENTE],"SOCIOS GASTOS",PAGOS[TIPO],"EGRESO")+(SUMIFS(PAGOS[PAGO DEL INTERES],PAGOS[NOMBRE CLIENTE],"SOCIOS GASTOS",PAGOS[TIPO],"EGRESO")),0)+F19,IF(C19="SOCIOS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INTERES],"&lt;="&amp;$K$3)),0)+F19)</f>
        <v>100</v>
      </c>
      <c r="P19" s="269">
        <f t="shared" si="2"/>
        <v>269.01812499999994</v>
      </c>
      <c r="Q19" s="270">
        <f t="shared" si="3"/>
        <v>759.01812499999994</v>
      </c>
    </row>
    <row r="20" spans="2:17" x14ac:dyDescent="0.3">
      <c r="B20" s="263">
        <v>15</v>
      </c>
      <c r="C20" s="263" t="s">
        <v>22</v>
      </c>
      <c r="D20" s="263">
        <v>45</v>
      </c>
      <c r="E20" s="263">
        <f>IF(OR($H$3="",$K$3=""),SUMIFS(APORTACIONESOCIOS[APORTE],APORTACIONESOCIOS[CODIGO CLIENTE],B20),SUMIFS(APORTACIONESOCIOS[APORTE],APORTACIONESOCIOS[CODIGO CLIENTE],B20,APORTACIONESOCIOS[FECHA],"&gt;="&amp;$H$3,APORTACIONESOCIOS[FECHA],"&lt;="&amp;$K$3))</f>
        <v>490</v>
      </c>
      <c r="F20" s="264">
        <f>IF(OR($H$3="",$K$3=""),SUMIFS(PRESTAMOS[MONTO AMORTIZACION],PRESTAMOS[NOMBRE CLIENTE],C20,PRESTAMOS[TIPO],"AYUDA"),SUMIFS(PRESTAMOS[MONTO AMORTIZACION],PRESTAMOS[NOMBRE CLIENTE],C20,PRESTAMOS[TIPO],"AYUDA",PRESTAMOS[FECHA DEL PRESTAMO],"&gt;="&amp;$H$3,PRESTAMOS[FECHA DEL PRESTAMO],"&lt;="&amp;$K$3))</f>
        <v>0</v>
      </c>
      <c r="G20" s="265">
        <f>IF(OR($H$3="",$K$3=""),SUMIFS(PRESTAMOS[MONTO AMORTIZACION],PRESTAMOS[CODIGO CLIENTE],B20,PRESTAMOS[TIPO],"&lt;&gt;AYUDA"),SUMIFS(PRESTAMOS[MONTO AMORTIZACION],PRESTAMOS[CODIGO CLIENTE],B20,PRESTAMOS[TIPO],"&lt;&gt;AYUDA",PRESTAMOS[FECHA DEL PRESTAMO],"&gt;="&amp;$H$3,PRESTAMOS[FECHA DEL PRESTAMO],"&lt;="&amp;$K$3))</f>
        <v>1800</v>
      </c>
      <c r="H20" s="265">
        <f>IF(OR($H$3="",$K$3=""),SUMIFS(PRESTAMOS[T. INT],PRESTAMOS[CODIGO CLIENTE],B20,PRESTAMOS[TIPO],"&lt;&gt;AYUDA"),SUMIFS(PRESTAMOS[T. INT],PRESTAMOS[CODIGO CLIENTE],B20,PRESTAMOS[TIPO],"&lt;&gt;AYUDA",PRESTAMOS[FECHA DEL PRESTAMO],"&gt;="&amp;$H$3,PRESTAMOS[FECHA DEL PRESTAMO],"&lt;="&amp;$K$3))</f>
        <v>280</v>
      </c>
      <c r="I20" s="264">
        <f>IF(OR($H$3="",$K$3=""),SUMIFS(PAGOS[PAGO DEL MONTO],PAGOS[CODIGO CLIENTE],B20,PAGOS[TIPO],"&lt;&gt;EGRESO"),SUMIFS(PAGOS[PAGO DEL MONTO],PAGOS[CODIGO CLIENTE],B20,PAGOS[TIPO],"&lt;&gt;EGRESO",PAGOS[TIPO],"&lt;&gt;INGRESO",PAGOS[FECHA PAGO DEL MONTO],"&gt;="&amp;$H$3,PAGOS[FECHA PAGO DEL MONTO],"&lt;="&amp;$K$3))</f>
        <v>1800</v>
      </c>
      <c r="J20" s="264">
        <f>IF(OR($H$3="",$K$3=""),SUMIFS(PAGOS[PAGO DEL INTERES],PAGOS[CODIGO CLIENTE],B20,PAGOS[TIPO],"&lt;&gt;EGRESO",PAGOS[TIPO],"&lt;&gt;INGRESO"),SUMIFS(PAGOS[PAGO DEL INTERES],PAGOS[CODIGO CLIENTE],B20,PAGOS[TIPO],"&lt;&gt;EGRESO",PAGOS[TIPO],"&lt;&gt;INGRESO",PAGOS[FECHA PAGO INTERES],"&gt;="&amp;$H$3,PAGOS[FECHA PAGO INTERES],"&lt;="&amp;$K$3))</f>
        <v>274</v>
      </c>
      <c r="K20" s="266">
        <f>IF(OR($H$3="",$K$3=""),SUMIFS(PAGOS[PAGO DEL INTERES],PAGOS[CODIGO CLIENTE],B20,PAGOS[TIPO],"EGRESO"),SUMIFS(PAGOS[PAGO DEL INTERES],PAGOS[CODIGO CLIENTE],B20,PAGOS[TIPO],"EGRESO",PAGOS[FECHA PAGO INTERES],"&gt;="&amp;$H$3,PAGOS[FECHA PAGO INTERES],"&lt;="&amp;$K$3))</f>
        <v>6</v>
      </c>
      <c r="L20" s="267">
        <f t="shared" si="1"/>
        <v>0</v>
      </c>
      <c r="M20" s="267">
        <f t="shared" si="0"/>
        <v>0</v>
      </c>
      <c r="N20" s="268">
        <f>IF(OR($H$3="",$K$3=""),(SUMIFS(PAGOS[PAGO DEL MONTO],PAGOS[NOMBRE CLIENTE],C20,PAGOS[TIPO],"INGRESO"))+(SUMIFS(PAGOS[PAGO DEL INTERES],PAGOS[NOMBRE CLIENTE],C20,PAGOS[TIPO],"INGRESO")),(SUMIFS(PAGOS[PAGO DEL MONTO],PAGOS[NOMBRE CLIENTE],C20,PAGOS[TIPO],"INGRESO",PAGOS[FECHA PAGO DEL MONTO],"&gt;="&amp;$H$3,PAGOS[FECHA PAGO DEL MONTO],"&lt;="&amp;$K$3))+(SUMIFS(PAGOS[PAGO DEL INTERES],PAGOS[NOMBRE CLIENTE],C20,PAGOS[TIPO],"INGRESO",PAGOS[FECHA PAGO INTERES],"&gt;="&amp;$H$3,PAGOS[FECHA PAGO INTERES],"&lt;="&amp;$K$3)))</f>
        <v>13.35</v>
      </c>
      <c r="O20" s="268">
        <f>IF(OR($H$3="",$K$3=""),IF(C20="SOCIOS GASTOS",SUMIFS(PAGOS[PAGO DEL MONTO],PAGOS[NOMBRE CLIENTE],"SOCIOS GASTOS",PAGOS[TIPO],"EGRESO")+(SUMIFS(PAGOS[PAGO DEL INTERES],PAGOS[NOMBRE CLIENTE],"SOCIOS GASTOS",PAGOS[TIPO],"EGRESO")),0)+F20,IF(C20="SOCIOS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INTERES],"&lt;="&amp;$K$3)),0)+F20)</f>
        <v>0</v>
      </c>
      <c r="P20" s="269">
        <f t="shared" si="2"/>
        <v>269.01812499999994</v>
      </c>
      <c r="Q20" s="270">
        <f t="shared" si="3"/>
        <v>759.01812499999994</v>
      </c>
    </row>
    <row r="21" spans="2:17" x14ac:dyDescent="0.3">
      <c r="B21" s="263">
        <v>16</v>
      </c>
      <c r="C21" s="263" t="s">
        <v>23</v>
      </c>
      <c r="D21" s="263">
        <v>45</v>
      </c>
      <c r="E21" s="263">
        <f>IF(OR($H$3="",$K$3=""),SUMIFS(APORTACIONESOCIOS[APORTE],APORTACIONESOCIOS[CODIGO CLIENTE],B21),SUMIFS(APORTACIONESOCIOS[APORTE],APORTACIONESOCIOS[CODIGO CLIENTE],B21,APORTACIONESOCIOS[FECHA],"&gt;="&amp;$H$3,APORTACIONESOCIOS[FECHA],"&lt;="&amp;$K$3))</f>
        <v>490</v>
      </c>
      <c r="F21" s="264">
        <f>IF(OR($H$3="",$K$3=""),SUMIFS(PRESTAMOS[MONTO AMORTIZACION],PRESTAMOS[NOMBRE CLIENTE],C21,PRESTAMOS[TIPO],"AYUDA"),SUMIFS(PRESTAMOS[MONTO AMORTIZACION],PRESTAMOS[NOMBRE CLIENTE],C21,PRESTAMOS[TIPO],"AYUDA",PRESTAMOS[FECHA DEL PRESTAMO],"&gt;="&amp;$H$3,PRESTAMOS[FECHA DEL PRESTAMO],"&lt;="&amp;$K$3))</f>
        <v>0</v>
      </c>
      <c r="G21" s="265">
        <f>IF(OR($H$3="",$K$3=""),SUMIFS(PRESTAMOS[MONTO AMORTIZACION],PRESTAMOS[CODIGO CLIENTE],B21,PRESTAMOS[TIPO],"&lt;&gt;AYUDA"),SUMIFS(PRESTAMOS[MONTO AMORTIZACION],PRESTAMOS[CODIGO CLIENTE],B21,PRESTAMOS[TIPO],"&lt;&gt;AYUDA",PRESTAMOS[FECHA DEL PRESTAMO],"&gt;="&amp;$H$3,PRESTAMOS[FECHA DEL PRESTAMO],"&lt;="&amp;$K$3))</f>
        <v>4650</v>
      </c>
      <c r="H21" s="265">
        <f>IF(OR($H$3="",$K$3=""),SUMIFS(PRESTAMOS[T. INT],PRESTAMOS[CODIGO CLIENTE],B21,PRESTAMOS[TIPO],"&lt;&gt;AYUDA"),SUMIFS(PRESTAMOS[T. INT],PRESTAMOS[CODIGO CLIENTE],B21,PRESTAMOS[TIPO],"&lt;&gt;AYUDA",PRESTAMOS[FECHA DEL PRESTAMO],"&gt;="&amp;$H$3,PRESTAMOS[FECHA DEL PRESTAMO],"&lt;="&amp;$K$3))</f>
        <v>325.2</v>
      </c>
      <c r="I21" s="264">
        <f>IF(OR($H$3="",$K$3=""),SUMIFS(PAGOS[PAGO DEL MONTO],PAGOS[CODIGO CLIENTE],B21,PAGOS[TIPO],"&lt;&gt;EGRESO"),SUMIFS(PAGOS[PAGO DEL MONTO],PAGOS[CODIGO CLIENTE],B21,PAGOS[TIPO],"&lt;&gt;EGRESO",PAGOS[TIPO],"&lt;&gt;INGRESO",PAGOS[FECHA PAGO DEL MONTO],"&gt;="&amp;$H$3,PAGOS[FECHA PAGO DEL MONTO],"&lt;="&amp;$K$3))</f>
        <v>3540.04</v>
      </c>
      <c r="J21" s="264">
        <f>IF(OR($H$3="",$K$3=""),SUMIFS(PAGOS[PAGO DEL INTERES],PAGOS[CODIGO CLIENTE],B21,PAGOS[TIPO],"&lt;&gt;EGRESO",PAGOS[TIPO],"&lt;&gt;INGRESO"),SUMIFS(PAGOS[PAGO DEL INTERES],PAGOS[CODIGO CLIENTE],B21,PAGOS[TIPO],"&lt;&gt;EGRESO",PAGOS[TIPO],"&lt;&gt;INGRESO",PAGOS[FECHA PAGO INTERES],"&gt;="&amp;$H$3,PAGOS[FECHA PAGO INTERES],"&lt;="&amp;$K$3))</f>
        <v>255.4</v>
      </c>
      <c r="K21" s="266">
        <f>IF(OR($H$3="",$K$3=""),SUMIFS(PAGOS[PAGO DEL INTERES],PAGOS[CODIGO CLIENTE],B21,PAGOS[TIPO],"EGRESO"),SUMIFS(PAGOS[PAGO DEL INTERES],PAGOS[CODIGO CLIENTE],B21,PAGOS[TIPO],"EGRESO",PAGOS[FECHA PAGO INTERES],"&gt;="&amp;$H$3,PAGOS[FECHA PAGO INTERES],"&lt;="&amp;$K$3))</f>
        <v>0</v>
      </c>
      <c r="L21" s="267">
        <f t="shared" si="1"/>
        <v>1109.96</v>
      </c>
      <c r="M21" s="267">
        <f t="shared" si="0"/>
        <v>69.799999999999983</v>
      </c>
      <c r="N21" s="268">
        <f>IF(OR($H$3="",$K$3=""),(SUMIFS(PAGOS[PAGO DEL MONTO],PAGOS[NOMBRE CLIENTE],C21,PAGOS[TIPO],"INGRESO"))+(SUMIFS(PAGOS[PAGO DEL INTERES],PAGOS[NOMBRE CLIENTE],C21,PAGOS[TIPO],"INGRESO")),(SUMIFS(PAGOS[PAGO DEL MONTO],PAGOS[NOMBRE CLIENTE],C21,PAGOS[TIPO],"INGRESO",PAGOS[FECHA PAGO DEL MONTO],"&gt;="&amp;$H$3,PAGOS[FECHA PAGO DEL MONTO],"&lt;="&amp;$K$3))+(SUMIFS(PAGOS[PAGO DEL INTERES],PAGOS[NOMBRE CLIENTE],C21,PAGOS[TIPO],"INGRESO",PAGOS[FECHA PAGO INTERES],"&gt;="&amp;$H$3,PAGOS[FECHA PAGO INTERES],"&lt;="&amp;$K$3)))</f>
        <v>13.35</v>
      </c>
      <c r="O21" s="268">
        <f>IF(OR($H$3="",$K$3=""),IF(C21="SOCIOS GASTOS",SUMIFS(PAGOS[PAGO DEL MONTO],PAGOS[NOMBRE CLIENTE],"SOCIOS GASTOS",PAGOS[TIPO],"EGRESO")+(SUMIFS(PAGOS[PAGO DEL INTERES],PAGOS[NOMBRE CLIENTE],"SOCIOS GASTOS",PAGOS[TIPO],"EGRESO")),0)+F21,IF(C21="SOCIOS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INTERES],"&lt;="&amp;$K$3)),0)+F21)</f>
        <v>0</v>
      </c>
      <c r="P21" s="269">
        <f t="shared" si="2"/>
        <v>269.01812499999994</v>
      </c>
      <c r="Q21" s="270">
        <f t="shared" si="3"/>
        <v>759.01812499999994</v>
      </c>
    </row>
    <row r="22" spans="2:17" x14ac:dyDescent="0.3">
      <c r="B22" s="263">
        <v>17</v>
      </c>
      <c r="C22" s="263" t="s">
        <v>299</v>
      </c>
      <c r="D22" s="263">
        <v>13</v>
      </c>
      <c r="E22" s="263">
        <f>IF(OR($H$3="",$K$3=""),SUMIFS(APORTACIONESOCIOS[APORTE],APORTACIONESOCIOS[CODIGO CLIENTE],B22),SUMIFS(APORTACIONESOCIOS[APORTE],APORTACIONESOCIOS[CODIGO CLIENTE],B22,APORTACIONESOCIOS[FECHA],"&gt;="&amp;$H$3,APORTACIONESOCIOS[FECHA],"&lt;="&amp;$K$3))</f>
        <v>490</v>
      </c>
      <c r="F22" s="264">
        <f>IF(OR($H$3="",$K$3=""),SUMIFS(PRESTAMOS[MONTO AMORTIZACION],PRESTAMOS[NOMBRE CLIENTE],C22,PRESTAMOS[TIPO],"AYUDA"),SUMIFS(PRESTAMOS[MONTO AMORTIZACION],PRESTAMOS[NOMBRE CLIENTE],C22,PRESTAMOS[TIPO],"AYUDA",PRESTAMOS[FECHA DEL PRESTAMO],"&gt;="&amp;$H$3,PRESTAMOS[FECHA DEL PRESTAMO],"&lt;="&amp;$K$3))</f>
        <v>0</v>
      </c>
      <c r="G22" s="265">
        <f>IF(OR($H$3="",$K$3=""),SUMIFS(PRESTAMOS[MONTO AMORTIZACION],PRESTAMOS[CODIGO CLIENTE],B22,PRESTAMOS[TIPO],"&lt;&gt;AYUDA"),SUMIFS(PRESTAMOS[MONTO AMORTIZACION],PRESTAMOS[CODIGO CLIENTE],B22,PRESTAMOS[TIPO],"&lt;&gt;AYUDA",PRESTAMOS[FECHA DEL PRESTAMO],"&gt;="&amp;$H$3,PRESTAMOS[FECHA DEL PRESTAMO],"&lt;="&amp;$K$3))</f>
        <v>3600</v>
      </c>
      <c r="H22" s="265">
        <f>IF(OR($H$3="",$K$3=""),SUMIFS(PRESTAMOS[T. INT],PRESTAMOS[CODIGO CLIENTE],B22,PRESTAMOS[TIPO],"&lt;&gt;AYUDA"),SUMIFS(PRESTAMOS[T. INT],PRESTAMOS[CODIGO CLIENTE],B22,PRESTAMOS[TIPO],"&lt;&gt;AYUDA",PRESTAMOS[FECHA DEL PRESTAMO],"&gt;="&amp;$H$3,PRESTAMOS[FECHA DEL PRESTAMO],"&lt;="&amp;$K$3))</f>
        <v>640</v>
      </c>
      <c r="I22" s="264">
        <f>IF(OR($H$3="",$K$3=""),SUMIFS(PAGOS[PAGO DEL MONTO],PAGOS[CODIGO CLIENTE],B22,PAGOS[TIPO],"&lt;&gt;EGRESO"),SUMIFS(PAGOS[PAGO DEL MONTO],PAGOS[CODIGO CLIENTE],B22,PAGOS[TIPO],"&lt;&gt;EGRESO",PAGOS[TIPO],"&lt;&gt;INGRESO",PAGOS[FECHA PAGO DEL MONTO],"&gt;="&amp;$H$3,PAGOS[FECHA PAGO DEL MONTO],"&lt;="&amp;$K$3))</f>
        <v>2000</v>
      </c>
      <c r="J22" s="264">
        <f>IF(OR($H$3="",$K$3=""),SUMIFS(PAGOS[PAGO DEL INTERES],PAGOS[CODIGO CLIENTE],B22,PAGOS[TIPO],"&lt;&gt;EGRESO",PAGOS[TIPO],"&lt;&gt;INGRESO"),SUMIFS(PAGOS[PAGO DEL INTERES],PAGOS[CODIGO CLIENTE],B22,PAGOS[TIPO],"&lt;&gt;EGRESO",PAGOS[TIPO],"&lt;&gt;INGRESO",PAGOS[FECHA PAGO INTERES],"&gt;="&amp;$H$3,PAGOS[FECHA PAGO INTERES],"&lt;="&amp;$K$3))</f>
        <v>480</v>
      </c>
      <c r="K22" s="266">
        <f>IF(OR($H$3="",$K$3=""),SUMIFS(PAGOS[PAGO DEL INTERES],PAGOS[CODIGO CLIENTE],B22,PAGOS[TIPO],"EGRESO"),SUMIFS(PAGOS[PAGO DEL INTERES],PAGOS[CODIGO CLIENTE],B22,PAGOS[TIPO],"EGRESO",PAGOS[FECHA PAGO INTERES],"&gt;="&amp;$H$3,PAGOS[FECHA PAGO INTERES],"&lt;="&amp;$K$3))</f>
        <v>0</v>
      </c>
      <c r="L22" s="267">
        <f t="shared" si="1"/>
        <v>1600</v>
      </c>
      <c r="M22" s="267">
        <f t="shared" si="0"/>
        <v>160</v>
      </c>
      <c r="N22" s="268">
        <f>IF(OR($H$3="",$K$3=""),(SUMIFS(PAGOS[PAGO DEL MONTO],PAGOS[NOMBRE CLIENTE],C22,PAGOS[TIPO],"INGRESO"))+(SUMIFS(PAGOS[PAGO DEL INTERES],PAGOS[NOMBRE CLIENTE],C22,PAGOS[TIPO],"INGRESO")),(SUMIFS(PAGOS[PAGO DEL MONTO],PAGOS[NOMBRE CLIENTE],C22,PAGOS[TIPO],"INGRESO",PAGOS[FECHA PAGO DEL MONTO],"&gt;="&amp;$H$3,PAGOS[FECHA PAGO DEL MONTO],"&lt;="&amp;$K$3))+(SUMIFS(PAGOS[PAGO DEL INTERES],PAGOS[NOMBRE CLIENTE],C22,PAGOS[TIPO],"INGRESO",PAGOS[FECHA PAGO INTERES],"&gt;="&amp;$H$3,PAGOS[FECHA PAGO INTERES],"&lt;="&amp;$K$3)))</f>
        <v>8</v>
      </c>
      <c r="O22" s="268">
        <f>IF(OR($H$3="",$K$3=""),IF(C22="SOCIOS GASTOS",SUMIFS(PAGOS[PAGO DEL MONTO],PAGOS[NOMBRE CLIENTE],"SOCIOS GASTOS",PAGOS[TIPO],"EGRESO")+(SUMIFS(PAGOS[PAGO DEL INTERES],PAGOS[NOMBRE CLIENTE],"SOCIOS GASTOS",PAGOS[TIPO],"EGRESO")),0)+F22,IF(C22="SOCIOS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INTERES],"&lt;="&amp;$K$3)),0)+F22)</f>
        <v>0</v>
      </c>
      <c r="P22" s="269">
        <f t="shared" si="2"/>
        <v>269.01812499999994</v>
      </c>
      <c r="Q22" s="270">
        <f t="shared" si="3"/>
        <v>759.01812499999994</v>
      </c>
    </row>
    <row r="23" spans="2:17" x14ac:dyDescent="0.3">
      <c r="B23" s="263">
        <v>18</v>
      </c>
      <c r="C23" s="263" t="s">
        <v>300</v>
      </c>
      <c r="D23" s="263">
        <v>13</v>
      </c>
      <c r="E23" s="263">
        <f>IF(OR($H$3="",$K$3=""),SUMIFS(APORTACIONESOCIOS[APORTE],APORTACIONESOCIOS[CODIGO CLIENTE],B23),SUMIFS(APORTACIONESOCIOS[APORTE],APORTACIONESOCIOS[CODIGO CLIENTE],B23,APORTACIONESOCIOS[FECHA],"&gt;="&amp;$H$3,APORTACIONESOCIOS[FECHA],"&lt;="&amp;$K$3))</f>
        <v>490</v>
      </c>
      <c r="F23" s="264">
        <f>IF(OR($H$3="",$K$3=""),SUMIFS(PRESTAMOS[MONTO AMORTIZACION],PRESTAMOS[NOMBRE CLIENTE],C23,PRESTAMOS[TIPO],"AYUDA"),SUMIFS(PRESTAMOS[MONTO AMORTIZACION],PRESTAMOS[NOMBRE CLIENTE],C23,PRESTAMOS[TIPO],"AYUDA",PRESTAMOS[FECHA DEL PRESTAMO],"&gt;="&amp;$H$3,PRESTAMOS[FECHA DEL PRESTAMO],"&lt;="&amp;$K$3))</f>
        <v>0</v>
      </c>
      <c r="G23" s="265">
        <f>IF(OR($H$3="",$K$3=""),SUMIFS(PRESTAMOS[MONTO AMORTIZACION],PRESTAMOS[CODIGO CLIENTE],B23,PRESTAMOS[TIPO],"&lt;&gt;AYUDA"),SUMIFS(PRESTAMOS[MONTO AMORTIZACION],PRESTAMOS[CODIGO CLIENTE],B23,PRESTAMOS[TIPO],"&lt;&gt;AYUDA",PRESTAMOS[FECHA DEL PRESTAMO],"&gt;="&amp;$H$3,PRESTAMOS[FECHA DEL PRESTAMO],"&lt;="&amp;$K$3))</f>
        <v>1300</v>
      </c>
      <c r="H23" s="265">
        <f>IF(OR($H$3="",$K$3=""),SUMIFS(PRESTAMOS[T. INT],PRESTAMOS[CODIGO CLIENTE],B23,PRESTAMOS[TIPO],"&lt;&gt;AYUDA"),SUMIFS(PRESTAMOS[T. INT],PRESTAMOS[CODIGO CLIENTE],B23,PRESTAMOS[TIPO],"&lt;&gt;AYUDA",PRESTAMOS[FECHA DEL PRESTAMO],"&gt;="&amp;$H$3,PRESTAMOS[FECHA DEL PRESTAMO],"&lt;="&amp;$K$3))</f>
        <v>146</v>
      </c>
      <c r="I23" s="264">
        <f>IF(OR($H$3="",$K$3=""),SUMIFS(PAGOS[PAGO DEL MONTO],PAGOS[CODIGO CLIENTE],B23,PAGOS[TIPO],"&lt;&gt;EGRESO"),SUMIFS(PAGOS[PAGO DEL MONTO],PAGOS[CODIGO CLIENTE],B23,PAGOS[TIPO],"&lt;&gt;EGRESO",PAGOS[TIPO],"&lt;&gt;INGRESO",PAGOS[FECHA PAGO DEL MONTO],"&gt;="&amp;$H$3,PAGOS[FECHA PAGO DEL MONTO],"&lt;="&amp;$K$3))</f>
        <v>1300</v>
      </c>
      <c r="J23" s="264">
        <f>IF(OR($H$3="",$K$3=""),SUMIFS(PAGOS[PAGO DEL INTERES],PAGOS[CODIGO CLIENTE],B23,PAGOS[TIPO],"&lt;&gt;EGRESO",PAGOS[TIPO],"&lt;&gt;INGRESO"),SUMIFS(PAGOS[PAGO DEL INTERES],PAGOS[CODIGO CLIENTE],B23,PAGOS[TIPO],"&lt;&gt;EGRESO",PAGOS[TIPO],"&lt;&gt;INGRESO",PAGOS[FECHA PAGO INTERES],"&gt;="&amp;$H$3,PAGOS[FECHA PAGO INTERES],"&lt;="&amp;$K$3))</f>
        <v>126</v>
      </c>
      <c r="K23" s="266">
        <f>IF(OR($H$3="",$K$3=""),SUMIFS(PAGOS[PAGO DEL INTERES],PAGOS[CODIGO CLIENTE],B23,PAGOS[TIPO],"EGRESO"),SUMIFS(PAGOS[PAGO DEL INTERES],PAGOS[CODIGO CLIENTE],B23,PAGOS[TIPO],"EGRESO",PAGOS[FECHA PAGO INTERES],"&gt;="&amp;$H$3,PAGOS[FECHA PAGO INTERES],"&lt;="&amp;$K$3))</f>
        <v>20</v>
      </c>
      <c r="L23" s="267">
        <f t="shared" si="1"/>
        <v>0</v>
      </c>
      <c r="M23" s="267">
        <f t="shared" si="0"/>
        <v>0</v>
      </c>
      <c r="N23" s="268">
        <f>IF(OR($H$3="",$K$3=""),(SUMIFS(PAGOS[PAGO DEL MONTO],PAGOS[NOMBRE CLIENTE],C23,PAGOS[TIPO],"INGRESO"))+(SUMIFS(PAGOS[PAGO DEL INTERES],PAGOS[NOMBRE CLIENTE],C23,PAGOS[TIPO],"INGRESO")),(SUMIFS(PAGOS[PAGO DEL MONTO],PAGOS[NOMBRE CLIENTE],C23,PAGOS[TIPO],"INGRESO",PAGOS[FECHA PAGO DEL MONTO],"&gt;="&amp;$H$3,PAGOS[FECHA PAGO DEL MONTO],"&lt;="&amp;$K$3))+(SUMIFS(PAGOS[PAGO DEL INTERES],PAGOS[NOMBRE CLIENTE],C23,PAGOS[TIPO],"INGRESO",PAGOS[FECHA PAGO INTERES],"&gt;="&amp;$H$3,PAGOS[FECHA PAGO INTERES],"&lt;="&amp;$K$3)))</f>
        <v>8</v>
      </c>
      <c r="O23" s="268">
        <f>IF(OR($H$3="",$K$3=""),IF(C23="SOCIOS GASTOS",SUMIFS(PAGOS[PAGO DEL MONTO],PAGOS[NOMBRE CLIENTE],"SOCIOS GASTOS",PAGOS[TIPO],"EGRESO")+(SUMIFS(PAGOS[PAGO DEL INTERES],PAGOS[NOMBRE CLIENTE],"SOCIOS GASTOS",PAGOS[TIPO],"EGRESO")),0)+F23,IF(C23="SOCIOS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INTERES],"&lt;="&amp;$K$3)),0)+F23)</f>
        <v>0</v>
      </c>
      <c r="P23" s="269">
        <f t="shared" si="2"/>
        <v>269.01812499999994</v>
      </c>
      <c r="Q23" s="270">
        <f t="shared" si="3"/>
        <v>759.01812499999994</v>
      </c>
    </row>
    <row r="24" spans="2:17" x14ac:dyDescent="0.3">
      <c r="B24" t="s">
        <v>240</v>
      </c>
      <c r="D24">
        <v>626</v>
      </c>
      <c r="E24" s="271">
        <f>+SUM(E6:E23)</f>
        <v>7800</v>
      </c>
      <c r="F24" s="271">
        <f>+SUM(F6:F23)</f>
        <v>460</v>
      </c>
      <c r="G24" s="272">
        <f t="shared" ref="G24:K24" si="4">+SUM(G6:G23)</f>
        <v>47820</v>
      </c>
      <c r="H24" s="272">
        <f t="shared" si="4"/>
        <v>6383.5999999999995</v>
      </c>
      <c r="I24" s="271">
        <f t="shared" si="4"/>
        <v>39191.140000000007</v>
      </c>
      <c r="J24" s="271">
        <f t="shared" si="4"/>
        <v>4283.8</v>
      </c>
      <c r="K24" s="273">
        <f t="shared" si="4"/>
        <v>434</v>
      </c>
      <c r="L24" s="274">
        <f t="shared" ref="L24" si="5">+SUM(L6:L23)</f>
        <v>8628.86</v>
      </c>
      <c r="M24" s="274">
        <f t="shared" ref="M24:Q24" si="6">+SUM(M6:M23)</f>
        <v>1665.8</v>
      </c>
      <c r="N24" s="271">
        <f t="shared" si="6"/>
        <v>268.69999999999993</v>
      </c>
      <c r="O24" s="271">
        <f t="shared" si="6"/>
        <v>1914.01</v>
      </c>
      <c r="P24" s="271">
        <f t="shared" si="6"/>
        <v>4304.29</v>
      </c>
      <c r="Q24" s="271">
        <f t="shared" si="6"/>
        <v>12104.29</v>
      </c>
    </row>
    <row r="26" spans="2:17" x14ac:dyDescent="0.3">
      <c r="J26" s="71"/>
    </row>
    <row r="27" spans="2:17" x14ac:dyDescent="0.3">
      <c r="I27" s="71"/>
      <c r="M27" s="275"/>
    </row>
    <row r="28" spans="2:17" x14ac:dyDescent="0.3">
      <c r="L28" s="275"/>
    </row>
  </sheetData>
  <sheetProtection algorithmName="SHA-512" hashValue="HSwHGET2ogrU/2KZd2rbuRu1jf1YOkLNZikS+R8pFcecFZvvj0utWc3lGs2gwf48Z4fIZ8zO4Es0HyGyCmVsow==" saltValue="SUqrVRhoWjKGS/SW8LQLpA==" spinCount="100000" sheet="1" objects="1" scenarios="1" selectLockedCells="1"/>
  <autoFilter ref="E5:Q5" xr:uid="{74A69700-97BB-45F9-BA61-BDC1094AF672}"/>
  <printOptions horizontalCentered="1"/>
  <pageMargins left="0.31496062992125984" right="0.31496062992125984" top="0.35433070866141736" bottom="0.35433070866141736" header="0" footer="0"/>
  <pageSetup paperSize="9" scale="79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A1:XEU31"/>
  <sheetViews>
    <sheetView tabSelected="1" workbookViewId="0">
      <selection activeCell="Q23" sqref="Q23"/>
    </sheetView>
  </sheetViews>
  <sheetFormatPr baseColWidth="10" defaultColWidth="10.88671875" defaultRowHeight="14.4" x14ac:dyDescent="0.3"/>
  <cols>
    <col min="1" max="1" width="3" style="301" customWidth="1"/>
    <col min="2" max="2" width="20.44140625" style="301" bestFit="1" customWidth="1"/>
    <col min="3" max="3" width="16" style="301" bestFit="1" customWidth="1"/>
    <col min="4" max="4" width="17.33203125" style="301" bestFit="1" customWidth="1"/>
    <col min="5" max="5" width="11.6640625" style="301" bestFit="1" customWidth="1"/>
    <col min="6" max="6" width="2.88671875" style="301" customWidth="1"/>
    <col min="7" max="7" width="7.5546875" style="301" customWidth="1"/>
    <col min="8" max="8" width="12.44140625" style="301" bestFit="1" customWidth="1"/>
    <col min="9" max="9" width="13" style="301" customWidth="1"/>
    <col min="10" max="10" width="10.6640625" style="301" bestFit="1" customWidth="1"/>
    <col min="11" max="11" width="9.6640625" style="301" bestFit="1" customWidth="1"/>
    <col min="12" max="12" width="1.6640625" style="301" customWidth="1"/>
    <col min="13" max="13" width="11" style="301" bestFit="1" customWidth="1"/>
    <col min="14" max="14" width="12.33203125" style="301" hidden="1" customWidth="1"/>
    <col min="15" max="15" width="10.88671875" style="301" hidden="1" customWidth="1"/>
    <col min="16" max="16" width="12.33203125" style="301" bestFit="1" customWidth="1"/>
    <col min="17" max="17" width="12.44140625" style="301" bestFit="1" customWidth="1"/>
    <col min="18" max="18" width="11.6640625" style="301" bestFit="1" customWidth="1"/>
    <col min="19" max="19" width="10" style="301" bestFit="1" customWidth="1"/>
    <col min="20" max="20" width="3.6640625" style="301" customWidth="1"/>
    <col min="21" max="21" width="10.88671875" style="301" customWidth="1"/>
    <col min="22" max="22" width="2" style="301" customWidth="1"/>
    <col min="23" max="28" width="10.88671875" style="301" customWidth="1"/>
    <col min="29" max="29" width="10.88671875" style="301" hidden="1" customWidth="1"/>
    <col min="30" max="30" width="12.5546875" style="301" hidden="1" customWidth="1"/>
    <col min="31" max="34" width="10.88671875" style="301" hidden="1" customWidth="1"/>
    <col min="35" max="16384" width="10.88671875" style="301"/>
  </cols>
  <sheetData>
    <row r="1" spans="1:34 16375:16375" ht="8.25" customHeight="1" thickTop="1" thickBot="1" x14ac:dyDescent="0.35">
      <c r="A1" s="344"/>
      <c r="B1" s="345"/>
      <c r="C1" s="345"/>
      <c r="D1" s="345"/>
      <c r="E1" s="345"/>
      <c r="F1" s="345"/>
      <c r="G1" s="345"/>
      <c r="H1" s="345"/>
      <c r="I1" s="345"/>
      <c r="J1" s="345"/>
      <c r="K1" s="345"/>
      <c r="L1" s="345"/>
      <c r="M1" s="345"/>
      <c r="N1" s="345"/>
      <c r="O1" s="345"/>
      <c r="P1" s="345"/>
      <c r="Q1" s="345"/>
      <c r="R1" s="345"/>
      <c r="S1" s="345"/>
      <c r="T1" s="345"/>
      <c r="U1" s="345"/>
      <c r="V1" s="346"/>
      <c r="XEU1" s="301" t="s">
        <v>392</v>
      </c>
    </row>
    <row r="2" spans="1:34 16375:16375" ht="15.6" thickTop="1" thickBot="1" x14ac:dyDescent="0.35">
      <c r="A2" s="311"/>
      <c r="B2" s="371" t="s">
        <v>533</v>
      </c>
      <c r="C2" s="372"/>
      <c r="D2" s="177" t="s">
        <v>345</v>
      </c>
      <c r="E2" s="349">
        <v>46127</v>
      </c>
      <c r="F2" s="290"/>
      <c r="G2" s="290"/>
      <c r="H2" s="290"/>
      <c r="I2" s="290"/>
      <c r="J2" s="290"/>
      <c r="K2" s="290"/>
      <c r="L2" s="290"/>
      <c r="M2" s="316" t="s">
        <v>128</v>
      </c>
      <c r="N2" s="316" t="s">
        <v>129</v>
      </c>
      <c r="O2" s="316" t="s">
        <v>130</v>
      </c>
      <c r="P2" s="316" t="s">
        <v>131</v>
      </c>
      <c r="Q2" s="316" t="s">
        <v>132</v>
      </c>
      <c r="R2" s="316" t="s">
        <v>133</v>
      </c>
      <c r="S2" s="316" t="s">
        <v>134</v>
      </c>
      <c r="T2" s="290"/>
      <c r="U2" s="340"/>
      <c r="V2" s="307"/>
      <c r="AC2" s="341" t="s">
        <v>126</v>
      </c>
      <c r="AD2" s="341"/>
      <c r="AE2" s="341"/>
      <c r="AF2" s="341"/>
      <c r="AG2" s="341"/>
      <c r="AH2" s="342"/>
    </row>
    <row r="3" spans="1:34 16375:16375" ht="15.6" thickTop="1" thickBot="1" x14ac:dyDescent="0.35">
      <c r="A3" s="311"/>
      <c r="B3" s="373"/>
      <c r="C3" s="374"/>
      <c r="D3" s="177" t="s">
        <v>346</v>
      </c>
      <c r="E3" s="349">
        <v>44788</v>
      </c>
      <c r="F3" s="290"/>
      <c r="G3" s="58" t="s">
        <v>90</v>
      </c>
      <c r="H3" s="59"/>
      <c r="I3" s="59"/>
      <c r="J3" s="343"/>
      <c r="K3" s="290"/>
      <c r="L3" s="290"/>
      <c r="M3" s="316" t="s">
        <v>126</v>
      </c>
      <c r="N3" s="316"/>
      <c r="O3" s="316"/>
      <c r="P3" s="316"/>
      <c r="Q3" s="316"/>
      <c r="R3" s="317"/>
      <c r="S3" s="290"/>
      <c r="T3" s="290"/>
      <c r="U3" s="306"/>
      <c r="V3" s="307"/>
      <c r="AC3" s="308">
        <v>100</v>
      </c>
      <c r="AD3" s="338">
        <f t="shared" ref="AD3:AD8" si="0">10000*$AC3</f>
        <v>1000000</v>
      </c>
      <c r="AE3" s="338">
        <f t="shared" ref="AE3:AE8" si="1">1000*$AC3</f>
        <v>100000</v>
      </c>
      <c r="AF3" s="338">
        <f t="shared" ref="AF3:AF8" si="2">100*$AC3</f>
        <v>10000</v>
      </c>
      <c r="AG3" s="338">
        <f t="shared" ref="AG3:AG8" si="3">10*$AC3</f>
        <v>1000</v>
      </c>
      <c r="AH3" s="338">
        <f t="shared" ref="AH3:AH8" si="4">+$AC3*1</f>
        <v>100</v>
      </c>
    </row>
    <row r="4" spans="1:34 16375:16375" ht="15.6" thickTop="1" thickBot="1" x14ac:dyDescent="0.35">
      <c r="A4" s="311"/>
      <c r="B4" s="375"/>
      <c r="C4" s="376"/>
      <c r="D4" s="177" t="s">
        <v>344</v>
      </c>
      <c r="E4" s="349">
        <v>46156</v>
      </c>
      <c r="F4" s="290"/>
      <c r="G4" s="57" t="s">
        <v>111</v>
      </c>
      <c r="H4" s="2"/>
      <c r="I4" s="2"/>
      <c r="J4" s="66">
        <f>IF(OR(E2="",E3="",E4=""),"",SUMIFS(APORTACIONESOCIOS[APORTE],APORTACIONESOCIOS[FECHA],"&gt;="&amp;$E$2,APORTACIONESOCIOS[FECHA],"&lt;="&amp;$E$4))</f>
        <v>280</v>
      </c>
      <c r="K4" s="290"/>
      <c r="L4" s="290"/>
      <c r="M4" s="318">
        <v>20</v>
      </c>
      <c r="N4" s="319">
        <v>200000</v>
      </c>
      <c r="O4" s="319">
        <v>20000</v>
      </c>
      <c r="P4" s="348"/>
      <c r="Q4" s="348">
        <v>7</v>
      </c>
      <c r="R4" s="348">
        <v>5</v>
      </c>
      <c r="S4" s="347">
        <f>SUM(P4*100+Q4*10+R4*1)</f>
        <v>75</v>
      </c>
      <c r="T4" s="290"/>
      <c r="U4" s="306"/>
      <c r="V4" s="307"/>
      <c r="AC4" s="308">
        <v>50</v>
      </c>
      <c r="AD4" s="338">
        <f t="shared" si="0"/>
        <v>500000</v>
      </c>
      <c r="AE4" s="338">
        <f t="shared" si="1"/>
        <v>50000</v>
      </c>
      <c r="AF4" s="338">
        <f t="shared" si="2"/>
        <v>5000</v>
      </c>
      <c r="AG4" s="338">
        <f t="shared" si="3"/>
        <v>500</v>
      </c>
      <c r="AH4" s="338">
        <f t="shared" si="4"/>
        <v>50</v>
      </c>
    </row>
    <row r="5" spans="1:34 16375:16375" ht="15.6" thickTop="1" thickBot="1" x14ac:dyDescent="0.35">
      <c r="A5" s="311"/>
      <c r="B5" s="57" t="s">
        <v>89</v>
      </c>
      <c r="C5" s="2"/>
      <c r="D5" s="2"/>
      <c r="E5" s="114">
        <f>IF(OR(E2="",E3="",E4=""),"",SUMIFS(APORTACIONESOCIOS[APORTE],APORTACIONESOCIOS[FECHA],"&gt;="&amp;$E$3,APORTACIONESOCIOS[FECHA],"&lt;="&amp;$E$4))</f>
        <v>7800</v>
      </c>
      <c r="F5" s="290"/>
      <c r="G5" s="57" t="s">
        <v>100</v>
      </c>
      <c r="H5" s="2"/>
      <c r="I5" s="2"/>
      <c r="J5" s="337">
        <f>IF(OR(E2="",E3="",E4=""),"",E9)</f>
        <v>2450</v>
      </c>
      <c r="K5" s="290"/>
      <c r="L5" s="290"/>
      <c r="M5" s="318">
        <v>10</v>
      </c>
      <c r="N5" s="319">
        <v>100000</v>
      </c>
      <c r="O5" s="319">
        <v>10000</v>
      </c>
      <c r="P5" s="348"/>
      <c r="Q5" s="348"/>
      <c r="R5" s="348">
        <v>4</v>
      </c>
      <c r="S5" s="347">
        <f>SUM(P5*100+Q5*10+R5*1)</f>
        <v>4</v>
      </c>
      <c r="T5" s="290"/>
      <c r="U5" s="306"/>
      <c r="V5" s="307"/>
      <c r="AC5" s="308">
        <v>20</v>
      </c>
      <c r="AD5" s="338">
        <f t="shared" si="0"/>
        <v>200000</v>
      </c>
      <c r="AE5" s="338">
        <f t="shared" si="1"/>
        <v>20000</v>
      </c>
      <c r="AF5" s="338">
        <f t="shared" si="2"/>
        <v>2000</v>
      </c>
      <c r="AG5" s="338">
        <f t="shared" si="3"/>
        <v>200</v>
      </c>
      <c r="AH5" s="338">
        <f t="shared" si="4"/>
        <v>20</v>
      </c>
    </row>
    <row r="6" spans="1:34 16375:16375" ht="15.6" thickTop="1" thickBot="1" x14ac:dyDescent="0.35">
      <c r="A6" s="311"/>
      <c r="B6" s="58" t="s">
        <v>162</v>
      </c>
      <c r="C6" s="59"/>
      <c r="D6" s="59"/>
      <c r="E6" s="120"/>
      <c r="F6" s="290"/>
      <c r="G6" s="57" t="s">
        <v>390</v>
      </c>
      <c r="H6" s="2"/>
      <c r="I6" s="2"/>
      <c r="J6" s="339">
        <f>IF(OR(E2="",E3="",E4=""),"",SUMIFS(PAGOS[PAGO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MONTO],"&lt;="&amp;$E$4))</f>
        <v>729.44</v>
      </c>
      <c r="K6" s="290"/>
      <c r="L6" s="290"/>
      <c r="M6" s="318">
        <v>5</v>
      </c>
      <c r="N6" s="319">
        <v>50000</v>
      </c>
      <c r="O6" s="319">
        <v>5000</v>
      </c>
      <c r="P6" s="348"/>
      <c r="Q6" s="348"/>
      <c r="R6" s="348">
        <v>2</v>
      </c>
      <c r="S6" s="347">
        <f>SUM(P6*100+Q6*10+R6*1)</f>
        <v>2</v>
      </c>
      <c r="T6" s="290"/>
      <c r="U6" s="306"/>
      <c r="V6" s="307"/>
      <c r="AC6" s="308">
        <v>10</v>
      </c>
      <c r="AD6" s="338">
        <f t="shared" si="0"/>
        <v>100000</v>
      </c>
      <c r="AE6" s="338">
        <f t="shared" si="1"/>
        <v>10000</v>
      </c>
      <c r="AF6" s="338">
        <f t="shared" si="2"/>
        <v>1000</v>
      </c>
      <c r="AG6" s="338">
        <f t="shared" si="3"/>
        <v>100</v>
      </c>
      <c r="AH6" s="338">
        <f t="shared" si="4"/>
        <v>10</v>
      </c>
    </row>
    <row r="7" spans="1:34 16375:16375" ht="15" thickTop="1" x14ac:dyDescent="0.3">
      <c r="A7" s="311"/>
      <c r="B7" s="118" t="s">
        <v>207</v>
      </c>
      <c r="C7" s="2"/>
      <c r="D7" s="2"/>
      <c r="E7" s="113">
        <f>IF(OR(E2="",E3="",E4=""),"",SUMIFS(PRESTAMOS[MONTO AMORTIZACION],PRESTAMOS[TIPO],"&lt;&gt;AYUDA*",PRESTAMOS[FECHA DEL PRESTAMO],"&gt;="&amp;$E$3,PRESTAMOS[FECHA DEL PRESTAMO],"&lt;="&amp;$E$4))</f>
        <v>47820</v>
      </c>
      <c r="F7" s="290"/>
      <c r="G7" s="57" t="s">
        <v>391</v>
      </c>
      <c r="H7" s="2"/>
      <c r="I7" s="2"/>
      <c r="J7" s="339">
        <f>IF(OR(E2="",E3="",E4=""),"",SUMIFS(PAGOS[PAGO DEL MONTO],PAGOS[COMENTARIO],"*REEPRESTAMO*",PAGOS[FECHA PAGO DEL MONTO],"&gt;="&amp;$E$2,PAGOS[FECHA PAGO DEL MONTO],"&lt;="&amp;$E$4)+SUMIFS(PAGOS[PAGO DEL INTERES],PAGOS[COMENTARIO],"*REEPRESTAMO*",PAGOS[TIPO],"&lt;&gt;EGRESO",PAGOS[FECHA PAGO INTERES],"&gt;="&amp;$E$2,PAGOS[FECHA PAGO INTERES],"&lt;="&amp;$E$4)-SUMIFS(PAGOS[PAGO DEL MONTO],PAGOS[CODIGO CLIENTE],2,PAGOS[FECHA PAGO DEL MONTO],"&gt;="&amp;$E$2,PAGOS[FECHA PAGO DEL MONTO],"&lt;="&amp;$E$4))</f>
        <v>186</v>
      </c>
      <c r="K7" s="290"/>
      <c r="L7" s="290"/>
      <c r="M7" s="318">
        <v>1</v>
      </c>
      <c r="N7" s="319">
        <v>10000</v>
      </c>
      <c r="O7" s="319">
        <v>1000</v>
      </c>
      <c r="P7" s="348"/>
      <c r="Q7" s="348"/>
      <c r="R7" s="348"/>
      <c r="S7" s="347">
        <f>SUM(P7*100+Q7*10+R7*1)</f>
        <v>0</v>
      </c>
      <c r="T7" s="290"/>
      <c r="U7" s="306"/>
      <c r="V7" s="307"/>
      <c r="AC7" s="308">
        <v>5</v>
      </c>
      <c r="AD7" s="338">
        <f t="shared" si="0"/>
        <v>50000</v>
      </c>
      <c r="AE7" s="338">
        <f t="shared" si="1"/>
        <v>5000</v>
      </c>
      <c r="AF7" s="338">
        <f t="shared" si="2"/>
        <v>500</v>
      </c>
      <c r="AG7" s="338">
        <f t="shared" si="3"/>
        <v>50</v>
      </c>
      <c r="AH7" s="338">
        <f t="shared" si="4"/>
        <v>5</v>
      </c>
    </row>
    <row r="8" spans="1:34 16375:16375" x14ac:dyDescent="0.3">
      <c r="A8" s="311"/>
      <c r="B8" s="119" t="s">
        <v>208</v>
      </c>
      <c r="C8" s="2"/>
      <c r="D8" s="2"/>
      <c r="E8" s="65">
        <f>IF(OR(E2="",E3="",E4=""),"",SUMIFS(PRESTAMOS[MONTO AMORTIZACION],PRESTAMOS[TIPO],"AYUDA",PRESTAMOS[FECHA DEL PRESTAMO],"&gt;="&amp;$E$3,PRESTAMOS[FECHA DEL PRESTAMO],"&lt;="&amp;$E$4))</f>
        <v>460</v>
      </c>
      <c r="F8" s="290"/>
      <c r="G8" s="57" t="s">
        <v>102</v>
      </c>
      <c r="H8" s="2"/>
      <c r="I8" s="2"/>
      <c r="J8" s="337">
        <f>IF(OR(E2="",E3="",E4=""),"",E11)</f>
        <v>223</v>
      </c>
      <c r="K8" s="290"/>
      <c r="L8" s="290"/>
      <c r="M8" s="321" t="s">
        <v>127</v>
      </c>
      <c r="N8" s="322"/>
      <c r="O8" s="322"/>
      <c r="P8" s="322"/>
      <c r="Q8" s="322"/>
      <c r="R8" s="323"/>
      <c r="S8" s="290"/>
      <c r="T8" s="290"/>
      <c r="U8" s="306"/>
      <c r="V8" s="307"/>
      <c r="AC8" s="308">
        <v>1</v>
      </c>
      <c r="AD8" s="338">
        <f t="shared" si="0"/>
        <v>10000</v>
      </c>
      <c r="AE8" s="338">
        <f t="shared" si="1"/>
        <v>1000</v>
      </c>
      <c r="AF8" s="338">
        <f t="shared" si="2"/>
        <v>100</v>
      </c>
      <c r="AG8" s="338">
        <f t="shared" si="3"/>
        <v>10</v>
      </c>
      <c r="AH8" s="338">
        <f t="shared" si="4"/>
        <v>1</v>
      </c>
    </row>
    <row r="9" spans="1:34 16375:16375" ht="15" thickBot="1" x14ac:dyDescent="0.35">
      <c r="A9" s="311"/>
      <c r="B9" s="57" t="s">
        <v>100</v>
      </c>
      <c r="C9" s="2"/>
      <c r="D9" s="2"/>
      <c r="E9" s="66">
        <f>IF(OR(E2="",E3="",E4=""),"",SUMIFS(PRESTAMOS[MONTO AMORTIZACION],PRESTAMOS[TIPO],"&lt;&gt;AYUDA",PRESTAMOS[FECHA DEL PRESTAMO],"&gt;="&amp;$E$2,PRESTAMOS[FECHA DEL PRESTAMO],"&lt;="&amp;$E$4))</f>
        <v>2450</v>
      </c>
      <c r="F9" s="290"/>
      <c r="G9" s="57" t="s">
        <v>103</v>
      </c>
      <c r="H9" s="2"/>
      <c r="I9" s="2"/>
      <c r="J9" s="336">
        <f>IF(OR(E2="",E3="",E4=""),"",E17-SUMIFS(PAGOS[PAGO DEL INTERES],PAGOS[COMENTARIO],"*REEPRESTAMO*",PAGOS[TIPO],"&lt;&gt;EGRESO",PAGOS[FECHA PAGO INTERES],"&gt;="&amp;$E$2,PAGOS[FECHA PAGO INTERES],"&lt;="&amp;$E$4))</f>
        <v>180</v>
      </c>
      <c r="K9" s="290"/>
      <c r="L9" s="290"/>
      <c r="M9" s="318">
        <v>1</v>
      </c>
      <c r="N9" s="324">
        <v>10000</v>
      </c>
      <c r="O9" s="324">
        <v>1000</v>
      </c>
      <c r="P9" s="351"/>
      <c r="Q9" s="351"/>
      <c r="R9" s="351">
        <v>2</v>
      </c>
      <c r="S9" s="347">
        <f t="shared" ref="S9:S14" si="5">SUM(P9*100+Q9*10+R9*1)</f>
        <v>2</v>
      </c>
      <c r="T9" s="290"/>
      <c r="U9" s="306"/>
      <c r="V9" s="307"/>
      <c r="AC9" s="333" t="s">
        <v>127</v>
      </c>
      <c r="AD9" s="334"/>
      <c r="AE9" s="334"/>
      <c r="AF9" s="334"/>
      <c r="AG9" s="334"/>
      <c r="AH9" s="335"/>
    </row>
    <row r="10" spans="1:34 16375:16375" ht="15.6" thickTop="1" thickBot="1" x14ac:dyDescent="0.35">
      <c r="A10" s="311"/>
      <c r="B10" s="119" t="s">
        <v>209</v>
      </c>
      <c r="C10" s="2"/>
      <c r="D10" s="2"/>
      <c r="E10" s="121">
        <f>IF(OR(E2="",E3="",E4=""),"",SUMIFS(PRESTAMOS[T. INT],PRESTAMOS[TIPO],"&lt;&gt;AYUDA",PRESTAMOS[FECHA DEL PRESTAMO],"&gt;="&amp;$E$3,PRESTAMOS[FECHA DEL PRESTAMO],"&lt;="&amp;$E$4))</f>
        <v>6383.6</v>
      </c>
      <c r="F10" s="290"/>
      <c r="G10" s="61" t="s">
        <v>114</v>
      </c>
      <c r="H10" s="62"/>
      <c r="I10" s="62"/>
      <c r="J10" s="350">
        <v>2884.19</v>
      </c>
      <c r="K10" s="291"/>
      <c r="L10" s="290"/>
      <c r="M10" s="318">
        <v>0.5</v>
      </c>
      <c r="N10" s="319">
        <v>5000</v>
      </c>
      <c r="O10" s="319">
        <v>500</v>
      </c>
      <c r="P10" s="348"/>
      <c r="Q10" s="348"/>
      <c r="R10" s="348"/>
      <c r="S10" s="347">
        <f t="shared" si="5"/>
        <v>0</v>
      </c>
      <c r="T10" s="290"/>
      <c r="U10" s="306"/>
      <c r="V10" s="307"/>
      <c r="AC10" s="308">
        <v>1</v>
      </c>
      <c r="AD10" s="309">
        <f t="shared" ref="AD10:AD15" si="6">$AC10*10000</f>
        <v>10000</v>
      </c>
      <c r="AE10" s="309">
        <f t="shared" ref="AE10:AE15" si="7">$AC10*1000</f>
        <v>1000</v>
      </c>
      <c r="AF10" s="309">
        <f t="shared" ref="AF10:AF15" si="8">$AC10*100</f>
        <v>100</v>
      </c>
      <c r="AG10" s="309">
        <f t="shared" ref="AG10:AG15" si="9">$AC10*10</f>
        <v>10</v>
      </c>
      <c r="AH10" s="309">
        <f t="shared" ref="AH10:AH15" si="10">$AC10*1</f>
        <v>1</v>
      </c>
    </row>
    <row r="11" spans="1:34 16375:16375" ht="15.6" thickTop="1" thickBot="1" x14ac:dyDescent="0.35">
      <c r="A11" s="311"/>
      <c r="B11" s="57" t="s">
        <v>102</v>
      </c>
      <c r="C11" s="2"/>
      <c r="D11" s="2"/>
      <c r="E11" s="66">
        <f>IF(OR(E2="",E3="",E4=""),"",SUMIFS(PRESTAMOS[T. INT],PRESTAMOS[TIPO],"&lt;&gt;AYUDA",PRESTAMOS[FECHA DEL PRESTAMO],"&gt;="&amp;$E$2,PRESTAMOS[FECHA DEL PRESTAMO],"&lt;="&amp;$E$4))</f>
        <v>223</v>
      </c>
      <c r="F11" s="290"/>
      <c r="G11" s="325" t="s">
        <v>112</v>
      </c>
      <c r="H11" s="326"/>
      <c r="I11" s="326"/>
      <c r="J11" s="327">
        <f>IF(OR(E2="",E3="",E4=""),"",J4+J6+J9+J10+J7)</f>
        <v>4259.63</v>
      </c>
      <c r="K11" s="291"/>
      <c r="L11" s="290"/>
      <c r="M11" s="318">
        <v>0.25</v>
      </c>
      <c r="N11" s="319">
        <v>2000</v>
      </c>
      <c r="O11" s="319">
        <v>200</v>
      </c>
      <c r="P11" s="348"/>
      <c r="Q11" s="348">
        <v>1</v>
      </c>
      <c r="R11" s="348"/>
      <c r="S11" s="347">
        <f t="shared" si="5"/>
        <v>10</v>
      </c>
      <c r="T11" s="290"/>
      <c r="U11" s="306"/>
      <c r="V11" s="307"/>
      <c r="AC11" s="308">
        <v>0.5</v>
      </c>
      <c r="AD11" s="309">
        <f t="shared" si="6"/>
        <v>5000</v>
      </c>
      <c r="AE11" s="309">
        <f t="shared" si="7"/>
        <v>500</v>
      </c>
      <c r="AF11" s="309">
        <f t="shared" si="8"/>
        <v>50</v>
      </c>
      <c r="AG11" s="309">
        <f t="shared" si="9"/>
        <v>5</v>
      </c>
      <c r="AH11" s="309">
        <f t="shared" si="10"/>
        <v>0.5</v>
      </c>
    </row>
    <row r="12" spans="1:34 16375:16375" ht="15.6" thickTop="1" thickBot="1" x14ac:dyDescent="0.35">
      <c r="A12" s="311"/>
      <c r="B12" s="122" t="s">
        <v>39</v>
      </c>
      <c r="C12" s="59"/>
      <c r="D12" s="59"/>
      <c r="E12" s="120"/>
      <c r="F12" s="290"/>
      <c r="G12" s="328" t="s">
        <v>113</v>
      </c>
      <c r="H12" s="2"/>
      <c r="I12" s="2"/>
      <c r="J12" s="329">
        <f>IF(OR(E2="",E3="",E4=""),"",J5)</f>
        <v>2450</v>
      </c>
      <c r="K12" s="290"/>
      <c r="L12" s="290"/>
      <c r="M12" s="318">
        <v>0.1</v>
      </c>
      <c r="N12" s="319">
        <v>1000</v>
      </c>
      <c r="O12" s="319">
        <v>100</v>
      </c>
      <c r="P12" s="348"/>
      <c r="Q12" s="348">
        <v>1</v>
      </c>
      <c r="R12" s="348">
        <v>5</v>
      </c>
      <c r="S12" s="347">
        <f t="shared" si="5"/>
        <v>15</v>
      </c>
      <c r="T12" s="290"/>
      <c r="U12" s="306"/>
      <c r="V12" s="307"/>
      <c r="AC12" s="308">
        <v>0.25</v>
      </c>
      <c r="AD12" s="309">
        <f t="shared" si="6"/>
        <v>2500</v>
      </c>
      <c r="AE12" s="309">
        <f t="shared" si="7"/>
        <v>250</v>
      </c>
      <c r="AF12" s="309">
        <f t="shared" si="8"/>
        <v>25</v>
      </c>
      <c r="AG12" s="309">
        <f t="shared" si="9"/>
        <v>2.5</v>
      </c>
      <c r="AH12" s="309">
        <f t="shared" si="10"/>
        <v>0.25</v>
      </c>
    </row>
    <row r="13" spans="1:34 16375:16375" ht="15.6" thickTop="1" thickBot="1" x14ac:dyDescent="0.35">
      <c r="A13" s="311"/>
      <c r="B13" s="57" t="s">
        <v>98</v>
      </c>
      <c r="C13" s="2"/>
      <c r="D13" s="2"/>
      <c r="E13" s="229">
        <f>IF(OR(E2="",E3="",E4=""),"",SUMIFS(PAGOS[PAGO DEL MONTO],PAGOS[TIPO],"PAGO",PAGOS[FECHA PAGO INTERES],"&gt;="&amp;$E$3,PAGOS[FECHA PAGO INTERES],"&lt;="&amp;$E$4)+SUMIFS(PAGOS[PAGO DEL MONTO],PAGOS[TIPO],"EGRESO*",PAGOS[CODIGO CLIENTE],"&lt;&gt;2",PAGOS[FECHA PAGO INTERES],"&gt;="&amp;$E$3,PAGOS[FECHA PAGO INTERES],"&lt;="&amp;$E$4))</f>
        <v>39191.139999999985</v>
      </c>
      <c r="F13" s="290"/>
      <c r="G13" s="330" t="s">
        <v>124</v>
      </c>
      <c r="H13" s="331"/>
      <c r="I13" s="331"/>
      <c r="J13" s="332">
        <f>IF(OR(E2="",E3="",E4=""),"",J11-J12)</f>
        <v>1809.63</v>
      </c>
      <c r="K13" s="291"/>
      <c r="L13" s="290"/>
      <c r="M13" s="318">
        <v>0.05</v>
      </c>
      <c r="N13" s="319">
        <v>500</v>
      </c>
      <c r="O13" s="319">
        <v>50</v>
      </c>
      <c r="P13" s="348"/>
      <c r="Q13" s="348"/>
      <c r="R13" s="348">
        <v>9</v>
      </c>
      <c r="S13" s="347">
        <f t="shared" si="5"/>
        <v>9</v>
      </c>
      <c r="T13" s="290"/>
      <c r="U13" s="306"/>
      <c r="V13" s="307"/>
      <c r="AC13" s="308">
        <v>0.1</v>
      </c>
      <c r="AD13" s="309">
        <f t="shared" si="6"/>
        <v>1000</v>
      </c>
      <c r="AE13" s="309">
        <f t="shared" si="7"/>
        <v>100</v>
      </c>
      <c r="AF13" s="309">
        <f t="shared" si="8"/>
        <v>10</v>
      </c>
      <c r="AG13" s="309">
        <f t="shared" si="9"/>
        <v>1</v>
      </c>
      <c r="AH13" s="309">
        <f t="shared" si="10"/>
        <v>0.1</v>
      </c>
    </row>
    <row r="14" spans="1:34 16375:16375" ht="15" thickTop="1" x14ac:dyDescent="0.3">
      <c r="A14" s="311"/>
      <c r="B14" s="57" t="s">
        <v>101</v>
      </c>
      <c r="C14" s="2"/>
      <c r="D14" s="2"/>
      <c r="E14" s="66">
        <f>IF(OR(E2="",E3="",E4=""),"",SUMIFS(PAGOS[PAGO DEL MONTO],PAGOS[TIPO],"PAGO",PAGOS[FECHA PAGO DEL MONTO],"&gt;="&amp;$E$2,PAGOS[FECHA PAGO DEL MONTO],"&lt;="&amp;$E$4))</f>
        <v>1029.44</v>
      </c>
      <c r="F14" s="290"/>
      <c r="G14" s="290"/>
      <c r="H14" s="290"/>
      <c r="I14" s="290"/>
      <c r="J14" s="290"/>
      <c r="K14" s="291"/>
      <c r="L14" s="290"/>
      <c r="M14" s="318">
        <v>0.01</v>
      </c>
      <c r="N14" s="319">
        <v>100</v>
      </c>
      <c r="O14" s="319">
        <v>10</v>
      </c>
      <c r="P14" s="348"/>
      <c r="Q14" s="348"/>
      <c r="R14" s="348">
        <v>7</v>
      </c>
      <c r="S14" s="347">
        <f t="shared" si="5"/>
        <v>7</v>
      </c>
      <c r="T14" s="290"/>
      <c r="U14" s="306"/>
      <c r="V14" s="307"/>
      <c r="AC14" s="308">
        <v>0.05</v>
      </c>
      <c r="AD14" s="309">
        <f t="shared" si="6"/>
        <v>500</v>
      </c>
      <c r="AE14" s="309">
        <f t="shared" si="7"/>
        <v>50</v>
      </c>
      <c r="AF14" s="309">
        <f t="shared" si="8"/>
        <v>5</v>
      </c>
      <c r="AG14" s="309">
        <f t="shared" si="9"/>
        <v>0.5</v>
      </c>
      <c r="AH14" s="309">
        <f t="shared" si="10"/>
        <v>0.05</v>
      </c>
    </row>
    <row r="15" spans="1:34 16375:16375" ht="15" thickBot="1" x14ac:dyDescent="0.35">
      <c r="A15" s="311"/>
      <c r="B15" s="70" t="s">
        <v>93</v>
      </c>
      <c r="C15" s="69"/>
      <c r="D15" s="60"/>
      <c r="E15" s="68">
        <f>IF(OR(E2="",E3="",E4=""),"",E7-E13)</f>
        <v>8628.8600000000151</v>
      </c>
      <c r="F15" s="290"/>
      <c r="G15" s="312" t="s">
        <v>135</v>
      </c>
      <c r="H15" s="313">
        <f>K16+K21</f>
        <v>1556.52</v>
      </c>
      <c r="I15" s="314"/>
      <c r="J15" s="314"/>
      <c r="K15" s="315"/>
      <c r="L15" s="290"/>
      <c r="M15" s="290"/>
      <c r="N15" s="290"/>
      <c r="O15" s="290"/>
      <c r="P15" s="290"/>
      <c r="Q15" s="290"/>
      <c r="R15" s="292"/>
      <c r="S15" s="290"/>
      <c r="T15" s="290"/>
      <c r="U15" s="306"/>
      <c r="V15" s="307"/>
      <c r="AC15" s="308">
        <v>0.01</v>
      </c>
      <c r="AD15" s="309">
        <f t="shared" si="6"/>
        <v>100</v>
      </c>
      <c r="AE15" s="309">
        <f t="shared" si="7"/>
        <v>10</v>
      </c>
      <c r="AF15" s="309">
        <f t="shared" si="8"/>
        <v>1</v>
      </c>
      <c r="AG15" s="309">
        <f t="shared" si="9"/>
        <v>0.1</v>
      </c>
      <c r="AH15" s="309">
        <f t="shared" si="10"/>
        <v>0.01</v>
      </c>
    </row>
    <row r="16" spans="1:34 16375:16375" ht="15" thickTop="1" x14ac:dyDescent="0.3">
      <c r="A16" s="311"/>
      <c r="B16" s="57" t="s">
        <v>99</v>
      </c>
      <c r="C16" s="2"/>
      <c r="D16" s="2"/>
      <c r="E16" s="229">
        <f>IF(OR(E2="",E3="",E4=""),"",SUMIFS(PAGOS[PAGO DEL INTERES],PAGOS[TIPO],"PAGO",PAGOS[FECHA PAGO INTERES],"&gt;="&amp;$E$3,PAGOS[FECHA PAGO INTERES],"&lt;="&amp;$E$4)+SUMIFS(PAGOS[PAGO DEL INTERES],PAGOS[TIPO],"EGRESO",PAGOS[CODIGO CLIENTE],"&lt;&gt;2",PAGOS[FECHA PAGO INTERES],"&gt;="&amp;$E$3,PAGOS[FECHA PAGO INTERES],"&lt;="&amp;$E$4))</f>
        <v>4717.7999999999993</v>
      </c>
      <c r="F16" s="290"/>
      <c r="G16" s="316" t="s">
        <v>126</v>
      </c>
      <c r="H16" s="316"/>
      <c r="I16" s="316"/>
      <c r="J16" s="317"/>
      <c r="K16" s="318">
        <f>SUM(K17:K20)</f>
        <v>1550</v>
      </c>
      <c r="L16" s="290"/>
      <c r="M16" s="293"/>
      <c r="N16" s="352"/>
      <c r="O16" s="352"/>
      <c r="P16" s="353">
        <f>+IFERROR(J13-H15,"")</f>
        <v>253.11000000000013</v>
      </c>
      <c r="Q16" s="352"/>
      <c r="R16" s="354"/>
      <c r="S16" s="352"/>
      <c r="T16" s="290"/>
      <c r="U16" s="306"/>
      <c r="V16" s="307"/>
    </row>
    <row r="17" spans="1:22" x14ac:dyDescent="0.3">
      <c r="A17" s="311"/>
      <c r="B17" s="57" t="s">
        <v>103</v>
      </c>
      <c r="C17" s="2"/>
      <c r="D17" s="2"/>
      <c r="E17" s="66">
        <f>IF(OR(E2="",E3="",E4=""),"",SUMIFS(PAGOS[PAGO DEL INTERES],PAGOS[TIPO],"&lt;&gt;EGRESO",PAGOS[FECHA PAGO INTERES],"&gt;="&amp;$E$2,PAGOS[FECHA PAGO INTERES],"&lt;="&amp;$E$4))</f>
        <v>194</v>
      </c>
      <c r="F17" s="290"/>
      <c r="G17" s="318">
        <v>20</v>
      </c>
      <c r="H17" s="319">
        <f t="shared" ref="H17:J20" si="11">AF5*P4</f>
        <v>0</v>
      </c>
      <c r="I17" s="319">
        <f t="shared" si="11"/>
        <v>1400</v>
      </c>
      <c r="J17" s="319">
        <f t="shared" si="11"/>
        <v>100</v>
      </c>
      <c r="K17" s="320">
        <f>SUM(H17:J17)</f>
        <v>1500</v>
      </c>
      <c r="L17" s="290"/>
      <c r="M17" s="353"/>
      <c r="N17" s="352"/>
      <c r="O17" s="352"/>
      <c r="P17" s="355">
        <f>+P16-Q21</f>
        <v>0</v>
      </c>
      <c r="Q17" s="352"/>
      <c r="R17" s="354"/>
      <c r="S17" s="352"/>
      <c r="T17" s="290"/>
      <c r="U17" s="306"/>
      <c r="V17" s="307"/>
    </row>
    <row r="18" spans="1:22" ht="15" thickBot="1" x14ac:dyDescent="0.35">
      <c r="A18" s="311"/>
      <c r="B18" s="70" t="s">
        <v>95</v>
      </c>
      <c r="C18" s="60"/>
      <c r="D18" s="60"/>
      <c r="E18" s="68">
        <f>IF(OR(E2="",E3="",E4=""),"",E10-E16)</f>
        <v>1665.8000000000011</v>
      </c>
      <c r="F18" s="290"/>
      <c r="G18" s="318">
        <v>10</v>
      </c>
      <c r="H18" s="319">
        <f t="shared" si="11"/>
        <v>0</v>
      </c>
      <c r="I18" s="319">
        <f t="shared" si="11"/>
        <v>0</v>
      </c>
      <c r="J18" s="319">
        <f t="shared" si="11"/>
        <v>40</v>
      </c>
      <c r="K18" s="320">
        <f>SUM(H18:J18)</f>
        <v>40</v>
      </c>
      <c r="L18" s="290"/>
      <c r="M18" s="353"/>
      <c r="N18" s="352"/>
      <c r="O18" s="352"/>
      <c r="P18" s="293"/>
      <c r="Q18" s="352">
        <v>140</v>
      </c>
      <c r="R18" s="354" t="s">
        <v>566</v>
      </c>
      <c r="S18" s="352"/>
      <c r="T18" s="291"/>
      <c r="U18" s="306"/>
      <c r="V18" s="307"/>
    </row>
    <row r="19" spans="1:22" ht="15.6" thickTop="1" thickBot="1" x14ac:dyDescent="0.35">
      <c r="A19" s="311"/>
      <c r="B19" s="58" t="s">
        <v>210</v>
      </c>
      <c r="C19" s="123"/>
      <c r="D19" s="59"/>
      <c r="E19" s="127"/>
      <c r="F19" s="290"/>
      <c r="G19" s="318">
        <v>5</v>
      </c>
      <c r="H19" s="319">
        <f t="shared" si="11"/>
        <v>0</v>
      </c>
      <c r="I19" s="319">
        <f t="shared" si="11"/>
        <v>0</v>
      </c>
      <c r="J19" s="319">
        <f t="shared" si="11"/>
        <v>10</v>
      </c>
      <c r="K19" s="320">
        <f>SUM(H19:J19)</f>
        <v>10</v>
      </c>
      <c r="L19" s="290"/>
      <c r="M19" s="293"/>
      <c r="N19" s="352"/>
      <c r="O19" s="352"/>
      <c r="P19" s="353"/>
      <c r="Q19" s="353">
        <v>100</v>
      </c>
      <c r="R19" s="354" t="s">
        <v>569</v>
      </c>
      <c r="S19" s="352"/>
      <c r="T19" s="290"/>
      <c r="U19" s="306"/>
      <c r="V19" s="307"/>
    </row>
    <row r="20" spans="1:22" ht="15" thickTop="1" x14ac:dyDescent="0.3">
      <c r="A20" s="311"/>
      <c r="B20" s="57" t="s">
        <v>260</v>
      </c>
      <c r="C20" s="115"/>
      <c r="D20" s="2"/>
      <c r="E20" s="67">
        <f>IF(OR(E2="",E3="",E4=""),"",SUMIFS(PAGOS[PAGO DEL INTERES],PAGOS[TIPO],"INGRESO",PAGOS[FECHA PAGO INTERES],"&gt;="&amp;$E$3,PAGOS[FECHA PAGO INTERES],"&lt;="&amp;$E$4)+SUMIFS(PAGOS[PAGO DEL MONTO],PAGOS[TIPO],"INGRESO",PAGOS[FECHA PAGO DEL MONTO],"&gt;="&amp;$E$3,PAGOS[FECHA PAGO DEL MONTO],"&lt;="&amp;$E$4))</f>
        <v>268.69999999999993</v>
      </c>
      <c r="F20" s="290"/>
      <c r="G20" s="318">
        <v>1</v>
      </c>
      <c r="H20" s="319">
        <f t="shared" si="11"/>
        <v>0</v>
      </c>
      <c r="I20" s="319">
        <f t="shared" si="11"/>
        <v>0</v>
      </c>
      <c r="J20" s="319">
        <f t="shared" si="11"/>
        <v>0</v>
      </c>
      <c r="K20" s="320">
        <f>SUM(H20:J20)</f>
        <v>0</v>
      </c>
      <c r="L20" s="290"/>
      <c r="M20" s="352"/>
      <c r="N20" s="352"/>
      <c r="O20" s="352"/>
      <c r="P20" s="293"/>
      <c r="Q20" s="293">
        <v>13.11</v>
      </c>
      <c r="R20" s="354" t="s">
        <v>573</v>
      </c>
      <c r="S20" s="356"/>
      <c r="T20" s="290"/>
      <c r="U20" s="306"/>
      <c r="V20" s="307"/>
    </row>
    <row r="21" spans="1:22" x14ac:dyDescent="0.3">
      <c r="A21" s="311"/>
      <c r="B21" s="57" t="s">
        <v>367</v>
      </c>
      <c r="C21" s="124"/>
      <c r="D21" s="125"/>
      <c r="E21" s="65">
        <f>IF(OR(E2="",E3="",E4=""),"",SUMIFS(PAGOS[PAGO DEL MONTO],PAGOS[TIPO],"EGRESO",PAGOS[CODIGO CLIENTE],2,PAGOS[FECHA PAGO DEL MONTO],"&gt;="&amp;$E$3,PAGOS[FECHA PAGO DEL MONTO],"&lt;="&amp;$E$4)+E8)</f>
        <v>1914.01</v>
      </c>
      <c r="F21" s="290"/>
      <c r="G21" s="321" t="s">
        <v>127</v>
      </c>
      <c r="H21" s="322"/>
      <c r="I21" s="322"/>
      <c r="J21" s="323"/>
      <c r="K21" s="318">
        <f>SUM(K22:K27)</f>
        <v>6.5200000000000005</v>
      </c>
      <c r="L21" s="290"/>
      <c r="M21" s="352"/>
      <c r="N21" s="352"/>
      <c r="O21" s="352"/>
      <c r="P21" s="357"/>
      <c r="Q21" s="293">
        <f>+SUM(Q18:Q20)</f>
        <v>253.11</v>
      </c>
      <c r="R21" s="354"/>
      <c r="S21" s="352"/>
      <c r="T21" s="290"/>
      <c r="U21" s="306"/>
      <c r="V21" s="307"/>
    </row>
    <row r="22" spans="1:22" x14ac:dyDescent="0.3">
      <c r="A22" s="311"/>
      <c r="B22" s="57" t="s">
        <v>227</v>
      </c>
      <c r="C22" s="124"/>
      <c r="D22" s="125"/>
      <c r="E22" s="65">
        <f>IF(OR(E2="",E3="",E4=""),"",SUMIFS(PAGOS[PAGO DEL INTERES],PAGOS[TIPO],"EGRESO",PAGOS[CODIGO CLIENTE],"&lt;&gt;2",PAGOS[FECHA PAGO INTERES],"&gt;="&amp;$E$3,PAGOS[FECHA PAGO INTERES],"&lt;="&amp;$E$4))</f>
        <v>434</v>
      </c>
      <c r="F22" s="290"/>
      <c r="G22" s="318">
        <v>1</v>
      </c>
      <c r="H22" s="324">
        <f t="shared" ref="H22:J27" si="12">AF10*P9</f>
        <v>0</v>
      </c>
      <c r="I22" s="324">
        <f t="shared" si="12"/>
        <v>0</v>
      </c>
      <c r="J22" s="324">
        <f t="shared" si="12"/>
        <v>2</v>
      </c>
      <c r="K22" s="320">
        <f t="shared" ref="K22:K26" si="13">SUM(H22:J22)</f>
        <v>2</v>
      </c>
      <c r="L22" s="290"/>
      <c r="M22" s="353"/>
      <c r="N22" s="352"/>
      <c r="O22" s="352"/>
      <c r="P22" s="352"/>
      <c r="Q22" s="358"/>
      <c r="R22" s="352"/>
      <c r="S22" s="293"/>
      <c r="T22" s="290"/>
      <c r="U22" s="306"/>
      <c r="V22" s="307"/>
    </row>
    <row r="23" spans="1:22" x14ac:dyDescent="0.3">
      <c r="A23" s="311"/>
      <c r="B23" s="57" t="s">
        <v>91</v>
      </c>
      <c r="C23" s="2"/>
      <c r="D23" s="2"/>
      <c r="E23" s="64">
        <f>IF(OR(E2="",E3="",E4=""),"",E5)</f>
        <v>7800</v>
      </c>
      <c r="F23" s="290"/>
      <c r="G23" s="318">
        <v>0.5</v>
      </c>
      <c r="H23" s="324">
        <f t="shared" si="12"/>
        <v>0</v>
      </c>
      <c r="I23" s="324">
        <f t="shared" si="12"/>
        <v>0</v>
      </c>
      <c r="J23" s="324">
        <f t="shared" si="12"/>
        <v>0</v>
      </c>
      <c r="K23" s="320">
        <f t="shared" si="13"/>
        <v>0</v>
      </c>
      <c r="L23" s="290"/>
      <c r="M23" s="352"/>
      <c r="N23" s="352"/>
      <c r="O23" s="352"/>
      <c r="P23" s="359"/>
      <c r="Q23" s="353"/>
      <c r="R23" s="357"/>
      <c r="S23" s="352"/>
      <c r="T23" s="290"/>
      <c r="U23" s="306"/>
      <c r="V23" s="307"/>
    </row>
    <row r="24" spans="1:22" x14ac:dyDescent="0.3">
      <c r="A24" s="311"/>
      <c r="B24" s="57" t="s">
        <v>97</v>
      </c>
      <c r="C24" s="2"/>
      <c r="D24" s="2"/>
      <c r="E24" s="63">
        <f>IF(OR(E2="",E3="",E4=""),"",E23/16)</f>
        <v>487.5</v>
      </c>
      <c r="F24" s="290"/>
      <c r="G24" s="318">
        <v>0.25</v>
      </c>
      <c r="H24" s="324">
        <f t="shared" si="12"/>
        <v>0</v>
      </c>
      <c r="I24" s="324">
        <f>AG12*Q11</f>
        <v>2.5</v>
      </c>
      <c r="J24" s="324">
        <f t="shared" si="12"/>
        <v>0</v>
      </c>
      <c r="K24" s="320">
        <f t="shared" si="13"/>
        <v>2.5</v>
      </c>
      <c r="L24" s="290"/>
      <c r="M24" s="352"/>
      <c r="N24" s="352"/>
      <c r="O24" s="352"/>
      <c r="P24" s="359"/>
      <c r="Q24" s="353"/>
      <c r="R24" s="352"/>
      <c r="S24" s="352"/>
      <c r="T24" s="290"/>
      <c r="U24" s="306"/>
      <c r="V24" s="307"/>
    </row>
    <row r="25" spans="1:22" x14ac:dyDescent="0.3">
      <c r="A25" s="311"/>
      <c r="B25" s="57" t="s">
        <v>315</v>
      </c>
      <c r="C25" s="2"/>
      <c r="D25" s="2"/>
      <c r="E25" s="64">
        <f>IF(OR(E2="",E3="",E4=""),"",E10-E21-E22+E20)</f>
        <v>4304.29</v>
      </c>
      <c r="F25" s="290"/>
      <c r="G25" s="318">
        <v>0.1</v>
      </c>
      <c r="H25" s="324">
        <f t="shared" si="12"/>
        <v>0</v>
      </c>
      <c r="I25" s="324">
        <f t="shared" si="12"/>
        <v>1</v>
      </c>
      <c r="J25" s="324">
        <f t="shared" si="12"/>
        <v>0.5</v>
      </c>
      <c r="K25" s="320">
        <f t="shared" si="13"/>
        <v>1.5</v>
      </c>
      <c r="L25" s="290"/>
      <c r="M25" s="353"/>
      <c r="N25" s="352"/>
      <c r="O25" s="352"/>
      <c r="P25" s="359"/>
      <c r="Q25" s="352"/>
      <c r="R25" s="352"/>
      <c r="S25" s="352"/>
      <c r="T25" s="290"/>
      <c r="U25" s="306"/>
      <c r="V25" s="307"/>
    </row>
    <row r="26" spans="1:22" ht="15" thickBot="1" x14ac:dyDescent="0.35">
      <c r="A26" s="311"/>
      <c r="B26" s="57" t="s">
        <v>94</v>
      </c>
      <c r="C26" s="2"/>
      <c r="D26" s="126"/>
      <c r="E26" s="176">
        <f>IF(OR(E2="",E3="",E4=""),"",IF(J4&lt;&gt;0,SUMIFS(DENERO_CAJA[MONTO],DENERO_CAJA[FECHA],"&gt;="&amp;$E$2,DENERO_CAJA[FECHA],"&lt;="&amp;$E$4),J10))</f>
        <v>1809.63</v>
      </c>
      <c r="F26" s="290"/>
      <c r="G26" s="318">
        <v>0.05</v>
      </c>
      <c r="H26" s="324">
        <f t="shared" si="12"/>
        <v>0</v>
      </c>
      <c r="I26" s="324">
        <f t="shared" si="12"/>
        <v>0</v>
      </c>
      <c r="J26" s="324">
        <f t="shared" si="12"/>
        <v>0.45</v>
      </c>
      <c r="K26" s="320">
        <f t="shared" si="13"/>
        <v>0.45</v>
      </c>
      <c r="L26" s="290"/>
      <c r="M26" s="352"/>
      <c r="N26" s="360"/>
      <c r="O26" s="352"/>
      <c r="P26" s="352"/>
      <c r="Q26" s="352"/>
      <c r="R26" s="352"/>
      <c r="S26" s="352"/>
      <c r="T26" s="290"/>
      <c r="U26" s="306"/>
      <c r="V26" s="307"/>
    </row>
    <row r="27" spans="1:22" ht="15.6" thickTop="1" thickBot="1" x14ac:dyDescent="0.35">
      <c r="A27" s="311"/>
      <c r="B27" s="61" t="s">
        <v>92</v>
      </c>
      <c r="C27" s="62"/>
      <c r="D27" s="128"/>
      <c r="E27" s="129">
        <f>IF(OR(E2="",E3="",E4=""),"",E23+E25)</f>
        <v>12104.29</v>
      </c>
      <c r="F27" s="290"/>
      <c r="G27" s="318">
        <v>0.01</v>
      </c>
      <c r="H27" s="324">
        <f t="shared" si="12"/>
        <v>0</v>
      </c>
      <c r="I27" s="324">
        <f>AG15*Q14</f>
        <v>0</v>
      </c>
      <c r="J27" s="324">
        <f t="shared" si="12"/>
        <v>7.0000000000000007E-2</v>
      </c>
      <c r="K27" s="320">
        <f>SUM(H27:J27)</f>
        <v>7.0000000000000007E-2</v>
      </c>
      <c r="L27" s="290"/>
      <c r="M27" s="352"/>
      <c r="N27" s="352"/>
      <c r="O27" s="352"/>
      <c r="P27" s="353"/>
      <c r="Q27" s="357"/>
      <c r="R27" s="352"/>
      <c r="S27" s="352"/>
      <c r="T27" s="290"/>
      <c r="U27" s="306"/>
      <c r="V27" s="307"/>
    </row>
    <row r="28" spans="1:22" ht="15.6" thickTop="1" thickBot="1" x14ac:dyDescent="0.35">
      <c r="A28" s="311"/>
      <c r="B28" s="61" t="s">
        <v>96</v>
      </c>
      <c r="C28" s="62"/>
      <c r="D28" s="128"/>
      <c r="E28" s="140">
        <f>+IF(OR(E2="",E3="",E4=""),"",E15+E18+E26)</f>
        <v>12104.290000000015</v>
      </c>
      <c r="F28" s="290"/>
      <c r="G28" s="291"/>
      <c r="H28" s="294">
        <f>SUMIFS(DENERO_CAJA[MONTO],DENERO_CAJA[FECHA],"&gt;="&amp;$E$2,DENERO_CAJA[FECHA],"&lt;="&amp;$E$4)</f>
        <v>1809.63</v>
      </c>
      <c r="I28" s="291">
        <f>IFERROR(E27-E28,"")</f>
        <v>-1.4551915228366852E-11</v>
      </c>
      <c r="J28" s="290"/>
      <c r="K28" s="290"/>
      <c r="L28" s="290"/>
      <c r="M28" s="352"/>
      <c r="N28" s="352"/>
      <c r="O28" s="352"/>
      <c r="P28" s="352"/>
      <c r="Q28" s="352"/>
      <c r="R28" s="352"/>
      <c r="S28" s="293"/>
      <c r="T28" s="290"/>
      <c r="U28" s="310"/>
      <c r="V28" s="307"/>
    </row>
    <row r="29" spans="1:22" ht="8.25" customHeight="1" thickTop="1" thickBot="1" x14ac:dyDescent="0.35">
      <c r="A29" s="295"/>
      <c r="B29" s="296"/>
      <c r="C29" s="296"/>
      <c r="D29" s="296"/>
      <c r="E29" s="296"/>
      <c r="F29" s="296"/>
      <c r="G29" s="297"/>
      <c r="H29" s="298"/>
      <c r="I29" s="296"/>
      <c r="J29" s="296"/>
      <c r="K29" s="296"/>
      <c r="L29" s="296"/>
      <c r="M29" s="296"/>
      <c r="N29" s="296"/>
      <c r="O29" s="296"/>
      <c r="P29" s="296"/>
      <c r="Q29" s="296"/>
      <c r="R29" s="296"/>
      <c r="S29" s="299"/>
      <c r="T29" s="296"/>
      <c r="U29" s="296"/>
      <c r="V29" s="300"/>
    </row>
    <row r="30" spans="1:22" ht="15" thickTop="1" x14ac:dyDescent="0.3">
      <c r="E30" s="302"/>
      <c r="H30" s="303"/>
      <c r="J30" s="304"/>
      <c r="S30" s="305"/>
    </row>
    <row r="31" spans="1:22" x14ac:dyDescent="0.3">
      <c r="C31" s="304"/>
      <c r="E31" s="304"/>
      <c r="H31" s="304"/>
      <c r="I31" s="304"/>
    </row>
  </sheetData>
  <sheetProtection algorithmName="SHA-512" hashValue="nWECDReHzQ87OauDbkiw7pi93PBQEk39R7pVnyCScr05GZHLciNCePbnu3XHqjvOW6wjnSWJEio34oQsDllQzg==" saltValue="RsQM3EcFOdrjysgElJJHDQ==" spinCount="100000" sheet="1" objects="1" scenarios="1"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426"/>
  <sheetViews>
    <sheetView topLeftCell="C1" workbookViewId="0">
      <pane ySplit="3" topLeftCell="A395" activePane="bottomLeft" state="frozen"/>
      <selection pane="bottomLeft" activeCell="O420" activeCellId="1" sqref="O418 O420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397" t="s">
        <v>261</v>
      </c>
      <c r="C1" s="397"/>
      <c r="D1" s="397"/>
      <c r="E1" s="397"/>
      <c r="F1" s="397"/>
      <c r="G1" s="397"/>
      <c r="H1" s="397"/>
      <c r="I1" s="397"/>
      <c r="J1" s="397"/>
      <c r="K1" s="397"/>
      <c r="L1" s="397"/>
      <c r="M1" s="397"/>
      <c r="N1" s="397"/>
      <c r="O1" s="397"/>
    </row>
    <row r="2" spans="2:17" x14ac:dyDescent="0.3">
      <c r="B2" s="397"/>
      <c r="C2" s="397"/>
      <c r="D2" s="397"/>
      <c r="E2" s="397"/>
      <c r="F2" s="397"/>
      <c r="G2" s="397"/>
      <c r="H2" s="397"/>
      <c r="I2" s="397"/>
      <c r="J2" s="397"/>
      <c r="K2" s="397"/>
      <c r="L2" s="397"/>
      <c r="M2" s="397"/>
      <c r="N2" s="397"/>
      <c r="O2" s="397"/>
      <c r="Q2" s="24"/>
    </row>
    <row r="3" spans="2:17" ht="15" thickBot="1" x14ac:dyDescent="0.35">
      <c r="B3" s="397"/>
      <c r="C3" s="397"/>
      <c r="D3" s="397"/>
      <c r="E3" s="397"/>
      <c r="F3" s="397"/>
      <c r="G3" s="397"/>
      <c r="H3" s="397"/>
      <c r="I3" s="397"/>
      <c r="J3" s="397"/>
      <c r="K3" s="397"/>
      <c r="L3" s="397"/>
      <c r="M3" s="397"/>
      <c r="N3" s="397"/>
      <c r="O3" s="397"/>
      <c r="Q3" s="24"/>
    </row>
    <row r="4" spans="2:17" ht="15.6" thickTop="1" thickBot="1" x14ac:dyDescent="0.35">
      <c r="B4" s="371" t="s">
        <v>90</v>
      </c>
      <c r="C4" s="372"/>
      <c r="D4" s="177" t="s">
        <v>345</v>
      </c>
      <c r="E4" s="72">
        <v>44788</v>
      </c>
      <c r="G4" s="371" t="s">
        <v>90</v>
      </c>
      <c r="H4" s="372"/>
      <c r="I4" s="177" t="s">
        <v>345</v>
      </c>
      <c r="J4" s="72">
        <v>44819</v>
      </c>
      <c r="L4" s="371" t="s">
        <v>90</v>
      </c>
      <c r="M4" s="372"/>
      <c r="N4" s="177" t="s">
        <v>345</v>
      </c>
      <c r="O4" s="72">
        <v>44849</v>
      </c>
      <c r="Q4" s="24"/>
    </row>
    <row r="5" spans="2:17" ht="15.6" thickTop="1" thickBot="1" x14ac:dyDescent="0.35">
      <c r="B5" s="373"/>
      <c r="C5" s="374"/>
      <c r="D5" s="177" t="s">
        <v>346</v>
      </c>
      <c r="E5" s="72">
        <v>44788</v>
      </c>
      <c r="G5" s="373"/>
      <c r="H5" s="374"/>
      <c r="I5" s="177" t="s">
        <v>346</v>
      </c>
      <c r="J5" s="72">
        <v>44788</v>
      </c>
      <c r="L5" s="373"/>
      <c r="M5" s="374"/>
      <c r="N5" s="177" t="s">
        <v>346</v>
      </c>
      <c r="O5" s="72">
        <v>44788</v>
      </c>
    </row>
    <row r="6" spans="2:17" ht="15.6" thickTop="1" thickBot="1" x14ac:dyDescent="0.35">
      <c r="B6" s="375"/>
      <c r="C6" s="376"/>
      <c r="D6" s="177" t="s">
        <v>344</v>
      </c>
      <c r="E6" s="72">
        <v>44818</v>
      </c>
      <c r="G6" s="375"/>
      <c r="H6" s="376"/>
      <c r="I6" s="177" t="s">
        <v>344</v>
      </c>
      <c r="J6" s="72">
        <v>44848</v>
      </c>
      <c r="L6" s="375"/>
      <c r="M6" s="376"/>
      <c r="N6" s="177" t="s">
        <v>344</v>
      </c>
      <c r="O6" s="72">
        <v>44879</v>
      </c>
    </row>
    <row r="7" spans="2:17" ht="15.6" thickTop="1" thickBot="1" x14ac:dyDescent="0.35">
      <c r="B7" s="57" t="s">
        <v>89</v>
      </c>
      <c r="C7" s="2"/>
      <c r="D7" s="2"/>
      <c r="E7" s="114">
        <v>130</v>
      </c>
      <c r="G7" s="57" t="s">
        <v>89</v>
      </c>
      <c r="H7" s="2"/>
      <c r="I7" s="2"/>
      <c r="J7" s="114">
        <v>260</v>
      </c>
      <c r="L7" s="57" t="s">
        <v>89</v>
      </c>
      <c r="M7" s="2"/>
      <c r="N7" s="2"/>
      <c r="O7" s="114">
        <v>390</v>
      </c>
    </row>
    <row r="8" spans="2:17" ht="15.6" thickTop="1" thickBot="1" x14ac:dyDescent="0.35">
      <c r="B8" s="58" t="s">
        <v>162</v>
      </c>
      <c r="C8" s="59"/>
      <c r="D8" s="59"/>
      <c r="E8" s="120"/>
      <c r="G8" s="58" t="s">
        <v>162</v>
      </c>
      <c r="H8" s="59"/>
      <c r="I8" s="59"/>
      <c r="J8" s="120"/>
      <c r="L8" s="58" t="s">
        <v>162</v>
      </c>
      <c r="M8" s="59"/>
      <c r="N8" s="59"/>
      <c r="O8" s="120"/>
    </row>
    <row r="9" spans="2:17" ht="15" thickTop="1" x14ac:dyDescent="0.3">
      <c r="B9" s="118" t="s">
        <v>207</v>
      </c>
      <c r="C9" s="2"/>
      <c r="D9" s="2"/>
      <c r="E9" s="113">
        <v>0</v>
      </c>
      <c r="G9" s="118" t="s">
        <v>207</v>
      </c>
      <c r="H9" s="2"/>
      <c r="I9" s="2"/>
      <c r="J9" s="113">
        <v>160</v>
      </c>
      <c r="L9" s="118" t="s">
        <v>207</v>
      </c>
      <c r="M9" s="2"/>
      <c r="N9" s="2"/>
      <c r="O9" s="113">
        <v>360</v>
      </c>
    </row>
    <row r="10" spans="2:17" x14ac:dyDescent="0.3">
      <c r="B10" s="119" t="s">
        <v>208</v>
      </c>
      <c r="C10" s="2"/>
      <c r="D10" s="2"/>
      <c r="E10" s="65">
        <v>0</v>
      </c>
      <c r="G10" s="119" t="s">
        <v>208</v>
      </c>
      <c r="H10" s="2"/>
      <c r="I10" s="2"/>
      <c r="J10" s="65">
        <v>0</v>
      </c>
      <c r="L10" s="119" t="s">
        <v>208</v>
      </c>
      <c r="M10" s="2"/>
      <c r="N10" s="2"/>
      <c r="O10" s="65">
        <v>0</v>
      </c>
    </row>
    <row r="11" spans="2:17" x14ac:dyDescent="0.3">
      <c r="B11" s="57" t="s">
        <v>100</v>
      </c>
      <c r="C11" s="2"/>
      <c r="D11" s="2"/>
      <c r="E11" s="66">
        <v>0</v>
      </c>
      <c r="G11" s="57" t="s">
        <v>100</v>
      </c>
      <c r="H11" s="2"/>
      <c r="I11" s="2"/>
      <c r="J11" s="66">
        <v>160</v>
      </c>
      <c r="L11" s="57" t="s">
        <v>100</v>
      </c>
      <c r="M11" s="2"/>
      <c r="N11" s="2"/>
      <c r="O11" s="66">
        <v>200</v>
      </c>
    </row>
    <row r="12" spans="2:17" x14ac:dyDescent="0.3">
      <c r="B12" s="119" t="s">
        <v>209</v>
      </c>
      <c r="C12" s="2"/>
      <c r="D12" s="2"/>
      <c r="E12" s="121">
        <v>0</v>
      </c>
      <c r="G12" s="119" t="s">
        <v>209</v>
      </c>
      <c r="H12" s="2"/>
      <c r="I12" s="2"/>
      <c r="J12" s="121">
        <v>6.4</v>
      </c>
      <c r="L12" s="119" t="s">
        <v>209</v>
      </c>
      <c r="M12" s="2"/>
      <c r="N12" s="2"/>
      <c r="O12" s="121">
        <v>10.4</v>
      </c>
    </row>
    <row r="13" spans="2:17" ht="15" thickBot="1" x14ac:dyDescent="0.35">
      <c r="B13" s="57" t="s">
        <v>102</v>
      </c>
      <c r="C13" s="2"/>
      <c r="D13" s="2"/>
      <c r="E13" s="66">
        <v>0</v>
      </c>
      <c r="G13" s="57" t="s">
        <v>102</v>
      </c>
      <c r="H13" s="2"/>
      <c r="I13" s="2"/>
      <c r="J13" s="66">
        <v>6.4</v>
      </c>
      <c r="L13" s="57" t="s">
        <v>102</v>
      </c>
      <c r="M13" s="2"/>
      <c r="N13" s="2"/>
      <c r="O13" s="66">
        <v>4</v>
      </c>
    </row>
    <row r="14" spans="2:17" ht="15.6" thickTop="1" thickBot="1" x14ac:dyDescent="0.35">
      <c r="B14" s="122" t="s">
        <v>39</v>
      </c>
      <c r="C14" s="59"/>
      <c r="D14" s="59"/>
      <c r="E14" s="120"/>
      <c r="G14" s="122" t="s">
        <v>39</v>
      </c>
      <c r="H14" s="59"/>
      <c r="I14" s="59"/>
      <c r="J14" s="120"/>
      <c r="L14" s="122" t="s">
        <v>39</v>
      </c>
      <c r="M14" s="59"/>
      <c r="N14" s="59"/>
      <c r="O14" s="120"/>
    </row>
    <row r="15" spans="2:17" ht="15" thickTop="1" x14ac:dyDescent="0.3">
      <c r="B15" s="57" t="s">
        <v>98</v>
      </c>
      <c r="C15" s="2"/>
      <c r="D15" s="2"/>
      <c r="E15" s="65">
        <v>0</v>
      </c>
      <c r="G15" s="57" t="s">
        <v>98</v>
      </c>
      <c r="H15" s="2"/>
      <c r="I15" s="2"/>
      <c r="J15" s="65">
        <v>0</v>
      </c>
      <c r="L15" s="57" t="s">
        <v>98</v>
      </c>
      <c r="M15" s="2"/>
      <c r="N15" s="2"/>
      <c r="O15" s="65">
        <v>80</v>
      </c>
    </row>
    <row r="16" spans="2:17" x14ac:dyDescent="0.3">
      <c r="B16" s="57" t="s">
        <v>101</v>
      </c>
      <c r="C16" s="2"/>
      <c r="D16" s="2"/>
      <c r="E16" s="66">
        <v>0</v>
      </c>
      <c r="G16" s="57" t="s">
        <v>101</v>
      </c>
      <c r="H16" s="2"/>
      <c r="I16" s="2"/>
      <c r="J16" s="66">
        <v>0</v>
      </c>
      <c r="L16" s="57" t="s">
        <v>101</v>
      </c>
      <c r="M16" s="2"/>
      <c r="N16" s="2"/>
      <c r="O16" s="66">
        <v>80</v>
      </c>
    </row>
    <row r="17" spans="2:15" ht="15" thickBot="1" x14ac:dyDescent="0.35">
      <c r="B17" s="70" t="s">
        <v>93</v>
      </c>
      <c r="C17" s="69"/>
      <c r="D17" s="60"/>
      <c r="E17" s="68">
        <v>0</v>
      </c>
      <c r="G17" s="70" t="s">
        <v>93</v>
      </c>
      <c r="H17" s="69"/>
      <c r="I17" s="60"/>
      <c r="J17" s="68">
        <v>160</v>
      </c>
      <c r="L17" s="70" t="s">
        <v>93</v>
      </c>
      <c r="M17" s="69"/>
      <c r="N17" s="60"/>
      <c r="O17" s="68">
        <v>280</v>
      </c>
    </row>
    <row r="18" spans="2:15" ht="15" thickTop="1" x14ac:dyDescent="0.3">
      <c r="B18" s="57" t="s">
        <v>99</v>
      </c>
      <c r="C18" s="2"/>
      <c r="D18" s="2"/>
      <c r="E18" s="65">
        <v>0</v>
      </c>
      <c r="G18" s="57" t="s">
        <v>99</v>
      </c>
      <c r="H18" s="2"/>
      <c r="I18" s="2"/>
      <c r="J18" s="65">
        <v>0</v>
      </c>
      <c r="L18" s="57" t="s">
        <v>99</v>
      </c>
      <c r="M18" s="2"/>
      <c r="N18" s="2"/>
      <c r="O18" s="65">
        <v>3.2</v>
      </c>
    </row>
    <row r="19" spans="2:15" x14ac:dyDescent="0.3">
      <c r="B19" s="57" t="s">
        <v>103</v>
      </c>
      <c r="C19" s="2"/>
      <c r="D19" s="2"/>
      <c r="E19" s="66">
        <v>0</v>
      </c>
      <c r="G19" s="57" t="s">
        <v>103</v>
      </c>
      <c r="H19" s="2"/>
      <c r="I19" s="2"/>
      <c r="J19" s="66">
        <v>0</v>
      </c>
      <c r="L19" s="57" t="s">
        <v>103</v>
      </c>
      <c r="M19" s="2"/>
      <c r="N19" s="2"/>
      <c r="O19" s="66">
        <v>3.2</v>
      </c>
    </row>
    <row r="20" spans="2:15" ht="15" thickBot="1" x14ac:dyDescent="0.35">
      <c r="B20" s="70" t="s">
        <v>95</v>
      </c>
      <c r="C20" s="60"/>
      <c r="D20" s="60"/>
      <c r="E20" s="68">
        <v>0</v>
      </c>
      <c r="G20" s="70" t="s">
        <v>95</v>
      </c>
      <c r="H20" s="60"/>
      <c r="I20" s="60"/>
      <c r="J20" s="68">
        <v>6.4</v>
      </c>
      <c r="L20" s="70" t="s">
        <v>95</v>
      </c>
      <c r="M20" s="60"/>
      <c r="N20" s="60"/>
      <c r="O20" s="68">
        <v>7.2</v>
      </c>
    </row>
    <row r="21" spans="2:15" ht="15.6" thickTop="1" thickBot="1" x14ac:dyDescent="0.35">
      <c r="B21" s="58" t="s">
        <v>210</v>
      </c>
      <c r="C21" s="123"/>
      <c r="D21" s="59"/>
      <c r="E21" s="127"/>
      <c r="G21" s="58" t="s">
        <v>210</v>
      </c>
      <c r="H21" s="123"/>
      <c r="I21" s="59"/>
      <c r="J21" s="127"/>
      <c r="L21" s="58" t="s">
        <v>210</v>
      </c>
      <c r="M21" s="123"/>
      <c r="N21" s="59"/>
      <c r="O21" s="127"/>
    </row>
    <row r="22" spans="2:15" ht="15" thickTop="1" x14ac:dyDescent="0.3">
      <c r="B22" s="57" t="s">
        <v>260</v>
      </c>
      <c r="C22" s="115"/>
      <c r="D22" s="2"/>
      <c r="E22" s="67">
        <v>0</v>
      </c>
      <c r="G22" s="57" t="s">
        <v>260</v>
      </c>
      <c r="H22" s="115"/>
      <c r="I22" s="2"/>
      <c r="J22" s="67">
        <v>0</v>
      </c>
      <c r="L22" s="57" t="s">
        <v>260</v>
      </c>
      <c r="M22" s="115"/>
      <c r="N22" s="2"/>
      <c r="O22" s="67">
        <v>0</v>
      </c>
    </row>
    <row r="23" spans="2:15" x14ac:dyDescent="0.3">
      <c r="B23" s="57" t="s">
        <v>314</v>
      </c>
      <c r="C23" s="124"/>
      <c r="D23" s="125"/>
      <c r="E23" s="65">
        <v>0</v>
      </c>
      <c r="G23" s="57" t="s">
        <v>314</v>
      </c>
      <c r="H23" s="124"/>
      <c r="I23" s="125"/>
      <c r="J23" s="65">
        <v>0</v>
      </c>
      <c r="L23" s="57" t="s">
        <v>314</v>
      </c>
      <c r="M23" s="124"/>
      <c r="N23" s="125"/>
      <c r="O23" s="65">
        <v>0</v>
      </c>
    </row>
    <row r="24" spans="2:15" x14ac:dyDescent="0.3">
      <c r="B24" s="57" t="s">
        <v>227</v>
      </c>
      <c r="C24" s="124"/>
      <c r="D24" s="125"/>
      <c r="E24" s="65">
        <v>0</v>
      </c>
      <c r="G24" s="57" t="s">
        <v>227</v>
      </c>
      <c r="H24" s="124"/>
      <c r="I24" s="125"/>
      <c r="J24" s="65">
        <v>0</v>
      </c>
      <c r="L24" s="57" t="s">
        <v>227</v>
      </c>
      <c r="M24" s="124"/>
      <c r="N24" s="125"/>
      <c r="O24" s="65">
        <v>0</v>
      </c>
    </row>
    <row r="25" spans="2:15" x14ac:dyDescent="0.3">
      <c r="B25" s="57" t="s">
        <v>91</v>
      </c>
      <c r="C25" s="2"/>
      <c r="D25" s="2"/>
      <c r="E25" s="64">
        <v>130</v>
      </c>
      <c r="G25" s="57" t="s">
        <v>91</v>
      </c>
      <c r="H25" s="2"/>
      <c r="I25" s="2"/>
      <c r="J25" s="64">
        <v>260</v>
      </c>
      <c r="L25" s="57" t="s">
        <v>91</v>
      </c>
      <c r="M25" s="2"/>
      <c r="N25" s="2"/>
      <c r="O25" s="64">
        <v>390</v>
      </c>
    </row>
    <row r="26" spans="2:15" x14ac:dyDescent="0.3">
      <c r="B26" s="57" t="s">
        <v>97</v>
      </c>
      <c r="C26" s="2"/>
      <c r="D26" s="2"/>
      <c r="E26" s="63">
        <v>10</v>
      </c>
      <c r="G26" s="57" t="s">
        <v>97</v>
      </c>
      <c r="H26" s="2"/>
      <c r="I26" s="2"/>
      <c r="J26" s="63">
        <v>20</v>
      </c>
      <c r="L26" s="57" t="s">
        <v>97</v>
      </c>
      <c r="M26" s="2"/>
      <c r="N26" s="2"/>
      <c r="O26" s="63">
        <v>30</v>
      </c>
    </row>
    <row r="27" spans="2:15" x14ac:dyDescent="0.3">
      <c r="B27" s="57" t="s">
        <v>315</v>
      </c>
      <c r="C27" s="2"/>
      <c r="D27" s="2"/>
      <c r="E27" s="64">
        <v>0</v>
      </c>
      <c r="G27" s="57" t="s">
        <v>315</v>
      </c>
      <c r="H27" s="2"/>
      <c r="I27" s="2"/>
      <c r="J27" s="64">
        <v>6.4</v>
      </c>
      <c r="L27" s="57" t="s">
        <v>315</v>
      </c>
      <c r="M27" s="2"/>
      <c r="N27" s="2"/>
      <c r="O27" s="64">
        <v>10.4</v>
      </c>
    </row>
    <row r="28" spans="2:15" ht="15" thickBot="1" x14ac:dyDescent="0.35">
      <c r="B28" s="57" t="s">
        <v>94</v>
      </c>
      <c r="C28" s="2"/>
      <c r="D28" s="126"/>
      <c r="E28" s="176">
        <v>130</v>
      </c>
      <c r="G28" s="57" t="s">
        <v>94</v>
      </c>
      <c r="H28" s="2"/>
      <c r="I28" s="126"/>
      <c r="J28" s="176">
        <v>100</v>
      </c>
      <c r="L28" s="57" t="s">
        <v>94</v>
      </c>
      <c r="M28" s="2"/>
      <c r="N28" s="126"/>
      <c r="O28" s="176">
        <v>113.2</v>
      </c>
    </row>
    <row r="29" spans="2:15" ht="15.6" thickTop="1" thickBot="1" x14ac:dyDescent="0.35">
      <c r="B29" s="61" t="s">
        <v>92</v>
      </c>
      <c r="C29" s="62"/>
      <c r="D29" s="128"/>
      <c r="E29" s="129">
        <v>130</v>
      </c>
      <c r="G29" s="61" t="s">
        <v>92</v>
      </c>
      <c r="H29" s="62"/>
      <c r="I29" s="128"/>
      <c r="J29" s="129">
        <v>266.39999999999998</v>
      </c>
      <c r="L29" s="61" t="s">
        <v>92</v>
      </c>
      <c r="M29" s="62"/>
      <c r="N29" s="128"/>
      <c r="O29" s="129">
        <v>400.4</v>
      </c>
    </row>
    <row r="30" spans="2:15" ht="15.6" thickTop="1" thickBot="1" x14ac:dyDescent="0.35">
      <c r="B30" s="61" t="s">
        <v>96</v>
      </c>
      <c r="C30" s="62"/>
      <c r="D30" s="128"/>
      <c r="E30" s="140">
        <v>130</v>
      </c>
      <c r="G30" s="61" t="s">
        <v>96</v>
      </c>
      <c r="H30" s="62"/>
      <c r="I30" s="128"/>
      <c r="J30" s="140">
        <v>266.39999999999998</v>
      </c>
      <c r="L30" s="61" t="s">
        <v>96</v>
      </c>
      <c r="M30" s="62"/>
      <c r="N30" s="128"/>
      <c r="O30" s="140">
        <v>400.4</v>
      </c>
    </row>
    <row r="31" spans="2:15" ht="15.6" thickTop="1" thickBot="1" x14ac:dyDescent="0.35">
      <c r="B31" s="2"/>
      <c r="C31" s="2"/>
      <c r="D31" s="2"/>
      <c r="E31" s="199"/>
      <c r="J31" s="199"/>
      <c r="O31" s="199"/>
    </row>
    <row r="32" spans="2:15" ht="15.6" thickTop="1" thickBot="1" x14ac:dyDescent="0.35">
      <c r="B32" s="371" t="s">
        <v>90</v>
      </c>
      <c r="C32" s="372"/>
      <c r="D32" s="177" t="s">
        <v>345</v>
      </c>
      <c r="E32" s="72">
        <v>44880</v>
      </c>
      <c r="G32" s="371" t="s">
        <v>90</v>
      </c>
      <c r="H32" s="372"/>
      <c r="I32" s="177" t="s">
        <v>345</v>
      </c>
      <c r="J32" s="72">
        <v>44910</v>
      </c>
      <c r="L32" s="371" t="s">
        <v>90</v>
      </c>
      <c r="M32" s="372"/>
      <c r="N32" s="177" t="s">
        <v>345</v>
      </c>
      <c r="O32" s="72">
        <v>44941</v>
      </c>
    </row>
    <row r="33" spans="2:15" ht="15.6" thickTop="1" thickBot="1" x14ac:dyDescent="0.35">
      <c r="B33" s="373"/>
      <c r="C33" s="374"/>
      <c r="D33" s="177" t="s">
        <v>346</v>
      </c>
      <c r="E33" s="72">
        <v>44788</v>
      </c>
      <c r="G33" s="373"/>
      <c r="H33" s="374"/>
      <c r="I33" s="177" t="s">
        <v>346</v>
      </c>
      <c r="J33" s="72">
        <v>44788</v>
      </c>
      <c r="L33" s="373"/>
      <c r="M33" s="374"/>
      <c r="N33" s="177" t="s">
        <v>346</v>
      </c>
      <c r="O33" s="72">
        <v>44788</v>
      </c>
    </row>
    <row r="34" spans="2:15" ht="15.6" thickTop="1" thickBot="1" x14ac:dyDescent="0.35">
      <c r="B34" s="375"/>
      <c r="C34" s="376"/>
      <c r="D34" s="177" t="s">
        <v>344</v>
      </c>
      <c r="E34" s="72">
        <v>44909</v>
      </c>
      <c r="G34" s="375"/>
      <c r="H34" s="376"/>
      <c r="I34" s="177" t="s">
        <v>344</v>
      </c>
      <c r="J34" s="72">
        <v>44940</v>
      </c>
      <c r="L34" s="375"/>
      <c r="M34" s="376"/>
      <c r="N34" s="177" t="s">
        <v>344</v>
      </c>
      <c r="O34" s="72">
        <v>44971</v>
      </c>
    </row>
    <row r="35" spans="2:15" ht="15.6" thickTop="1" thickBot="1" x14ac:dyDescent="0.35">
      <c r="B35" s="57" t="s">
        <v>89</v>
      </c>
      <c r="C35" s="2"/>
      <c r="D35" s="2"/>
      <c r="E35" s="114">
        <v>520</v>
      </c>
      <c r="G35" s="57" t="s">
        <v>89</v>
      </c>
      <c r="H35" s="2"/>
      <c r="I35" s="2"/>
      <c r="J35" s="114">
        <v>650</v>
      </c>
      <c r="L35" s="57" t="s">
        <v>89</v>
      </c>
      <c r="M35" s="2"/>
      <c r="N35" s="2"/>
      <c r="O35" s="114">
        <v>780</v>
      </c>
    </row>
    <row r="36" spans="2:15" ht="15.6" thickTop="1" thickBot="1" x14ac:dyDescent="0.35">
      <c r="B36" s="58" t="s">
        <v>162</v>
      </c>
      <c r="C36" s="59"/>
      <c r="D36" s="59"/>
      <c r="E36" s="120"/>
      <c r="G36" s="58" t="s">
        <v>162</v>
      </c>
      <c r="H36" s="59"/>
      <c r="I36" s="59"/>
      <c r="J36" s="120"/>
      <c r="L36" s="58" t="s">
        <v>162</v>
      </c>
      <c r="M36" s="59"/>
      <c r="N36" s="59"/>
      <c r="O36" s="120"/>
    </row>
    <row r="37" spans="2:15" ht="15" thickTop="1" x14ac:dyDescent="0.3">
      <c r="B37" s="118" t="s">
        <v>207</v>
      </c>
      <c r="C37" s="2"/>
      <c r="D37" s="2"/>
      <c r="E37" s="113">
        <v>760</v>
      </c>
      <c r="G37" s="118" t="s">
        <v>207</v>
      </c>
      <c r="H37" s="2"/>
      <c r="I37" s="2"/>
      <c r="J37" s="113">
        <v>1130</v>
      </c>
      <c r="L37" s="118" t="s">
        <v>207</v>
      </c>
      <c r="M37" s="2"/>
      <c r="N37" s="2"/>
      <c r="O37" s="113">
        <v>1430</v>
      </c>
    </row>
    <row r="38" spans="2:15" x14ac:dyDescent="0.3">
      <c r="B38" s="119" t="s">
        <v>208</v>
      </c>
      <c r="C38" s="2"/>
      <c r="D38" s="2"/>
      <c r="E38" s="65">
        <v>0</v>
      </c>
      <c r="G38" s="119" t="s">
        <v>208</v>
      </c>
      <c r="H38" s="2"/>
      <c r="I38" s="2"/>
      <c r="J38" s="65">
        <v>100</v>
      </c>
      <c r="L38" s="119" t="s">
        <v>208</v>
      </c>
      <c r="M38" s="2"/>
      <c r="N38" s="2"/>
      <c r="O38" s="65">
        <v>100</v>
      </c>
    </row>
    <row r="39" spans="2:15" x14ac:dyDescent="0.3">
      <c r="B39" s="57" t="s">
        <v>100</v>
      </c>
      <c r="C39" s="2"/>
      <c r="D39" s="2"/>
      <c r="E39" s="66">
        <v>400</v>
      </c>
      <c r="G39" s="57" t="s">
        <v>100</v>
      </c>
      <c r="H39" s="2"/>
      <c r="I39" s="2"/>
      <c r="J39" s="66">
        <v>470</v>
      </c>
      <c r="L39" s="57" t="s">
        <v>100</v>
      </c>
      <c r="M39" s="2"/>
      <c r="N39" s="2"/>
      <c r="O39" s="66">
        <v>300</v>
      </c>
    </row>
    <row r="40" spans="2:15" x14ac:dyDescent="0.3">
      <c r="B40" s="119" t="s">
        <v>209</v>
      </c>
      <c r="C40" s="2"/>
      <c r="D40" s="2"/>
      <c r="E40" s="121">
        <v>22.4</v>
      </c>
      <c r="G40" s="119" t="s">
        <v>209</v>
      </c>
      <c r="H40" s="2"/>
      <c r="I40" s="2"/>
      <c r="J40" s="121">
        <v>55.4</v>
      </c>
      <c r="L40" s="119" t="s">
        <v>209</v>
      </c>
      <c r="M40" s="2"/>
      <c r="N40" s="2"/>
      <c r="O40" s="121">
        <v>75.400000000000006</v>
      </c>
    </row>
    <row r="41" spans="2:15" ht="15" thickBot="1" x14ac:dyDescent="0.35">
      <c r="B41" s="57" t="s">
        <v>102</v>
      </c>
      <c r="C41" s="2"/>
      <c r="D41" s="2"/>
      <c r="E41" s="66">
        <v>12</v>
      </c>
      <c r="G41" s="57" t="s">
        <v>102</v>
      </c>
      <c r="H41" s="2"/>
      <c r="I41" s="2"/>
      <c r="J41" s="66">
        <v>33</v>
      </c>
      <c r="L41" s="57" t="s">
        <v>102</v>
      </c>
      <c r="M41" s="2"/>
      <c r="N41" s="2"/>
      <c r="O41" s="66">
        <v>20</v>
      </c>
    </row>
    <row r="42" spans="2:15" ht="15.6" thickTop="1" thickBot="1" x14ac:dyDescent="0.35">
      <c r="B42" s="122" t="s">
        <v>39</v>
      </c>
      <c r="C42" s="59"/>
      <c r="D42" s="59"/>
      <c r="E42" s="120"/>
      <c r="G42" s="122" t="s">
        <v>39</v>
      </c>
      <c r="H42" s="59"/>
      <c r="I42" s="59"/>
      <c r="J42" s="120"/>
      <c r="L42" s="122" t="s">
        <v>39</v>
      </c>
      <c r="M42" s="59"/>
      <c r="N42" s="59"/>
      <c r="O42" s="120"/>
    </row>
    <row r="43" spans="2:15" ht="15" thickTop="1" x14ac:dyDescent="0.3">
      <c r="B43" s="57" t="s">
        <v>98</v>
      </c>
      <c r="C43" s="2"/>
      <c r="D43" s="2"/>
      <c r="E43" s="65">
        <v>360</v>
      </c>
      <c r="G43" s="57" t="s">
        <v>98</v>
      </c>
      <c r="H43" s="2"/>
      <c r="I43" s="2"/>
      <c r="J43" s="65">
        <v>660</v>
      </c>
      <c r="L43" s="57" t="s">
        <v>98</v>
      </c>
      <c r="M43" s="2"/>
      <c r="N43" s="2"/>
      <c r="O43" s="65">
        <v>844</v>
      </c>
    </row>
    <row r="44" spans="2:15" x14ac:dyDescent="0.3">
      <c r="B44" s="57" t="s">
        <v>101</v>
      </c>
      <c r="C44" s="2"/>
      <c r="D44" s="2"/>
      <c r="E44" s="66">
        <v>280</v>
      </c>
      <c r="G44" s="57" t="s">
        <v>101</v>
      </c>
      <c r="H44" s="2"/>
      <c r="I44" s="2"/>
      <c r="J44" s="66">
        <v>300</v>
      </c>
      <c r="L44" s="57" t="s">
        <v>101</v>
      </c>
      <c r="M44" s="2"/>
      <c r="N44" s="2"/>
      <c r="O44" s="66">
        <v>184</v>
      </c>
    </row>
    <row r="45" spans="2:15" ht="15" thickBot="1" x14ac:dyDescent="0.35">
      <c r="B45" s="70" t="s">
        <v>93</v>
      </c>
      <c r="C45" s="69"/>
      <c r="D45" s="60"/>
      <c r="E45" s="68">
        <v>400</v>
      </c>
      <c r="G45" s="70" t="s">
        <v>93</v>
      </c>
      <c r="H45" s="69"/>
      <c r="I45" s="60"/>
      <c r="J45" s="68">
        <v>470</v>
      </c>
      <c r="L45" s="70" t="s">
        <v>93</v>
      </c>
      <c r="M45" s="69"/>
      <c r="N45" s="60"/>
      <c r="O45" s="68">
        <v>586</v>
      </c>
    </row>
    <row r="46" spans="2:15" ht="15" thickTop="1" x14ac:dyDescent="0.3">
      <c r="B46" s="57" t="s">
        <v>99</v>
      </c>
      <c r="C46" s="2"/>
      <c r="D46" s="2"/>
      <c r="E46" s="65">
        <v>10.4</v>
      </c>
      <c r="G46" s="57" t="s">
        <v>99</v>
      </c>
      <c r="H46" s="2"/>
      <c r="I46" s="2"/>
      <c r="J46" s="65">
        <v>18.399999999999999</v>
      </c>
      <c r="L46" s="57" t="s">
        <v>99</v>
      </c>
      <c r="M46" s="2"/>
      <c r="N46" s="2"/>
      <c r="O46" s="65">
        <v>29.799999999999997</v>
      </c>
    </row>
    <row r="47" spans="2:15" x14ac:dyDescent="0.3">
      <c r="B47" s="57" t="s">
        <v>103</v>
      </c>
      <c r="C47" s="2"/>
      <c r="D47" s="2"/>
      <c r="E47" s="66">
        <v>7.2</v>
      </c>
      <c r="G47" s="57" t="s">
        <v>103</v>
      </c>
      <c r="H47" s="2"/>
      <c r="I47" s="2"/>
      <c r="J47" s="66">
        <v>18</v>
      </c>
      <c r="L47" s="57" t="s">
        <v>103</v>
      </c>
      <c r="M47" s="2"/>
      <c r="N47" s="2"/>
      <c r="O47" s="66">
        <v>11.4</v>
      </c>
    </row>
    <row r="48" spans="2:15" ht="15" thickBot="1" x14ac:dyDescent="0.35">
      <c r="B48" s="70" t="s">
        <v>95</v>
      </c>
      <c r="C48" s="60"/>
      <c r="D48" s="60"/>
      <c r="E48" s="68">
        <v>11.999999999999998</v>
      </c>
      <c r="G48" s="70" t="s">
        <v>95</v>
      </c>
      <c r="H48" s="60"/>
      <c r="I48" s="60"/>
      <c r="J48" s="68">
        <v>37</v>
      </c>
      <c r="L48" s="70" t="s">
        <v>95</v>
      </c>
      <c r="M48" s="60"/>
      <c r="N48" s="60"/>
      <c r="O48" s="68">
        <v>45.600000000000009</v>
      </c>
    </row>
    <row r="49" spans="2:15" ht="15.6" thickTop="1" thickBot="1" x14ac:dyDescent="0.35">
      <c r="B49" s="58" t="s">
        <v>210</v>
      </c>
      <c r="C49" s="123"/>
      <c r="D49" s="59"/>
      <c r="E49" s="127"/>
      <c r="G49" s="58" t="s">
        <v>210</v>
      </c>
      <c r="H49" s="123"/>
      <c r="I49" s="59"/>
      <c r="J49" s="127"/>
      <c r="L49" s="58" t="s">
        <v>210</v>
      </c>
      <c r="M49" s="123"/>
      <c r="N49" s="59"/>
      <c r="O49" s="127"/>
    </row>
    <row r="50" spans="2:15" ht="15" thickTop="1" x14ac:dyDescent="0.3">
      <c r="B50" s="57" t="s">
        <v>260</v>
      </c>
      <c r="C50" s="115"/>
      <c r="D50" s="2"/>
      <c r="E50" s="67">
        <v>0</v>
      </c>
      <c r="G50" s="57" t="s">
        <v>260</v>
      </c>
      <c r="H50" s="115"/>
      <c r="I50" s="2"/>
      <c r="J50" s="67">
        <v>10</v>
      </c>
      <c r="L50" s="57" t="s">
        <v>260</v>
      </c>
      <c r="M50" s="115"/>
      <c r="N50" s="2"/>
      <c r="O50" s="67">
        <v>10</v>
      </c>
    </row>
    <row r="51" spans="2:15" x14ac:dyDescent="0.3">
      <c r="B51" s="57" t="s">
        <v>314</v>
      </c>
      <c r="C51" s="124"/>
      <c r="D51" s="125"/>
      <c r="E51" s="65">
        <v>0</v>
      </c>
      <c r="G51" s="57" t="s">
        <v>314</v>
      </c>
      <c r="H51" s="124"/>
      <c r="I51" s="125"/>
      <c r="J51" s="65">
        <v>100</v>
      </c>
      <c r="L51" s="57" t="s">
        <v>314</v>
      </c>
      <c r="M51" s="124"/>
      <c r="N51" s="125"/>
      <c r="O51" s="65">
        <v>100</v>
      </c>
    </row>
    <row r="52" spans="2:15" x14ac:dyDescent="0.3">
      <c r="B52" s="57" t="s">
        <v>227</v>
      </c>
      <c r="C52" s="124"/>
      <c r="D52" s="125"/>
      <c r="E52" s="65">
        <v>0</v>
      </c>
      <c r="G52" s="57" t="s">
        <v>227</v>
      </c>
      <c r="H52" s="124"/>
      <c r="I52" s="125"/>
      <c r="J52" s="65">
        <v>0</v>
      </c>
      <c r="L52" s="57" t="s">
        <v>227</v>
      </c>
      <c r="M52" s="124"/>
      <c r="N52" s="125"/>
      <c r="O52" s="65">
        <v>0</v>
      </c>
    </row>
    <row r="53" spans="2:15" x14ac:dyDescent="0.3">
      <c r="B53" s="57" t="s">
        <v>91</v>
      </c>
      <c r="C53" s="2"/>
      <c r="D53" s="2"/>
      <c r="E53" s="64">
        <v>520</v>
      </c>
      <c r="G53" s="57" t="s">
        <v>91</v>
      </c>
      <c r="H53" s="2"/>
      <c r="I53" s="2"/>
      <c r="J53" s="64">
        <v>650</v>
      </c>
      <c r="L53" s="57" t="s">
        <v>91</v>
      </c>
      <c r="M53" s="2"/>
      <c r="N53" s="2"/>
      <c r="O53" s="64">
        <v>780</v>
      </c>
    </row>
    <row r="54" spans="2:15" x14ac:dyDescent="0.3">
      <c r="B54" s="57" t="s">
        <v>97</v>
      </c>
      <c r="C54" s="2"/>
      <c r="D54" s="2"/>
      <c r="E54" s="63">
        <v>40</v>
      </c>
      <c r="G54" s="57" t="s">
        <v>97</v>
      </c>
      <c r="H54" s="2"/>
      <c r="I54" s="2"/>
      <c r="J54" s="63">
        <v>50</v>
      </c>
      <c r="L54" s="57" t="s">
        <v>97</v>
      </c>
      <c r="M54" s="2"/>
      <c r="N54" s="2"/>
      <c r="O54" s="63">
        <v>60</v>
      </c>
    </row>
    <row r="55" spans="2:15" x14ac:dyDescent="0.3">
      <c r="B55" s="57" t="s">
        <v>315</v>
      </c>
      <c r="C55" s="2"/>
      <c r="D55" s="2"/>
      <c r="E55" s="64">
        <v>22.4</v>
      </c>
      <c r="G55" s="57" t="s">
        <v>315</v>
      </c>
      <c r="H55" s="2"/>
      <c r="I55" s="2"/>
      <c r="J55" s="64">
        <v>-34.6</v>
      </c>
      <c r="L55" s="57" t="s">
        <v>315</v>
      </c>
      <c r="M55" s="2"/>
      <c r="N55" s="2"/>
      <c r="O55" s="64">
        <v>-14.599999999999994</v>
      </c>
    </row>
    <row r="56" spans="2:15" ht="15" thickBot="1" x14ac:dyDescent="0.35">
      <c r="B56" s="57" t="s">
        <v>94</v>
      </c>
      <c r="C56" s="2"/>
      <c r="D56" s="126"/>
      <c r="E56" s="176">
        <v>130.4</v>
      </c>
      <c r="G56" s="57" t="s">
        <v>94</v>
      </c>
      <c r="H56" s="2"/>
      <c r="I56" s="126"/>
      <c r="J56" s="176">
        <v>108.4</v>
      </c>
      <c r="L56" s="57" t="s">
        <v>94</v>
      </c>
      <c r="M56" s="2"/>
      <c r="N56" s="126"/>
      <c r="O56" s="176">
        <v>133.80000000000001</v>
      </c>
    </row>
    <row r="57" spans="2:15" ht="15.6" thickTop="1" thickBot="1" x14ac:dyDescent="0.35">
      <c r="B57" s="61" t="s">
        <v>92</v>
      </c>
      <c r="C57" s="62"/>
      <c r="D57" s="128"/>
      <c r="E57" s="129">
        <v>542.4</v>
      </c>
      <c r="G57" s="61" t="s">
        <v>92</v>
      </c>
      <c r="H57" s="62"/>
      <c r="I57" s="128"/>
      <c r="J57" s="129">
        <v>615.4</v>
      </c>
      <c r="L57" s="61" t="s">
        <v>92</v>
      </c>
      <c r="M57" s="62"/>
      <c r="N57" s="128"/>
      <c r="O57" s="129">
        <v>765.4</v>
      </c>
    </row>
    <row r="58" spans="2:15" ht="15.6" thickTop="1" thickBot="1" x14ac:dyDescent="0.35">
      <c r="B58" s="61" t="s">
        <v>96</v>
      </c>
      <c r="C58" s="62"/>
      <c r="D58" s="128"/>
      <c r="E58" s="140">
        <v>542.4</v>
      </c>
      <c r="G58" s="61" t="s">
        <v>96</v>
      </c>
      <c r="H58" s="62"/>
      <c r="I58" s="128"/>
      <c r="J58" s="140">
        <v>615.4</v>
      </c>
      <c r="L58" s="61" t="s">
        <v>96</v>
      </c>
      <c r="M58" s="62"/>
      <c r="N58" s="128"/>
      <c r="O58" s="140">
        <v>765.40000000000009</v>
      </c>
    </row>
    <row r="59" spans="2:15" ht="15.6" thickTop="1" thickBot="1" x14ac:dyDescent="0.35">
      <c r="B59" s="2"/>
      <c r="C59" s="2"/>
      <c r="E59" s="199"/>
      <c r="J59" s="199"/>
      <c r="O59" s="199"/>
    </row>
    <row r="60" spans="2:15" ht="15.6" thickTop="1" thickBot="1" x14ac:dyDescent="0.35">
      <c r="B60" s="371" t="s">
        <v>90</v>
      </c>
      <c r="C60" s="372"/>
      <c r="D60" s="177" t="s">
        <v>345</v>
      </c>
      <c r="E60" s="72">
        <v>44972</v>
      </c>
      <c r="G60" s="371" t="s">
        <v>90</v>
      </c>
      <c r="H60" s="372"/>
      <c r="I60" s="177" t="s">
        <v>345</v>
      </c>
      <c r="J60" s="72">
        <v>45000</v>
      </c>
      <c r="L60" s="371" t="s">
        <v>90</v>
      </c>
      <c r="M60" s="372"/>
      <c r="N60" s="177" t="s">
        <v>345</v>
      </c>
      <c r="O60" s="72">
        <v>45031</v>
      </c>
    </row>
    <row r="61" spans="2:15" ht="15.6" thickTop="1" thickBot="1" x14ac:dyDescent="0.35">
      <c r="B61" s="373"/>
      <c r="C61" s="374"/>
      <c r="D61" s="177" t="s">
        <v>346</v>
      </c>
      <c r="E61" s="72">
        <v>44788</v>
      </c>
      <c r="G61" s="373"/>
      <c r="H61" s="374"/>
      <c r="I61" s="177" t="s">
        <v>346</v>
      </c>
      <c r="J61" s="72">
        <v>44788</v>
      </c>
      <c r="L61" s="373"/>
      <c r="M61" s="374"/>
      <c r="N61" s="177" t="s">
        <v>346</v>
      </c>
      <c r="O61" s="72">
        <v>44788</v>
      </c>
    </row>
    <row r="62" spans="2:15" ht="15.6" thickTop="1" thickBot="1" x14ac:dyDescent="0.35">
      <c r="B62" s="375"/>
      <c r="C62" s="376"/>
      <c r="D62" s="177" t="s">
        <v>344</v>
      </c>
      <c r="E62" s="72">
        <v>44999</v>
      </c>
      <c r="G62" s="375"/>
      <c r="H62" s="376"/>
      <c r="I62" s="177" t="s">
        <v>344</v>
      </c>
      <c r="J62" s="72">
        <v>45030</v>
      </c>
      <c r="L62" s="375"/>
      <c r="M62" s="376"/>
      <c r="N62" s="177" t="s">
        <v>344</v>
      </c>
      <c r="O62" s="72">
        <v>45060</v>
      </c>
    </row>
    <row r="63" spans="2:15" ht="15.6" thickTop="1" thickBot="1" x14ac:dyDescent="0.35">
      <c r="B63" s="57" t="s">
        <v>89</v>
      </c>
      <c r="C63" s="2"/>
      <c r="D63" s="2"/>
      <c r="E63" s="114">
        <v>910</v>
      </c>
      <c r="G63" s="57" t="s">
        <v>89</v>
      </c>
      <c r="H63" s="2"/>
      <c r="I63" s="2"/>
      <c r="J63" s="114">
        <v>1040</v>
      </c>
      <c r="L63" s="57" t="s">
        <v>89</v>
      </c>
      <c r="M63" s="2"/>
      <c r="N63" s="2"/>
      <c r="O63" s="114">
        <v>1170</v>
      </c>
    </row>
    <row r="64" spans="2:15" ht="15.6" thickTop="1" thickBot="1" x14ac:dyDescent="0.35">
      <c r="B64" s="58" t="s">
        <v>162</v>
      </c>
      <c r="C64" s="59"/>
      <c r="D64" s="59"/>
      <c r="E64" s="120"/>
      <c r="G64" s="58" t="s">
        <v>162</v>
      </c>
      <c r="H64" s="59"/>
      <c r="I64" s="59"/>
      <c r="J64" s="120"/>
      <c r="L64" s="58" t="s">
        <v>162</v>
      </c>
      <c r="M64" s="59"/>
      <c r="N64" s="59"/>
      <c r="O64" s="120"/>
    </row>
    <row r="65" spans="2:15" ht="15" thickTop="1" x14ac:dyDescent="0.3">
      <c r="B65" s="118" t="s">
        <v>207</v>
      </c>
      <c r="C65" s="2"/>
      <c r="D65" s="2"/>
      <c r="E65" s="113">
        <v>1830</v>
      </c>
      <c r="G65" s="118" t="s">
        <v>207</v>
      </c>
      <c r="H65" s="2"/>
      <c r="I65" s="2"/>
      <c r="J65" s="113">
        <v>2310</v>
      </c>
      <c r="L65" s="118" t="s">
        <v>207</v>
      </c>
      <c r="M65" s="2"/>
      <c r="N65" s="2"/>
      <c r="O65" s="113">
        <v>2610</v>
      </c>
    </row>
    <row r="66" spans="2:15" x14ac:dyDescent="0.3">
      <c r="B66" s="119" t="s">
        <v>208</v>
      </c>
      <c r="C66" s="2"/>
      <c r="D66" s="2"/>
      <c r="E66" s="65">
        <v>100</v>
      </c>
      <c r="G66" s="119" t="s">
        <v>208</v>
      </c>
      <c r="H66" s="2"/>
      <c r="I66" s="2"/>
      <c r="J66" s="65">
        <v>100</v>
      </c>
      <c r="L66" s="119" t="s">
        <v>208</v>
      </c>
      <c r="M66" s="2"/>
      <c r="N66" s="2"/>
      <c r="O66" s="65">
        <v>100</v>
      </c>
    </row>
    <row r="67" spans="2:15" x14ac:dyDescent="0.3">
      <c r="B67" s="57" t="s">
        <v>100</v>
      </c>
      <c r="C67" s="2"/>
      <c r="D67" s="2"/>
      <c r="E67" s="66">
        <v>400</v>
      </c>
      <c r="G67" s="57" t="s">
        <v>100</v>
      </c>
      <c r="H67" s="2"/>
      <c r="I67" s="2"/>
      <c r="J67" s="66">
        <v>480</v>
      </c>
      <c r="L67" s="57" t="s">
        <v>100</v>
      </c>
      <c r="M67" s="2"/>
      <c r="N67" s="2"/>
      <c r="O67" s="66">
        <v>300</v>
      </c>
    </row>
    <row r="68" spans="2:15" x14ac:dyDescent="0.3">
      <c r="B68" s="119" t="s">
        <v>209</v>
      </c>
      <c r="C68" s="2"/>
      <c r="D68" s="2"/>
      <c r="E68" s="121">
        <v>101.4</v>
      </c>
      <c r="G68" s="119" t="s">
        <v>209</v>
      </c>
      <c r="H68" s="2"/>
      <c r="I68" s="2"/>
      <c r="J68" s="121">
        <v>135</v>
      </c>
      <c r="L68" s="119" t="s">
        <v>209</v>
      </c>
      <c r="M68" s="2"/>
      <c r="N68" s="2"/>
      <c r="O68" s="121">
        <v>159</v>
      </c>
    </row>
    <row r="69" spans="2:15" ht="15" thickBot="1" x14ac:dyDescent="0.35">
      <c r="B69" s="57" t="s">
        <v>102</v>
      </c>
      <c r="C69" s="2"/>
      <c r="D69" s="2"/>
      <c r="E69" s="66">
        <v>26</v>
      </c>
      <c r="G69" s="57" t="s">
        <v>102</v>
      </c>
      <c r="H69" s="2"/>
      <c r="I69" s="2"/>
      <c r="J69" s="66">
        <v>33.6</v>
      </c>
      <c r="L69" s="57" t="s">
        <v>102</v>
      </c>
      <c r="M69" s="2"/>
      <c r="N69" s="2"/>
      <c r="O69" s="66">
        <v>24</v>
      </c>
    </row>
    <row r="70" spans="2:15" ht="15.6" thickTop="1" thickBot="1" x14ac:dyDescent="0.35">
      <c r="B70" s="122" t="s">
        <v>39</v>
      </c>
      <c r="C70" s="59"/>
      <c r="D70" s="59"/>
      <c r="E70" s="120"/>
      <c r="G70" s="122" t="s">
        <v>39</v>
      </c>
      <c r="H70" s="59"/>
      <c r="I70" s="59"/>
      <c r="J70" s="120"/>
      <c r="L70" s="122" t="s">
        <v>39</v>
      </c>
      <c r="M70" s="59"/>
      <c r="N70" s="59"/>
      <c r="O70" s="120"/>
    </row>
    <row r="71" spans="2:15" ht="15" thickTop="1" x14ac:dyDescent="0.3">
      <c r="B71" s="57" t="s">
        <v>98</v>
      </c>
      <c r="C71" s="2"/>
      <c r="D71" s="2"/>
      <c r="E71" s="65">
        <v>1019.67</v>
      </c>
      <c r="G71" s="57" t="s">
        <v>98</v>
      </c>
      <c r="H71" s="2"/>
      <c r="I71" s="2"/>
      <c r="J71" s="65">
        <v>1320.3400000000001</v>
      </c>
      <c r="L71" s="57" t="s">
        <v>98</v>
      </c>
      <c r="M71" s="2"/>
      <c r="N71" s="2"/>
      <c r="O71" s="65">
        <v>1801.0000000000002</v>
      </c>
    </row>
    <row r="72" spans="2:15" x14ac:dyDescent="0.3">
      <c r="B72" s="57" t="s">
        <v>101</v>
      </c>
      <c r="C72" s="2"/>
      <c r="D72" s="2"/>
      <c r="E72" s="66">
        <v>175.67000000000002</v>
      </c>
      <c r="G72" s="57" t="s">
        <v>101</v>
      </c>
      <c r="H72" s="2"/>
      <c r="I72" s="2"/>
      <c r="J72" s="66">
        <v>300.67</v>
      </c>
      <c r="L72" s="57" t="s">
        <v>101</v>
      </c>
      <c r="M72" s="2"/>
      <c r="N72" s="2"/>
      <c r="O72" s="66">
        <v>480.65999999999997</v>
      </c>
    </row>
    <row r="73" spans="2:15" ht="15" thickBot="1" x14ac:dyDescent="0.35">
      <c r="B73" s="70" t="s">
        <v>93</v>
      </c>
      <c r="C73" s="69"/>
      <c r="D73" s="60"/>
      <c r="E73" s="68">
        <v>810.33</v>
      </c>
      <c r="G73" s="70" t="s">
        <v>93</v>
      </c>
      <c r="H73" s="69"/>
      <c r="I73" s="60"/>
      <c r="J73" s="68">
        <v>989.65999999999985</v>
      </c>
      <c r="L73" s="70" t="s">
        <v>93</v>
      </c>
      <c r="M73" s="69"/>
      <c r="N73" s="60"/>
      <c r="O73" s="68">
        <v>808.99999999999977</v>
      </c>
    </row>
    <row r="74" spans="2:15" ht="15" thickTop="1" x14ac:dyDescent="0.3">
      <c r="B74" s="57" t="s">
        <v>99</v>
      </c>
      <c r="C74" s="2"/>
      <c r="D74" s="2"/>
      <c r="E74" s="65">
        <v>43.199999999999996</v>
      </c>
      <c r="G74" s="57" t="s">
        <v>99</v>
      </c>
      <c r="H74" s="2"/>
      <c r="I74" s="2"/>
      <c r="J74" s="65">
        <v>64.599999999999994</v>
      </c>
      <c r="L74" s="57" t="s">
        <v>99</v>
      </c>
      <c r="M74" s="2"/>
      <c r="N74" s="2"/>
      <c r="O74" s="65">
        <v>95.6</v>
      </c>
    </row>
    <row r="75" spans="2:15" x14ac:dyDescent="0.3">
      <c r="B75" s="57" t="s">
        <v>103</v>
      </c>
      <c r="C75" s="2"/>
      <c r="D75" s="2"/>
      <c r="E75" s="66">
        <v>13.4</v>
      </c>
      <c r="G75" s="57" t="s">
        <v>103</v>
      </c>
      <c r="H75" s="2"/>
      <c r="I75" s="2"/>
      <c r="J75" s="66">
        <v>21.4</v>
      </c>
      <c r="L75" s="57" t="s">
        <v>103</v>
      </c>
      <c r="M75" s="2"/>
      <c r="N75" s="2"/>
      <c r="O75" s="66">
        <v>31</v>
      </c>
    </row>
    <row r="76" spans="2:15" ht="15" thickBot="1" x14ac:dyDescent="0.35">
      <c r="B76" s="70" t="s">
        <v>95</v>
      </c>
      <c r="C76" s="60"/>
      <c r="D76" s="60"/>
      <c r="E76" s="68">
        <v>58.20000000000001</v>
      </c>
      <c r="G76" s="70" t="s">
        <v>95</v>
      </c>
      <c r="H76" s="60"/>
      <c r="I76" s="60"/>
      <c r="J76" s="68">
        <v>70.400000000000006</v>
      </c>
      <c r="L76" s="70" t="s">
        <v>95</v>
      </c>
      <c r="M76" s="60"/>
      <c r="N76" s="60"/>
      <c r="O76" s="68">
        <v>63.400000000000006</v>
      </c>
    </row>
    <row r="77" spans="2:15" ht="15.6" thickTop="1" thickBot="1" x14ac:dyDescent="0.35">
      <c r="B77" s="58" t="s">
        <v>210</v>
      </c>
      <c r="C77" s="123"/>
      <c r="D77" s="59"/>
      <c r="E77" s="127"/>
      <c r="G77" s="58" t="s">
        <v>210</v>
      </c>
      <c r="H77" s="123"/>
      <c r="I77" s="59"/>
      <c r="J77" s="127"/>
      <c r="L77" s="58" t="s">
        <v>210</v>
      </c>
      <c r="M77" s="123"/>
      <c r="N77" s="59"/>
      <c r="O77" s="127"/>
    </row>
    <row r="78" spans="2:15" ht="15" thickTop="1" x14ac:dyDescent="0.3">
      <c r="B78" s="57" t="s">
        <v>260</v>
      </c>
      <c r="C78" s="115"/>
      <c r="D78" s="2"/>
      <c r="E78" s="67">
        <v>10</v>
      </c>
      <c r="G78" s="57" t="s">
        <v>260</v>
      </c>
      <c r="H78" s="115"/>
      <c r="I78" s="2"/>
      <c r="J78" s="67">
        <v>10</v>
      </c>
      <c r="L78" s="57" t="s">
        <v>260</v>
      </c>
      <c r="M78" s="115"/>
      <c r="N78" s="2"/>
      <c r="O78" s="67">
        <v>10</v>
      </c>
    </row>
    <row r="79" spans="2:15" x14ac:dyDescent="0.3">
      <c r="B79" s="57" t="s">
        <v>314</v>
      </c>
      <c r="C79" s="124"/>
      <c r="D79" s="125"/>
      <c r="E79" s="65">
        <v>100</v>
      </c>
      <c r="G79" s="57" t="s">
        <v>314</v>
      </c>
      <c r="H79" s="124"/>
      <c r="I79" s="125"/>
      <c r="J79" s="65">
        <v>100</v>
      </c>
      <c r="L79" s="57" t="s">
        <v>314</v>
      </c>
      <c r="M79" s="124"/>
      <c r="N79" s="125"/>
      <c r="O79" s="65">
        <v>100</v>
      </c>
    </row>
    <row r="80" spans="2:15" x14ac:dyDescent="0.3">
      <c r="B80" s="57" t="s">
        <v>227</v>
      </c>
      <c r="C80" s="124"/>
      <c r="D80" s="125"/>
      <c r="E80" s="65">
        <v>0</v>
      </c>
      <c r="G80" s="57" t="s">
        <v>227</v>
      </c>
      <c r="H80" s="124"/>
      <c r="I80" s="125"/>
      <c r="J80" s="65">
        <v>0</v>
      </c>
      <c r="L80" s="57" t="s">
        <v>227</v>
      </c>
      <c r="M80" s="124"/>
      <c r="N80" s="125"/>
      <c r="O80" s="65">
        <v>0</v>
      </c>
    </row>
    <row r="81" spans="2:15" x14ac:dyDescent="0.3">
      <c r="B81" s="57" t="s">
        <v>91</v>
      </c>
      <c r="C81" s="2"/>
      <c r="D81" s="2"/>
      <c r="E81" s="64">
        <v>910</v>
      </c>
      <c r="G81" s="57" t="s">
        <v>91</v>
      </c>
      <c r="H81" s="2"/>
      <c r="I81" s="2"/>
      <c r="J81" s="64">
        <v>1040</v>
      </c>
      <c r="L81" s="57" t="s">
        <v>91</v>
      </c>
      <c r="M81" s="2"/>
      <c r="N81" s="2"/>
      <c r="O81" s="64">
        <v>1170</v>
      </c>
    </row>
    <row r="82" spans="2:15" x14ac:dyDescent="0.3">
      <c r="B82" s="57" t="s">
        <v>97</v>
      </c>
      <c r="C82" s="2"/>
      <c r="D82" s="2"/>
      <c r="E82" s="63">
        <v>70</v>
      </c>
      <c r="G82" s="57" t="s">
        <v>97</v>
      </c>
      <c r="H82" s="2"/>
      <c r="I82" s="2"/>
      <c r="J82" s="63">
        <v>80</v>
      </c>
      <c r="L82" s="57" t="s">
        <v>97</v>
      </c>
      <c r="M82" s="2"/>
      <c r="N82" s="2"/>
      <c r="O82" s="63">
        <v>90</v>
      </c>
    </row>
    <row r="83" spans="2:15" x14ac:dyDescent="0.3">
      <c r="B83" s="57" t="s">
        <v>315</v>
      </c>
      <c r="C83" s="2"/>
      <c r="D83" s="2"/>
      <c r="E83" s="64">
        <v>11.400000000000006</v>
      </c>
      <c r="G83" s="57" t="s">
        <v>315</v>
      </c>
      <c r="H83" s="2"/>
      <c r="I83" s="2"/>
      <c r="J83" s="64">
        <v>45</v>
      </c>
      <c r="L83" s="57" t="s">
        <v>315</v>
      </c>
      <c r="M83" s="2"/>
      <c r="N83" s="2"/>
      <c r="O83" s="64">
        <v>69</v>
      </c>
    </row>
    <row r="84" spans="2:15" ht="15" thickBot="1" x14ac:dyDescent="0.35">
      <c r="B84" s="57" t="s">
        <v>94</v>
      </c>
      <c r="C84" s="2"/>
      <c r="D84" s="126"/>
      <c r="E84" s="176">
        <v>52.87</v>
      </c>
      <c r="G84" s="57" t="s">
        <v>94</v>
      </c>
      <c r="H84" s="2"/>
      <c r="I84" s="126"/>
      <c r="J84" s="176">
        <v>24.94</v>
      </c>
      <c r="L84" s="57" t="s">
        <v>94</v>
      </c>
      <c r="M84" s="2"/>
      <c r="N84" s="126"/>
      <c r="O84" s="176">
        <v>366.6</v>
      </c>
    </row>
    <row r="85" spans="2:15" ht="15.6" thickTop="1" thickBot="1" x14ac:dyDescent="0.35">
      <c r="B85" s="61" t="s">
        <v>92</v>
      </c>
      <c r="C85" s="62"/>
      <c r="D85" s="128"/>
      <c r="E85" s="129">
        <v>921.4</v>
      </c>
      <c r="G85" s="61" t="s">
        <v>92</v>
      </c>
      <c r="H85" s="62"/>
      <c r="I85" s="128"/>
      <c r="J85" s="129">
        <v>1085</v>
      </c>
      <c r="L85" s="61" t="s">
        <v>92</v>
      </c>
      <c r="M85" s="62"/>
      <c r="N85" s="128"/>
      <c r="O85" s="129">
        <v>1239</v>
      </c>
    </row>
    <row r="86" spans="2:15" ht="15.6" thickTop="1" thickBot="1" x14ac:dyDescent="0.35">
      <c r="B86" s="61" t="s">
        <v>96</v>
      </c>
      <c r="C86" s="62"/>
      <c r="D86" s="128"/>
      <c r="E86" s="140">
        <v>921.40000000000009</v>
      </c>
      <c r="G86" s="61" t="s">
        <v>96</v>
      </c>
      <c r="H86" s="62"/>
      <c r="I86" s="128"/>
      <c r="J86" s="140">
        <v>1085</v>
      </c>
      <c r="L86" s="61" t="s">
        <v>96</v>
      </c>
      <c r="M86" s="62"/>
      <c r="N86" s="128"/>
      <c r="O86" s="140">
        <v>1238.9999999999998</v>
      </c>
    </row>
    <row r="87" spans="2:15" ht="15.6" thickTop="1" thickBot="1" x14ac:dyDescent="0.35">
      <c r="E87" s="199"/>
      <c r="J87" s="199"/>
      <c r="O87" s="199"/>
    </row>
    <row r="88" spans="2:15" ht="15.6" thickTop="1" thickBot="1" x14ac:dyDescent="0.35">
      <c r="B88" s="371" t="s">
        <v>90</v>
      </c>
      <c r="C88" s="372"/>
      <c r="D88" s="177" t="s">
        <v>345</v>
      </c>
      <c r="E88" s="72">
        <v>45061</v>
      </c>
      <c r="G88" s="371" t="s">
        <v>90</v>
      </c>
      <c r="H88" s="372"/>
      <c r="I88" s="177" t="s">
        <v>345</v>
      </c>
      <c r="J88" s="72">
        <v>45092</v>
      </c>
      <c r="L88" s="371" t="s">
        <v>90</v>
      </c>
      <c r="M88" s="372"/>
      <c r="N88" s="177" t="s">
        <v>345</v>
      </c>
      <c r="O88" s="72">
        <v>45122</v>
      </c>
    </row>
    <row r="89" spans="2:15" ht="15.6" thickTop="1" thickBot="1" x14ac:dyDescent="0.35">
      <c r="B89" s="373"/>
      <c r="C89" s="374"/>
      <c r="D89" s="177" t="s">
        <v>346</v>
      </c>
      <c r="E89" s="72">
        <v>44788</v>
      </c>
      <c r="G89" s="373"/>
      <c r="H89" s="374"/>
      <c r="I89" s="177" t="s">
        <v>346</v>
      </c>
      <c r="J89" s="72">
        <v>44788</v>
      </c>
      <c r="L89" s="373"/>
      <c r="M89" s="374"/>
      <c r="N89" s="177" t="s">
        <v>346</v>
      </c>
      <c r="O89" s="72">
        <v>44788</v>
      </c>
    </row>
    <row r="90" spans="2:15" ht="15.6" thickTop="1" thickBot="1" x14ac:dyDescent="0.35">
      <c r="B90" s="375"/>
      <c r="C90" s="376"/>
      <c r="D90" s="177" t="s">
        <v>344</v>
      </c>
      <c r="E90" s="72">
        <v>45091</v>
      </c>
      <c r="G90" s="375"/>
      <c r="H90" s="376"/>
      <c r="I90" s="177" t="s">
        <v>344</v>
      </c>
      <c r="J90" s="72">
        <v>45121</v>
      </c>
      <c r="L90" s="375"/>
      <c r="M90" s="376"/>
      <c r="N90" s="177" t="s">
        <v>344</v>
      </c>
      <c r="O90" s="72">
        <v>45152</v>
      </c>
    </row>
    <row r="91" spans="2:15" ht="15.6" thickTop="1" thickBot="1" x14ac:dyDescent="0.35">
      <c r="B91" s="57" t="s">
        <v>89</v>
      </c>
      <c r="C91" s="2"/>
      <c r="D91" s="2"/>
      <c r="E91" s="114">
        <v>1300</v>
      </c>
      <c r="G91" s="57" t="s">
        <v>89</v>
      </c>
      <c r="H91" s="2"/>
      <c r="I91" s="2"/>
      <c r="J91" s="114">
        <v>1430</v>
      </c>
      <c r="L91" s="57" t="s">
        <v>89</v>
      </c>
      <c r="M91" s="2"/>
      <c r="N91" s="2"/>
      <c r="O91" s="114">
        <v>1560</v>
      </c>
    </row>
    <row r="92" spans="2:15" ht="15.6" thickTop="1" thickBot="1" x14ac:dyDescent="0.35">
      <c r="B92" s="58" t="s">
        <v>162</v>
      </c>
      <c r="C92" s="59"/>
      <c r="D92" s="59"/>
      <c r="E92" s="120"/>
      <c r="G92" s="58" t="s">
        <v>162</v>
      </c>
      <c r="H92" s="59"/>
      <c r="I92" s="59"/>
      <c r="J92" s="120"/>
      <c r="L92" s="58" t="s">
        <v>162</v>
      </c>
      <c r="M92" s="59"/>
      <c r="N92" s="59"/>
      <c r="O92" s="120"/>
    </row>
    <row r="93" spans="2:15" ht="15" thickTop="1" x14ac:dyDescent="0.3">
      <c r="B93" s="118" t="s">
        <v>207</v>
      </c>
      <c r="C93" s="2"/>
      <c r="D93" s="2"/>
      <c r="E93" s="113">
        <v>2910</v>
      </c>
      <c r="G93" s="118" t="s">
        <v>207</v>
      </c>
      <c r="H93" s="2"/>
      <c r="I93" s="2"/>
      <c r="J93" s="113">
        <v>3910</v>
      </c>
      <c r="L93" s="118" t="s">
        <v>207</v>
      </c>
      <c r="M93" s="2"/>
      <c r="N93" s="2"/>
      <c r="O93" s="113">
        <v>4210</v>
      </c>
    </row>
    <row r="94" spans="2:15" x14ac:dyDescent="0.3">
      <c r="B94" s="119" t="s">
        <v>208</v>
      </c>
      <c r="C94" s="2"/>
      <c r="D94" s="2"/>
      <c r="E94" s="65">
        <v>100</v>
      </c>
      <c r="G94" s="119" t="s">
        <v>208</v>
      </c>
      <c r="H94" s="2"/>
      <c r="I94" s="2"/>
      <c r="J94" s="65">
        <v>100</v>
      </c>
      <c r="L94" s="119" t="s">
        <v>208</v>
      </c>
      <c r="M94" s="2"/>
      <c r="N94" s="2"/>
      <c r="O94" s="65">
        <v>100</v>
      </c>
    </row>
    <row r="95" spans="2:15" x14ac:dyDescent="0.3">
      <c r="B95" s="57" t="s">
        <v>100</v>
      </c>
      <c r="C95" s="2"/>
      <c r="D95" s="2"/>
      <c r="E95" s="66">
        <v>300</v>
      </c>
      <c r="G95" s="57" t="s">
        <v>100</v>
      </c>
      <c r="H95" s="2"/>
      <c r="I95" s="2"/>
      <c r="J95" s="66">
        <v>1000</v>
      </c>
      <c r="L95" s="57" t="s">
        <v>100</v>
      </c>
      <c r="M95" s="2"/>
      <c r="N95" s="2"/>
      <c r="O95" s="66">
        <v>300</v>
      </c>
    </row>
    <row r="96" spans="2:15" x14ac:dyDescent="0.3">
      <c r="B96" s="119" t="s">
        <v>209</v>
      </c>
      <c r="C96" s="2"/>
      <c r="D96" s="2"/>
      <c r="E96" s="121">
        <v>175</v>
      </c>
      <c r="G96" s="119" t="s">
        <v>209</v>
      </c>
      <c r="H96" s="2"/>
      <c r="I96" s="2"/>
      <c r="J96" s="121">
        <v>255</v>
      </c>
      <c r="L96" s="119" t="s">
        <v>209</v>
      </c>
      <c r="M96" s="2"/>
      <c r="N96" s="2"/>
      <c r="O96" s="121">
        <v>261</v>
      </c>
    </row>
    <row r="97" spans="2:15" ht="15" thickBot="1" x14ac:dyDescent="0.35">
      <c r="B97" s="57" t="s">
        <v>102</v>
      </c>
      <c r="C97" s="2"/>
      <c r="D97" s="2"/>
      <c r="E97" s="66">
        <v>16</v>
      </c>
      <c r="G97" s="57" t="s">
        <v>102</v>
      </c>
      <c r="H97" s="2"/>
      <c r="I97" s="2"/>
      <c r="J97" s="66">
        <v>80</v>
      </c>
      <c r="L97" s="57" t="s">
        <v>102</v>
      </c>
      <c r="M97" s="2"/>
      <c r="N97" s="2"/>
      <c r="O97" s="66">
        <v>6</v>
      </c>
    </row>
    <row r="98" spans="2:15" ht="15.6" thickTop="1" thickBot="1" x14ac:dyDescent="0.35">
      <c r="B98" s="122" t="s">
        <v>39</v>
      </c>
      <c r="C98" s="59"/>
      <c r="D98" s="59"/>
      <c r="E98" s="120"/>
      <c r="G98" s="122" t="s">
        <v>39</v>
      </c>
      <c r="H98" s="59"/>
      <c r="I98" s="59"/>
      <c r="J98" s="120"/>
      <c r="L98" s="122" t="s">
        <v>39</v>
      </c>
      <c r="M98" s="59"/>
      <c r="N98" s="59"/>
      <c r="O98" s="120"/>
    </row>
    <row r="99" spans="2:15" ht="15" thickTop="1" x14ac:dyDescent="0.3">
      <c r="B99" s="57" t="s">
        <v>98</v>
      </c>
      <c r="C99" s="2"/>
      <c r="D99" s="2"/>
      <c r="E99" s="65">
        <v>2160</v>
      </c>
      <c r="G99" s="57" t="s">
        <v>98</v>
      </c>
      <c r="H99" s="2"/>
      <c r="I99" s="2"/>
      <c r="J99" s="65">
        <v>2485</v>
      </c>
      <c r="L99" s="57" t="s">
        <v>98</v>
      </c>
      <c r="M99" s="2"/>
      <c r="N99" s="2"/>
      <c r="O99" s="65">
        <v>2785</v>
      </c>
    </row>
    <row r="100" spans="2:15" x14ac:dyDescent="0.3">
      <c r="B100" s="57" t="s">
        <v>101</v>
      </c>
      <c r="C100" s="2"/>
      <c r="D100" s="2"/>
      <c r="E100" s="66">
        <v>359</v>
      </c>
      <c r="G100" s="57" t="s">
        <v>101</v>
      </c>
      <c r="H100" s="2"/>
      <c r="I100" s="2"/>
      <c r="J100" s="66">
        <v>325</v>
      </c>
      <c r="L100" s="57" t="s">
        <v>101</v>
      </c>
      <c r="M100" s="2"/>
      <c r="N100" s="2"/>
      <c r="O100" s="66">
        <v>300</v>
      </c>
    </row>
    <row r="101" spans="2:15" ht="15" thickBot="1" x14ac:dyDescent="0.35">
      <c r="B101" s="70" t="s">
        <v>93</v>
      </c>
      <c r="C101" s="69"/>
      <c r="D101" s="60"/>
      <c r="E101" s="68">
        <v>750</v>
      </c>
      <c r="G101" s="70" t="s">
        <v>93</v>
      </c>
      <c r="H101" s="69"/>
      <c r="I101" s="60"/>
      <c r="J101" s="68">
        <v>1425</v>
      </c>
      <c r="L101" s="70" t="s">
        <v>93</v>
      </c>
      <c r="M101" s="69"/>
      <c r="N101" s="60"/>
      <c r="O101" s="68">
        <v>1425</v>
      </c>
    </row>
    <row r="102" spans="2:15" ht="15" thickTop="1" x14ac:dyDescent="0.3">
      <c r="B102" s="57" t="s">
        <v>99</v>
      </c>
      <c r="C102" s="2"/>
      <c r="D102" s="2"/>
      <c r="E102" s="65">
        <v>123</v>
      </c>
      <c r="G102" s="57" t="s">
        <v>99</v>
      </c>
      <c r="H102" s="2"/>
      <c r="I102" s="2"/>
      <c r="J102" s="65">
        <v>145</v>
      </c>
      <c r="L102" s="57" t="s">
        <v>99</v>
      </c>
      <c r="M102" s="2"/>
      <c r="N102" s="2"/>
      <c r="O102" s="65">
        <v>185</v>
      </c>
    </row>
    <row r="103" spans="2:15" x14ac:dyDescent="0.3">
      <c r="B103" s="57" t="s">
        <v>103</v>
      </c>
      <c r="C103" s="2"/>
      <c r="D103" s="2"/>
      <c r="E103" s="66">
        <v>27.4</v>
      </c>
      <c r="G103" s="57" t="s">
        <v>103</v>
      </c>
      <c r="H103" s="2"/>
      <c r="I103" s="2"/>
      <c r="J103" s="66">
        <v>22</v>
      </c>
      <c r="L103" s="57" t="s">
        <v>103</v>
      </c>
      <c r="M103" s="2"/>
      <c r="N103" s="2"/>
      <c r="O103" s="66">
        <v>40</v>
      </c>
    </row>
    <row r="104" spans="2:15" ht="15" thickBot="1" x14ac:dyDescent="0.35">
      <c r="B104" s="70" t="s">
        <v>95</v>
      </c>
      <c r="C104" s="60"/>
      <c r="D104" s="60"/>
      <c r="E104" s="68">
        <v>52</v>
      </c>
      <c r="G104" s="70" t="s">
        <v>95</v>
      </c>
      <c r="H104" s="60"/>
      <c r="I104" s="60"/>
      <c r="J104" s="68">
        <v>110</v>
      </c>
      <c r="L104" s="70" t="s">
        <v>95</v>
      </c>
      <c r="M104" s="60"/>
      <c r="N104" s="60"/>
      <c r="O104" s="68">
        <v>76</v>
      </c>
    </row>
    <row r="105" spans="2:15" ht="15.6" thickTop="1" thickBot="1" x14ac:dyDescent="0.35">
      <c r="B105" s="58" t="s">
        <v>210</v>
      </c>
      <c r="C105" s="123"/>
      <c r="D105" s="59"/>
      <c r="E105" s="127"/>
      <c r="G105" s="58" t="s">
        <v>210</v>
      </c>
      <c r="H105" s="123"/>
      <c r="I105" s="59"/>
      <c r="J105" s="127"/>
      <c r="L105" s="58" t="s">
        <v>210</v>
      </c>
      <c r="M105" s="123"/>
      <c r="N105" s="59"/>
      <c r="O105" s="127"/>
    </row>
    <row r="106" spans="2:15" ht="15" thickTop="1" x14ac:dyDescent="0.3">
      <c r="B106" s="57" t="s">
        <v>260</v>
      </c>
      <c r="C106" s="115"/>
      <c r="D106" s="2"/>
      <c r="E106" s="67">
        <v>10</v>
      </c>
      <c r="G106" s="57" t="s">
        <v>260</v>
      </c>
      <c r="H106" s="115"/>
      <c r="I106" s="2"/>
      <c r="J106" s="67">
        <v>10</v>
      </c>
      <c r="L106" s="57" t="s">
        <v>260</v>
      </c>
      <c r="M106" s="115"/>
      <c r="N106" s="2"/>
      <c r="O106" s="67">
        <v>10</v>
      </c>
    </row>
    <row r="107" spans="2:15" x14ac:dyDescent="0.3">
      <c r="B107" s="57" t="s">
        <v>314</v>
      </c>
      <c r="C107" s="124"/>
      <c r="D107" s="125"/>
      <c r="E107" s="65">
        <v>100</v>
      </c>
      <c r="G107" s="57" t="s">
        <v>314</v>
      </c>
      <c r="H107" s="124"/>
      <c r="I107" s="125"/>
      <c r="J107" s="65">
        <v>100</v>
      </c>
      <c r="L107" s="57" t="s">
        <v>314</v>
      </c>
      <c r="M107" s="124"/>
      <c r="N107" s="125"/>
      <c r="O107" s="65">
        <v>100</v>
      </c>
    </row>
    <row r="108" spans="2:15" x14ac:dyDescent="0.3">
      <c r="B108" s="57" t="s">
        <v>227</v>
      </c>
      <c r="C108" s="124"/>
      <c r="D108" s="125"/>
      <c r="E108" s="65">
        <v>0</v>
      </c>
      <c r="G108" s="57" t="s">
        <v>227</v>
      </c>
      <c r="H108" s="124"/>
      <c r="I108" s="125"/>
      <c r="J108" s="65">
        <v>0</v>
      </c>
      <c r="L108" s="57" t="s">
        <v>227</v>
      </c>
      <c r="M108" s="124"/>
      <c r="N108" s="125"/>
      <c r="O108" s="65">
        <v>0</v>
      </c>
    </row>
    <row r="109" spans="2:15" x14ac:dyDescent="0.3">
      <c r="B109" s="57" t="s">
        <v>91</v>
      </c>
      <c r="C109" s="2"/>
      <c r="D109" s="2"/>
      <c r="E109" s="64">
        <v>1300</v>
      </c>
      <c r="G109" s="57" t="s">
        <v>91</v>
      </c>
      <c r="H109" s="2"/>
      <c r="I109" s="2"/>
      <c r="J109" s="64">
        <v>1430</v>
      </c>
      <c r="L109" s="57" t="s">
        <v>91</v>
      </c>
      <c r="M109" s="2"/>
      <c r="N109" s="2"/>
      <c r="O109" s="64">
        <v>1560</v>
      </c>
    </row>
    <row r="110" spans="2:15" x14ac:dyDescent="0.3">
      <c r="B110" s="57" t="s">
        <v>97</v>
      </c>
      <c r="C110" s="2"/>
      <c r="D110" s="2"/>
      <c r="E110" s="63">
        <v>100</v>
      </c>
      <c r="G110" s="57" t="s">
        <v>97</v>
      </c>
      <c r="H110" s="2"/>
      <c r="I110" s="2"/>
      <c r="J110" s="63">
        <v>110</v>
      </c>
      <c r="L110" s="57" t="s">
        <v>97</v>
      </c>
      <c r="M110" s="2"/>
      <c r="N110" s="2"/>
      <c r="O110" s="63">
        <v>120</v>
      </c>
    </row>
    <row r="111" spans="2:15" x14ac:dyDescent="0.3">
      <c r="B111" s="57" t="s">
        <v>315</v>
      </c>
      <c r="C111" s="2"/>
      <c r="D111" s="2"/>
      <c r="E111" s="64">
        <v>85</v>
      </c>
      <c r="G111" s="57" t="s">
        <v>315</v>
      </c>
      <c r="H111" s="2"/>
      <c r="I111" s="2"/>
      <c r="J111" s="64">
        <v>165</v>
      </c>
      <c r="L111" s="57" t="s">
        <v>315</v>
      </c>
      <c r="M111" s="2"/>
      <c r="N111" s="2"/>
      <c r="O111" s="64">
        <v>171</v>
      </c>
    </row>
    <row r="112" spans="2:15" ht="15" thickBot="1" x14ac:dyDescent="0.35">
      <c r="B112" s="57" t="s">
        <v>94</v>
      </c>
      <c r="C112" s="2"/>
      <c r="D112" s="126"/>
      <c r="E112" s="176">
        <v>583</v>
      </c>
      <c r="G112" s="57" t="s">
        <v>94</v>
      </c>
      <c r="H112" s="2"/>
      <c r="I112" s="126"/>
      <c r="J112" s="176">
        <v>60</v>
      </c>
      <c r="L112" s="57" t="s">
        <v>94</v>
      </c>
      <c r="M112" s="2"/>
      <c r="N112" s="126"/>
      <c r="O112" s="176">
        <v>230</v>
      </c>
    </row>
    <row r="113" spans="2:15" ht="15.6" thickTop="1" thickBot="1" x14ac:dyDescent="0.35">
      <c r="B113" s="61" t="s">
        <v>92</v>
      </c>
      <c r="C113" s="62"/>
      <c r="D113" s="128"/>
      <c r="E113" s="129">
        <v>1385</v>
      </c>
      <c r="G113" s="61" t="s">
        <v>92</v>
      </c>
      <c r="H113" s="62"/>
      <c r="I113" s="128"/>
      <c r="J113" s="129">
        <v>1595</v>
      </c>
      <c r="L113" s="61" t="s">
        <v>92</v>
      </c>
      <c r="M113" s="62"/>
      <c r="N113" s="128"/>
      <c r="O113" s="129">
        <v>1731</v>
      </c>
    </row>
    <row r="114" spans="2:15" ht="15.6" thickTop="1" thickBot="1" x14ac:dyDescent="0.35">
      <c r="B114" s="61" t="s">
        <v>96</v>
      </c>
      <c r="C114" s="62"/>
      <c r="D114" s="128"/>
      <c r="E114" s="140">
        <v>1385</v>
      </c>
      <c r="G114" s="61" t="s">
        <v>96</v>
      </c>
      <c r="H114" s="62"/>
      <c r="I114" s="128"/>
      <c r="J114" s="140">
        <v>1595</v>
      </c>
      <c r="L114" s="61" t="s">
        <v>96</v>
      </c>
      <c r="M114" s="62"/>
      <c r="N114" s="128"/>
      <c r="O114" s="140">
        <v>1731</v>
      </c>
    </row>
    <row r="115" spans="2:15" ht="15" thickTop="1" x14ac:dyDescent="0.3">
      <c r="E115" s="199"/>
      <c r="J115" s="199"/>
      <c r="O115" s="199"/>
    </row>
    <row r="116" spans="2:15" ht="15" thickBot="1" x14ac:dyDescent="0.35">
      <c r="E116" s="199"/>
      <c r="J116" s="199"/>
      <c r="O116" s="199"/>
    </row>
    <row r="117" spans="2:15" ht="15.6" thickTop="1" thickBot="1" x14ac:dyDescent="0.35">
      <c r="B117" s="371" t="s">
        <v>90</v>
      </c>
      <c r="C117" s="372"/>
      <c r="D117" s="177" t="s">
        <v>345</v>
      </c>
      <c r="E117" s="72">
        <v>45153</v>
      </c>
      <c r="G117" s="371" t="s">
        <v>90</v>
      </c>
      <c r="H117" s="372"/>
      <c r="I117" s="177" t="s">
        <v>345</v>
      </c>
      <c r="J117" s="72">
        <v>45184</v>
      </c>
      <c r="L117" s="371" t="s">
        <v>90</v>
      </c>
      <c r="M117" s="372"/>
      <c r="N117" s="177" t="s">
        <v>345</v>
      </c>
      <c r="O117" s="72">
        <v>45214</v>
      </c>
    </row>
    <row r="118" spans="2:15" ht="15.6" thickTop="1" thickBot="1" x14ac:dyDescent="0.35">
      <c r="B118" s="373"/>
      <c r="C118" s="374"/>
      <c r="D118" s="177" t="s">
        <v>346</v>
      </c>
      <c r="E118" s="72">
        <v>44788</v>
      </c>
      <c r="G118" s="373"/>
      <c r="H118" s="374"/>
      <c r="I118" s="177" t="s">
        <v>346</v>
      </c>
      <c r="J118" s="72">
        <v>44788</v>
      </c>
      <c r="L118" s="373"/>
      <c r="M118" s="374"/>
      <c r="N118" s="177" t="s">
        <v>346</v>
      </c>
      <c r="O118" s="72">
        <v>44788</v>
      </c>
    </row>
    <row r="119" spans="2:15" ht="15.6" thickTop="1" thickBot="1" x14ac:dyDescent="0.35">
      <c r="B119" s="375"/>
      <c r="C119" s="376"/>
      <c r="D119" s="177" t="s">
        <v>344</v>
      </c>
      <c r="E119" s="72">
        <v>45183</v>
      </c>
      <c r="G119" s="375"/>
      <c r="H119" s="376"/>
      <c r="I119" s="177" t="s">
        <v>344</v>
      </c>
      <c r="J119" s="72">
        <v>45213</v>
      </c>
      <c r="L119" s="375"/>
      <c r="M119" s="376"/>
      <c r="N119" s="177" t="s">
        <v>344</v>
      </c>
      <c r="O119" s="72">
        <v>45244</v>
      </c>
    </row>
    <row r="120" spans="2:15" ht="15.6" thickTop="1" thickBot="1" x14ac:dyDescent="0.35">
      <c r="B120" s="57" t="s">
        <v>89</v>
      </c>
      <c r="C120" s="2"/>
      <c r="D120" s="2"/>
      <c r="E120" s="114">
        <v>1690</v>
      </c>
      <c r="G120" s="57" t="s">
        <v>89</v>
      </c>
      <c r="H120" s="2"/>
      <c r="I120" s="2"/>
      <c r="J120" s="114">
        <v>1820</v>
      </c>
      <c r="L120" s="57" t="s">
        <v>89</v>
      </c>
      <c r="M120" s="2"/>
      <c r="N120" s="2"/>
      <c r="O120" s="114">
        <v>1950</v>
      </c>
    </row>
    <row r="121" spans="2:15" ht="15.6" thickTop="1" thickBot="1" x14ac:dyDescent="0.35">
      <c r="B121" s="58" t="s">
        <v>162</v>
      </c>
      <c r="C121" s="59"/>
      <c r="D121" s="59"/>
      <c r="E121" s="120"/>
      <c r="G121" s="58" t="s">
        <v>162</v>
      </c>
      <c r="H121" s="59"/>
      <c r="I121" s="59"/>
      <c r="J121" s="120"/>
      <c r="L121" s="58" t="s">
        <v>162</v>
      </c>
      <c r="M121" s="59"/>
      <c r="N121" s="59"/>
      <c r="O121" s="120"/>
    </row>
    <row r="122" spans="2:15" ht="15" thickTop="1" x14ac:dyDescent="0.3">
      <c r="B122" s="118" t="s">
        <v>207</v>
      </c>
      <c r="C122" s="2"/>
      <c r="D122" s="2"/>
      <c r="E122" s="113">
        <v>4410</v>
      </c>
      <c r="G122" s="118" t="s">
        <v>207</v>
      </c>
      <c r="H122" s="2"/>
      <c r="I122" s="2"/>
      <c r="J122" s="113">
        <v>5110</v>
      </c>
      <c r="L122" s="118" t="s">
        <v>207</v>
      </c>
      <c r="M122" s="2"/>
      <c r="N122" s="2"/>
      <c r="O122" s="113">
        <v>6310</v>
      </c>
    </row>
    <row r="123" spans="2:15" x14ac:dyDescent="0.3">
      <c r="B123" s="119" t="s">
        <v>208</v>
      </c>
      <c r="C123" s="2"/>
      <c r="D123" s="2"/>
      <c r="E123" s="65">
        <v>100</v>
      </c>
      <c r="G123" s="119" t="s">
        <v>208</v>
      </c>
      <c r="H123" s="2"/>
      <c r="I123" s="2"/>
      <c r="J123" s="65">
        <v>100</v>
      </c>
      <c r="L123" s="119" t="s">
        <v>208</v>
      </c>
      <c r="M123" s="2"/>
      <c r="N123" s="2"/>
      <c r="O123" s="65">
        <v>100</v>
      </c>
    </row>
    <row r="124" spans="2:15" x14ac:dyDescent="0.3">
      <c r="B124" s="57" t="s">
        <v>100</v>
      </c>
      <c r="C124" s="2"/>
      <c r="D124" s="2"/>
      <c r="E124" s="66">
        <v>200</v>
      </c>
      <c r="G124" s="57" t="s">
        <v>100</v>
      </c>
      <c r="H124" s="2"/>
      <c r="I124" s="2"/>
      <c r="J124" s="66">
        <v>700</v>
      </c>
      <c r="L124" s="57" t="s">
        <v>100</v>
      </c>
      <c r="M124" s="2"/>
      <c r="N124" s="2"/>
      <c r="O124" s="66">
        <v>1200</v>
      </c>
    </row>
    <row r="125" spans="2:15" x14ac:dyDescent="0.3">
      <c r="B125" s="119" t="s">
        <v>209</v>
      </c>
      <c r="C125" s="2"/>
      <c r="D125" s="2"/>
      <c r="E125" s="121">
        <v>265</v>
      </c>
      <c r="G125" s="119" t="s">
        <v>209</v>
      </c>
      <c r="H125" s="2"/>
      <c r="I125" s="2"/>
      <c r="J125" s="121">
        <v>335</v>
      </c>
      <c r="L125" s="119" t="s">
        <v>209</v>
      </c>
      <c r="M125" s="2"/>
      <c r="N125" s="2"/>
      <c r="O125" s="121">
        <v>455</v>
      </c>
    </row>
    <row r="126" spans="2:15" ht="15" thickBot="1" x14ac:dyDescent="0.35">
      <c r="B126" s="57" t="s">
        <v>102</v>
      </c>
      <c r="C126" s="2"/>
      <c r="D126" s="2"/>
      <c r="E126" s="66">
        <v>4</v>
      </c>
      <c r="G126" s="57" t="s">
        <v>102</v>
      </c>
      <c r="H126" s="2"/>
      <c r="I126" s="2"/>
      <c r="J126" s="66">
        <v>70</v>
      </c>
      <c r="L126" s="57" t="s">
        <v>102</v>
      </c>
      <c r="M126" s="2"/>
      <c r="N126" s="2"/>
      <c r="O126" s="66">
        <v>120</v>
      </c>
    </row>
    <row r="127" spans="2:15" ht="15.6" thickTop="1" thickBot="1" x14ac:dyDescent="0.35">
      <c r="B127" s="122" t="s">
        <v>39</v>
      </c>
      <c r="C127" s="59"/>
      <c r="D127" s="59"/>
      <c r="E127" s="120"/>
      <c r="G127" s="122" t="s">
        <v>39</v>
      </c>
      <c r="H127" s="59"/>
      <c r="I127" s="59"/>
      <c r="J127" s="120"/>
      <c r="L127" s="122" t="s">
        <v>39</v>
      </c>
      <c r="M127" s="59"/>
      <c r="N127" s="59"/>
      <c r="O127" s="120"/>
    </row>
    <row r="128" spans="2:15" ht="15" thickTop="1" x14ac:dyDescent="0.3">
      <c r="B128" s="57" t="s">
        <v>98</v>
      </c>
      <c r="C128" s="2"/>
      <c r="D128" s="2"/>
      <c r="E128" s="65">
        <v>3185</v>
      </c>
      <c r="G128" s="57" t="s">
        <v>98</v>
      </c>
      <c r="H128" s="2"/>
      <c r="I128" s="2"/>
      <c r="J128" s="65">
        <v>3410</v>
      </c>
      <c r="L128" s="57" t="s">
        <v>98</v>
      </c>
      <c r="M128" s="2"/>
      <c r="N128" s="2"/>
      <c r="O128" s="65">
        <v>4535</v>
      </c>
    </row>
    <row r="129" spans="2:15" x14ac:dyDescent="0.3">
      <c r="B129" s="57" t="s">
        <v>101</v>
      </c>
      <c r="C129" s="2"/>
      <c r="D129" s="2"/>
      <c r="E129" s="66">
        <v>400</v>
      </c>
      <c r="G129" s="57" t="s">
        <v>101</v>
      </c>
      <c r="H129" s="2"/>
      <c r="I129" s="2"/>
      <c r="J129" s="66">
        <v>225</v>
      </c>
      <c r="L129" s="57" t="s">
        <v>101</v>
      </c>
      <c r="M129" s="2"/>
      <c r="N129" s="2"/>
      <c r="O129" s="66">
        <v>1125</v>
      </c>
    </row>
    <row r="130" spans="2:15" ht="15" thickBot="1" x14ac:dyDescent="0.35">
      <c r="B130" s="70" t="s">
        <v>93</v>
      </c>
      <c r="C130" s="69"/>
      <c r="D130" s="60"/>
      <c r="E130" s="68">
        <v>1225</v>
      </c>
      <c r="G130" s="70" t="s">
        <v>93</v>
      </c>
      <c r="H130" s="69"/>
      <c r="I130" s="60"/>
      <c r="J130" s="68">
        <v>1700</v>
      </c>
      <c r="L130" s="70" t="s">
        <v>93</v>
      </c>
      <c r="M130" s="69"/>
      <c r="N130" s="60"/>
      <c r="O130" s="68">
        <v>1775</v>
      </c>
    </row>
    <row r="131" spans="2:15" ht="15" thickTop="1" x14ac:dyDescent="0.3">
      <c r="B131" s="57" t="s">
        <v>99</v>
      </c>
      <c r="C131" s="2"/>
      <c r="D131" s="2"/>
      <c r="E131" s="65">
        <v>219</v>
      </c>
      <c r="G131" s="57" t="s">
        <v>99</v>
      </c>
      <c r="H131" s="2"/>
      <c r="I131" s="2"/>
      <c r="J131" s="65">
        <v>245</v>
      </c>
      <c r="L131" s="57" t="s">
        <v>99</v>
      </c>
      <c r="M131" s="2"/>
      <c r="N131" s="2"/>
      <c r="O131" s="65">
        <v>279</v>
      </c>
    </row>
    <row r="132" spans="2:15" x14ac:dyDescent="0.3">
      <c r="B132" s="57" t="s">
        <v>103</v>
      </c>
      <c r="C132" s="2"/>
      <c r="D132" s="2"/>
      <c r="E132" s="66">
        <v>34</v>
      </c>
      <c r="G132" s="57" t="s">
        <v>103</v>
      </c>
      <c r="H132" s="2"/>
      <c r="I132" s="2"/>
      <c r="J132" s="66">
        <v>26</v>
      </c>
      <c r="L132" s="57" t="s">
        <v>103</v>
      </c>
      <c r="M132" s="2"/>
      <c r="N132" s="2"/>
      <c r="O132" s="66">
        <v>34</v>
      </c>
    </row>
    <row r="133" spans="2:15" ht="15" thickBot="1" x14ac:dyDescent="0.35">
      <c r="B133" s="70" t="s">
        <v>95</v>
      </c>
      <c r="C133" s="60"/>
      <c r="D133" s="60"/>
      <c r="E133" s="68">
        <v>46</v>
      </c>
      <c r="G133" s="70" t="s">
        <v>95</v>
      </c>
      <c r="H133" s="60"/>
      <c r="I133" s="60"/>
      <c r="J133" s="68">
        <v>90</v>
      </c>
      <c r="L133" s="70" t="s">
        <v>95</v>
      </c>
      <c r="M133" s="60"/>
      <c r="N133" s="60"/>
      <c r="O133" s="68">
        <v>176</v>
      </c>
    </row>
    <row r="134" spans="2:15" ht="15.6" thickTop="1" thickBot="1" x14ac:dyDescent="0.35">
      <c r="B134" s="58" t="s">
        <v>210</v>
      </c>
      <c r="C134" s="123"/>
      <c r="D134" s="59"/>
      <c r="E134" s="127"/>
      <c r="G134" s="58" t="s">
        <v>210</v>
      </c>
      <c r="H134" s="123"/>
      <c r="I134" s="59"/>
      <c r="J134" s="127"/>
      <c r="L134" s="58" t="s">
        <v>210</v>
      </c>
      <c r="M134" s="123"/>
      <c r="N134" s="59"/>
      <c r="O134" s="127"/>
    </row>
    <row r="135" spans="2:15" ht="15" thickTop="1" x14ac:dyDescent="0.3">
      <c r="B135" s="57" t="s">
        <v>260</v>
      </c>
      <c r="C135" s="115"/>
      <c r="D135" s="2"/>
      <c r="E135" s="67">
        <v>10</v>
      </c>
      <c r="G135" s="57" t="s">
        <v>260</v>
      </c>
      <c r="H135" s="115"/>
      <c r="I135" s="2"/>
      <c r="J135" s="67">
        <v>10</v>
      </c>
      <c r="L135" s="57" t="s">
        <v>260</v>
      </c>
      <c r="M135" s="115"/>
      <c r="N135" s="2"/>
      <c r="O135" s="67">
        <v>10</v>
      </c>
    </row>
    <row r="136" spans="2:15" x14ac:dyDescent="0.3">
      <c r="B136" s="57" t="s">
        <v>314</v>
      </c>
      <c r="C136" s="124"/>
      <c r="D136" s="125"/>
      <c r="E136" s="65">
        <v>300</v>
      </c>
      <c r="G136" s="57" t="s">
        <v>314</v>
      </c>
      <c r="H136" s="124"/>
      <c r="I136" s="125"/>
      <c r="J136" s="65">
        <v>300</v>
      </c>
      <c r="L136" s="57" t="s">
        <v>314</v>
      </c>
      <c r="M136" s="124"/>
      <c r="N136" s="125"/>
      <c r="O136" s="65">
        <v>300</v>
      </c>
    </row>
    <row r="137" spans="2:15" x14ac:dyDescent="0.3">
      <c r="B137" s="57" t="s">
        <v>227</v>
      </c>
      <c r="C137" s="124"/>
      <c r="D137" s="125"/>
      <c r="E137" s="65">
        <v>0</v>
      </c>
      <c r="G137" s="57" t="s">
        <v>227</v>
      </c>
      <c r="H137" s="124"/>
      <c r="I137" s="125"/>
      <c r="J137" s="65">
        <v>0</v>
      </c>
      <c r="L137" s="57" t="s">
        <v>227</v>
      </c>
      <c r="M137" s="124"/>
      <c r="N137" s="125"/>
      <c r="O137" s="65">
        <v>0</v>
      </c>
    </row>
    <row r="138" spans="2:15" x14ac:dyDescent="0.3">
      <c r="B138" s="57" t="s">
        <v>91</v>
      </c>
      <c r="C138" s="2"/>
      <c r="D138" s="2"/>
      <c r="E138" s="64">
        <v>1690</v>
      </c>
      <c r="G138" s="57" t="s">
        <v>91</v>
      </c>
      <c r="H138" s="2"/>
      <c r="I138" s="2"/>
      <c r="J138" s="64">
        <v>1820</v>
      </c>
      <c r="L138" s="57" t="s">
        <v>91</v>
      </c>
      <c r="M138" s="2"/>
      <c r="N138" s="2"/>
      <c r="O138" s="64">
        <v>1950</v>
      </c>
    </row>
    <row r="139" spans="2:15" x14ac:dyDescent="0.3">
      <c r="B139" s="57" t="s">
        <v>97</v>
      </c>
      <c r="C139" s="2"/>
      <c r="D139" s="2"/>
      <c r="E139" s="63">
        <v>130</v>
      </c>
      <c r="G139" s="57" t="s">
        <v>97</v>
      </c>
      <c r="H139" s="2"/>
      <c r="I139" s="2"/>
      <c r="J139" s="63">
        <v>140</v>
      </c>
      <c r="L139" s="57" t="s">
        <v>97</v>
      </c>
      <c r="M139" s="2"/>
      <c r="N139" s="2"/>
      <c r="O139" s="63">
        <v>150</v>
      </c>
    </row>
    <row r="140" spans="2:15" x14ac:dyDescent="0.3">
      <c r="B140" s="57" t="s">
        <v>315</v>
      </c>
      <c r="C140" s="2"/>
      <c r="D140" s="2"/>
      <c r="E140" s="64">
        <v>-25</v>
      </c>
      <c r="G140" s="57" t="s">
        <v>315</v>
      </c>
      <c r="H140" s="2"/>
      <c r="I140" s="2"/>
      <c r="J140" s="64">
        <v>45</v>
      </c>
      <c r="L140" s="57" t="s">
        <v>315</v>
      </c>
      <c r="M140" s="2"/>
      <c r="N140" s="2"/>
      <c r="O140" s="64">
        <v>165</v>
      </c>
    </row>
    <row r="141" spans="2:15" ht="15" thickBot="1" x14ac:dyDescent="0.35">
      <c r="B141" s="57" t="s">
        <v>94</v>
      </c>
      <c r="C141" s="2"/>
      <c r="D141" s="126"/>
      <c r="E141" s="176">
        <v>394</v>
      </c>
      <c r="G141" s="57" t="s">
        <v>94</v>
      </c>
      <c r="H141" s="2"/>
      <c r="I141" s="126"/>
      <c r="J141" s="176">
        <v>75</v>
      </c>
      <c r="L141" s="57" t="s">
        <v>94</v>
      </c>
      <c r="M141" s="2"/>
      <c r="N141" s="126"/>
      <c r="O141" s="176">
        <v>164</v>
      </c>
    </row>
    <row r="142" spans="2:15" ht="15.6" thickTop="1" thickBot="1" x14ac:dyDescent="0.35">
      <c r="B142" s="61" t="s">
        <v>92</v>
      </c>
      <c r="C142" s="62"/>
      <c r="D142" s="128"/>
      <c r="E142" s="129">
        <v>1665</v>
      </c>
      <c r="G142" s="61" t="s">
        <v>92</v>
      </c>
      <c r="H142" s="62"/>
      <c r="I142" s="128"/>
      <c r="J142" s="129">
        <v>1865</v>
      </c>
      <c r="L142" s="61" t="s">
        <v>92</v>
      </c>
      <c r="M142" s="62"/>
      <c r="N142" s="128"/>
      <c r="O142" s="129">
        <v>2115</v>
      </c>
    </row>
    <row r="143" spans="2:15" ht="15.6" thickTop="1" thickBot="1" x14ac:dyDescent="0.35">
      <c r="B143" s="61" t="s">
        <v>96</v>
      </c>
      <c r="C143" s="62"/>
      <c r="D143" s="128"/>
      <c r="E143" s="140">
        <v>1665</v>
      </c>
      <c r="G143" s="61" t="s">
        <v>96</v>
      </c>
      <c r="H143" s="62"/>
      <c r="I143" s="128"/>
      <c r="J143" s="140">
        <v>1865</v>
      </c>
      <c r="L143" s="61" t="s">
        <v>96</v>
      </c>
      <c r="M143" s="62"/>
      <c r="N143" s="128"/>
      <c r="O143" s="140">
        <v>2115</v>
      </c>
    </row>
    <row r="144" spans="2:15" ht="15.6" thickTop="1" thickBot="1" x14ac:dyDescent="0.35">
      <c r="E144" s="199"/>
      <c r="J144" s="199"/>
      <c r="O144" s="199"/>
    </row>
    <row r="145" spans="2:15" ht="15.6" thickTop="1" thickBot="1" x14ac:dyDescent="0.35">
      <c r="B145" s="371" t="s">
        <v>90</v>
      </c>
      <c r="C145" s="372"/>
      <c r="D145" s="177" t="s">
        <v>345</v>
      </c>
      <c r="E145" s="72">
        <v>45245</v>
      </c>
      <c r="G145" s="371" t="s">
        <v>90</v>
      </c>
      <c r="H145" s="372"/>
      <c r="I145" s="177" t="s">
        <v>345</v>
      </c>
      <c r="J145" s="72">
        <v>45275</v>
      </c>
      <c r="L145" s="371" t="s">
        <v>90</v>
      </c>
      <c r="M145" s="372"/>
      <c r="N145" s="177" t="s">
        <v>345</v>
      </c>
      <c r="O145" s="72">
        <v>45306</v>
      </c>
    </row>
    <row r="146" spans="2:15" ht="15.6" thickTop="1" thickBot="1" x14ac:dyDescent="0.35">
      <c r="B146" s="373"/>
      <c r="C146" s="374"/>
      <c r="D146" s="177" t="s">
        <v>346</v>
      </c>
      <c r="E146" s="72">
        <v>44788</v>
      </c>
      <c r="G146" s="373"/>
      <c r="H146" s="374"/>
      <c r="I146" s="177" t="s">
        <v>346</v>
      </c>
      <c r="J146" s="72">
        <v>44788</v>
      </c>
      <c r="L146" s="373"/>
      <c r="M146" s="374"/>
      <c r="N146" s="177" t="s">
        <v>346</v>
      </c>
      <c r="O146" s="72">
        <v>44788</v>
      </c>
    </row>
    <row r="147" spans="2:15" ht="15.6" thickTop="1" thickBot="1" x14ac:dyDescent="0.35">
      <c r="B147" s="375"/>
      <c r="C147" s="376"/>
      <c r="D147" s="177" t="s">
        <v>344</v>
      </c>
      <c r="E147" s="72">
        <v>45274</v>
      </c>
      <c r="G147" s="375"/>
      <c r="H147" s="376"/>
      <c r="I147" s="177" t="s">
        <v>344</v>
      </c>
      <c r="J147" s="72">
        <v>45305</v>
      </c>
      <c r="L147" s="375"/>
      <c r="M147" s="376"/>
      <c r="N147" s="177" t="s">
        <v>344</v>
      </c>
      <c r="O147" s="72">
        <v>45336</v>
      </c>
    </row>
    <row r="148" spans="2:15" ht="15.6" thickTop="1" thickBot="1" x14ac:dyDescent="0.35">
      <c r="B148" s="57" t="s">
        <v>89</v>
      </c>
      <c r="C148" s="2"/>
      <c r="D148" s="2"/>
      <c r="E148" s="114">
        <v>2080</v>
      </c>
      <c r="G148" s="57" t="s">
        <v>89</v>
      </c>
      <c r="H148" s="2"/>
      <c r="I148" s="2"/>
      <c r="J148" s="114">
        <v>2210</v>
      </c>
      <c r="L148" s="57" t="s">
        <v>89</v>
      </c>
      <c r="M148" s="2"/>
      <c r="N148" s="2"/>
      <c r="O148" s="114">
        <v>2340</v>
      </c>
    </row>
    <row r="149" spans="2:15" ht="15.6" thickTop="1" thickBot="1" x14ac:dyDescent="0.35">
      <c r="B149" s="58" t="s">
        <v>162</v>
      </c>
      <c r="C149" s="59"/>
      <c r="D149" s="59"/>
      <c r="E149" s="120"/>
      <c r="G149" s="58" t="s">
        <v>162</v>
      </c>
      <c r="H149" s="59"/>
      <c r="I149" s="59"/>
      <c r="J149" s="120"/>
      <c r="L149" s="58" t="s">
        <v>162</v>
      </c>
      <c r="M149" s="59"/>
      <c r="N149" s="59"/>
      <c r="O149" s="120"/>
    </row>
    <row r="150" spans="2:15" ht="15" thickTop="1" x14ac:dyDescent="0.3">
      <c r="B150" s="118" t="s">
        <v>207</v>
      </c>
      <c r="C150" s="2"/>
      <c r="D150" s="2"/>
      <c r="E150" s="113">
        <v>6760</v>
      </c>
      <c r="G150" s="118" t="s">
        <v>207</v>
      </c>
      <c r="H150" s="2"/>
      <c r="I150" s="2"/>
      <c r="J150" s="113">
        <v>6760</v>
      </c>
      <c r="L150" s="118" t="s">
        <v>207</v>
      </c>
      <c r="M150" s="2"/>
      <c r="N150" s="2"/>
      <c r="O150" s="113">
        <v>7360</v>
      </c>
    </row>
    <row r="151" spans="2:15" x14ac:dyDescent="0.3">
      <c r="B151" s="119" t="s">
        <v>208</v>
      </c>
      <c r="C151" s="2"/>
      <c r="D151" s="2"/>
      <c r="E151" s="65">
        <v>100</v>
      </c>
      <c r="G151" s="119" t="s">
        <v>208</v>
      </c>
      <c r="H151" s="2"/>
      <c r="I151" s="2"/>
      <c r="J151" s="65">
        <v>100</v>
      </c>
      <c r="L151" s="119" t="s">
        <v>208</v>
      </c>
      <c r="M151" s="2"/>
      <c r="N151" s="2"/>
      <c r="O151" s="65">
        <v>100</v>
      </c>
    </row>
    <row r="152" spans="2:15" x14ac:dyDescent="0.3">
      <c r="B152" s="57" t="s">
        <v>100</v>
      </c>
      <c r="C152" s="2"/>
      <c r="D152" s="2"/>
      <c r="E152" s="66">
        <v>450</v>
      </c>
      <c r="G152" s="57" t="s">
        <v>100</v>
      </c>
      <c r="H152" s="2"/>
      <c r="I152" s="2"/>
      <c r="J152" s="66">
        <v>0</v>
      </c>
      <c r="L152" s="57" t="s">
        <v>100</v>
      </c>
      <c r="M152" s="2"/>
      <c r="N152" s="2"/>
      <c r="O152" s="66">
        <v>600</v>
      </c>
    </row>
    <row r="153" spans="2:15" x14ac:dyDescent="0.3">
      <c r="B153" s="119" t="s">
        <v>209</v>
      </c>
      <c r="C153" s="2"/>
      <c r="D153" s="2"/>
      <c r="E153" s="121">
        <v>491</v>
      </c>
      <c r="G153" s="119" t="s">
        <v>209</v>
      </c>
      <c r="H153" s="2"/>
      <c r="I153" s="2"/>
      <c r="J153" s="121">
        <v>491</v>
      </c>
      <c r="L153" s="119" t="s">
        <v>209</v>
      </c>
      <c r="M153" s="2"/>
      <c r="N153" s="2"/>
      <c r="O153" s="121">
        <v>521</v>
      </c>
    </row>
    <row r="154" spans="2:15" ht="15" thickBot="1" x14ac:dyDescent="0.35">
      <c r="B154" s="57" t="s">
        <v>102</v>
      </c>
      <c r="C154" s="2"/>
      <c r="D154" s="2"/>
      <c r="E154" s="66">
        <v>36</v>
      </c>
      <c r="G154" s="57" t="s">
        <v>102</v>
      </c>
      <c r="H154" s="2"/>
      <c r="I154" s="2"/>
      <c r="J154" s="66">
        <v>0</v>
      </c>
      <c r="L154" s="57" t="s">
        <v>102</v>
      </c>
      <c r="M154" s="2"/>
      <c r="N154" s="2"/>
      <c r="O154" s="66">
        <v>30</v>
      </c>
    </row>
    <row r="155" spans="2:15" ht="15.6" thickTop="1" thickBot="1" x14ac:dyDescent="0.35">
      <c r="B155" s="122" t="s">
        <v>39</v>
      </c>
      <c r="C155" s="59"/>
      <c r="D155" s="59"/>
      <c r="E155" s="120"/>
      <c r="G155" s="122" t="s">
        <v>39</v>
      </c>
      <c r="H155" s="59"/>
      <c r="I155" s="59"/>
      <c r="J155" s="120"/>
      <c r="L155" s="122" t="s">
        <v>39</v>
      </c>
      <c r="M155" s="59"/>
      <c r="N155" s="59"/>
      <c r="O155" s="120"/>
    </row>
    <row r="156" spans="2:15" ht="15" thickTop="1" x14ac:dyDescent="0.3">
      <c r="B156" s="57" t="s">
        <v>98</v>
      </c>
      <c r="C156" s="2"/>
      <c r="D156" s="2"/>
      <c r="E156" s="65">
        <v>4667.16</v>
      </c>
      <c r="G156" s="57" t="s">
        <v>98</v>
      </c>
      <c r="H156" s="2"/>
      <c r="I156" s="2"/>
      <c r="J156" s="65">
        <v>4799.3</v>
      </c>
      <c r="L156" s="57" t="s">
        <v>98</v>
      </c>
      <c r="M156" s="2"/>
      <c r="N156" s="2"/>
      <c r="O156" s="65">
        <v>5231.4400000000005</v>
      </c>
    </row>
    <row r="157" spans="2:15" x14ac:dyDescent="0.3">
      <c r="B157" s="57" t="s">
        <v>101</v>
      </c>
      <c r="C157" s="2"/>
      <c r="D157" s="2"/>
      <c r="E157" s="66">
        <v>132.16</v>
      </c>
      <c r="G157" s="57" t="s">
        <v>101</v>
      </c>
      <c r="H157" s="2"/>
      <c r="I157" s="2"/>
      <c r="J157" s="66">
        <v>132.13999999999999</v>
      </c>
      <c r="L157" s="57" t="s">
        <v>101</v>
      </c>
      <c r="M157" s="2"/>
      <c r="N157" s="2"/>
      <c r="O157" s="66">
        <v>182.14</v>
      </c>
    </row>
    <row r="158" spans="2:15" ht="15" thickBot="1" x14ac:dyDescent="0.35">
      <c r="B158" s="70" t="s">
        <v>93</v>
      </c>
      <c r="C158" s="69"/>
      <c r="D158" s="60"/>
      <c r="E158" s="68">
        <v>2092.84</v>
      </c>
      <c r="G158" s="70" t="s">
        <v>93</v>
      </c>
      <c r="H158" s="69"/>
      <c r="I158" s="60"/>
      <c r="J158" s="68">
        <v>1960.6999999999998</v>
      </c>
      <c r="L158" s="70" t="s">
        <v>93</v>
      </c>
      <c r="M158" s="69"/>
      <c r="N158" s="60"/>
      <c r="O158" s="68">
        <v>2128.5599999999995</v>
      </c>
    </row>
    <row r="159" spans="2:15" ht="15" thickTop="1" x14ac:dyDescent="0.3">
      <c r="B159" s="57" t="s">
        <v>99</v>
      </c>
      <c r="C159" s="2"/>
      <c r="D159" s="2"/>
      <c r="E159" s="65">
        <v>315</v>
      </c>
      <c r="G159" s="57" t="s">
        <v>99</v>
      </c>
      <c r="H159" s="2"/>
      <c r="I159" s="2"/>
      <c r="J159" s="65">
        <v>360</v>
      </c>
      <c r="L159" s="57" t="s">
        <v>99</v>
      </c>
      <c r="M159" s="2"/>
      <c r="N159" s="2"/>
      <c r="O159" s="65">
        <v>419</v>
      </c>
    </row>
    <row r="160" spans="2:15" x14ac:dyDescent="0.3">
      <c r="B160" s="57" t="s">
        <v>103</v>
      </c>
      <c r="C160" s="2"/>
      <c r="D160" s="2"/>
      <c r="E160" s="66">
        <v>37.5</v>
      </c>
      <c r="G160" s="57" t="s">
        <v>103</v>
      </c>
      <c r="H160" s="2"/>
      <c r="I160" s="2"/>
      <c r="J160" s="66">
        <v>45</v>
      </c>
      <c r="L160" s="57" t="s">
        <v>103</v>
      </c>
      <c r="M160" s="2"/>
      <c r="N160" s="2"/>
      <c r="O160" s="66">
        <v>49</v>
      </c>
    </row>
    <row r="161" spans="2:15" ht="15" thickBot="1" x14ac:dyDescent="0.35">
      <c r="B161" s="70" t="s">
        <v>95</v>
      </c>
      <c r="C161" s="60"/>
      <c r="D161" s="60"/>
      <c r="E161" s="68">
        <v>176</v>
      </c>
      <c r="G161" s="70" t="s">
        <v>95</v>
      </c>
      <c r="H161" s="60"/>
      <c r="I161" s="60"/>
      <c r="J161" s="68">
        <v>131</v>
      </c>
      <c r="L161" s="70" t="s">
        <v>95</v>
      </c>
      <c r="M161" s="60"/>
      <c r="N161" s="60"/>
      <c r="O161" s="68">
        <v>102</v>
      </c>
    </row>
    <row r="162" spans="2:15" ht="15.6" thickTop="1" thickBot="1" x14ac:dyDescent="0.35">
      <c r="B162" s="58" t="s">
        <v>210</v>
      </c>
      <c r="C162" s="123"/>
      <c r="D162" s="59"/>
      <c r="E162" s="127"/>
      <c r="G162" s="58" t="s">
        <v>210</v>
      </c>
      <c r="H162" s="123"/>
      <c r="I162" s="59"/>
      <c r="J162" s="127"/>
      <c r="L162" s="58" t="s">
        <v>210</v>
      </c>
      <c r="M162" s="123"/>
      <c r="N162" s="59"/>
      <c r="O162" s="127"/>
    </row>
    <row r="163" spans="2:15" ht="15" thickTop="1" x14ac:dyDescent="0.3">
      <c r="B163" s="57" t="s">
        <v>260</v>
      </c>
      <c r="C163" s="115"/>
      <c r="D163" s="2"/>
      <c r="E163" s="67">
        <v>11.5</v>
      </c>
      <c r="G163" s="57" t="s">
        <v>260</v>
      </c>
      <c r="H163" s="115"/>
      <c r="I163" s="2"/>
      <c r="J163" s="67">
        <v>11.5</v>
      </c>
      <c r="L163" s="57" t="s">
        <v>260</v>
      </c>
      <c r="M163" s="115"/>
      <c r="N163" s="2"/>
      <c r="O163" s="67">
        <v>11.5</v>
      </c>
    </row>
    <row r="164" spans="2:15" x14ac:dyDescent="0.3">
      <c r="B164" s="57" t="s">
        <v>314</v>
      </c>
      <c r="C164" s="124"/>
      <c r="D164" s="125"/>
      <c r="E164" s="65">
        <v>300</v>
      </c>
      <c r="G164" s="57" t="s">
        <v>314</v>
      </c>
      <c r="H164" s="124"/>
      <c r="I164" s="125"/>
      <c r="J164" s="65">
        <v>300</v>
      </c>
      <c r="L164" s="57" t="s">
        <v>314</v>
      </c>
      <c r="M164" s="124"/>
      <c r="N164" s="125"/>
      <c r="O164" s="65">
        <v>300</v>
      </c>
    </row>
    <row r="165" spans="2:15" x14ac:dyDescent="0.3">
      <c r="B165" s="57" t="s">
        <v>227</v>
      </c>
      <c r="C165" s="124"/>
      <c r="D165" s="125"/>
      <c r="E165" s="65">
        <v>0</v>
      </c>
      <c r="G165" s="57" t="s">
        <v>227</v>
      </c>
      <c r="H165" s="124"/>
      <c r="I165" s="125"/>
      <c r="J165" s="65">
        <v>0</v>
      </c>
      <c r="L165" s="57" t="s">
        <v>227</v>
      </c>
      <c r="M165" s="124"/>
      <c r="N165" s="125"/>
      <c r="O165" s="65">
        <v>10</v>
      </c>
    </row>
    <row r="166" spans="2:15" x14ac:dyDescent="0.3">
      <c r="B166" s="57" t="s">
        <v>91</v>
      </c>
      <c r="C166" s="2"/>
      <c r="D166" s="2"/>
      <c r="E166" s="64">
        <v>2080</v>
      </c>
      <c r="G166" s="57" t="s">
        <v>91</v>
      </c>
      <c r="H166" s="2"/>
      <c r="I166" s="2"/>
      <c r="J166" s="64">
        <v>2210</v>
      </c>
      <c r="L166" s="57" t="s">
        <v>91</v>
      </c>
      <c r="M166" s="2"/>
      <c r="N166" s="2"/>
      <c r="O166" s="64">
        <v>2340</v>
      </c>
    </row>
    <row r="167" spans="2:15" x14ac:dyDescent="0.3">
      <c r="B167" s="57" t="s">
        <v>97</v>
      </c>
      <c r="C167" s="2"/>
      <c r="D167" s="2"/>
      <c r="E167" s="63">
        <v>160</v>
      </c>
      <c r="G167" s="57" t="s">
        <v>97</v>
      </c>
      <c r="H167" s="2"/>
      <c r="I167" s="2"/>
      <c r="J167" s="63">
        <v>170</v>
      </c>
      <c r="L167" s="57" t="s">
        <v>97</v>
      </c>
      <c r="M167" s="2"/>
      <c r="N167" s="2"/>
      <c r="O167" s="63">
        <v>180</v>
      </c>
    </row>
    <row r="168" spans="2:15" x14ac:dyDescent="0.3">
      <c r="B168" s="57" t="s">
        <v>315</v>
      </c>
      <c r="C168" s="2"/>
      <c r="D168" s="2"/>
      <c r="E168" s="64">
        <v>202.5</v>
      </c>
      <c r="G168" s="57" t="s">
        <v>315</v>
      </c>
      <c r="H168" s="2"/>
      <c r="I168" s="2"/>
      <c r="J168" s="64">
        <v>202.5</v>
      </c>
      <c r="L168" s="57" t="s">
        <v>315</v>
      </c>
      <c r="M168" s="2"/>
      <c r="N168" s="2"/>
      <c r="O168" s="64">
        <v>222.5</v>
      </c>
    </row>
    <row r="169" spans="2:15" ht="15" thickBot="1" x14ac:dyDescent="0.35">
      <c r="B169" s="57" t="s">
        <v>94</v>
      </c>
      <c r="C169" s="2"/>
      <c r="D169" s="126"/>
      <c r="E169" s="176">
        <v>13.66</v>
      </c>
      <c r="G169" s="57" t="s">
        <v>94</v>
      </c>
      <c r="H169" s="2"/>
      <c r="I169" s="126"/>
      <c r="J169" s="176">
        <v>320.8</v>
      </c>
      <c r="L169" s="57" t="s">
        <v>94</v>
      </c>
      <c r="M169" s="2"/>
      <c r="N169" s="126"/>
      <c r="O169" s="176">
        <v>331.94</v>
      </c>
    </row>
    <row r="170" spans="2:15" ht="15.6" thickTop="1" thickBot="1" x14ac:dyDescent="0.35">
      <c r="B170" s="61" t="s">
        <v>92</v>
      </c>
      <c r="C170" s="62"/>
      <c r="D170" s="128"/>
      <c r="E170" s="129">
        <v>2282.5</v>
      </c>
      <c r="G170" s="61" t="s">
        <v>92</v>
      </c>
      <c r="H170" s="62"/>
      <c r="I170" s="128"/>
      <c r="J170" s="129">
        <v>2412.5</v>
      </c>
      <c r="L170" s="61" t="s">
        <v>92</v>
      </c>
      <c r="M170" s="62"/>
      <c r="N170" s="128"/>
      <c r="O170" s="129">
        <v>2562.5</v>
      </c>
    </row>
    <row r="171" spans="2:15" ht="15.6" thickTop="1" thickBot="1" x14ac:dyDescent="0.35">
      <c r="B171" s="61" t="s">
        <v>96</v>
      </c>
      <c r="C171" s="62"/>
      <c r="D171" s="128"/>
      <c r="E171" s="140">
        <v>2282.5</v>
      </c>
      <c r="G171" s="61" t="s">
        <v>96</v>
      </c>
      <c r="H171" s="62"/>
      <c r="I171" s="128"/>
      <c r="J171" s="140">
        <v>2412.5</v>
      </c>
      <c r="L171" s="61" t="s">
        <v>96</v>
      </c>
      <c r="M171" s="62"/>
      <c r="N171" s="128"/>
      <c r="O171" s="140">
        <v>2562.4999999999995</v>
      </c>
    </row>
    <row r="172" spans="2:15" ht="15.6" thickTop="1" thickBot="1" x14ac:dyDescent="0.35">
      <c r="E172" s="199"/>
      <c r="J172" s="199"/>
      <c r="O172" s="199"/>
    </row>
    <row r="173" spans="2:15" ht="15.6" thickTop="1" thickBot="1" x14ac:dyDescent="0.35">
      <c r="B173" s="371" t="s">
        <v>90</v>
      </c>
      <c r="C173" s="372"/>
      <c r="D173" s="177" t="s">
        <v>345</v>
      </c>
      <c r="E173" s="72">
        <v>45337</v>
      </c>
      <c r="G173" s="371" t="s">
        <v>90</v>
      </c>
      <c r="H173" s="372"/>
      <c r="I173" s="177" t="s">
        <v>345</v>
      </c>
      <c r="J173" s="72">
        <v>45366</v>
      </c>
      <c r="L173" s="371" t="s">
        <v>90</v>
      </c>
      <c r="M173" s="372"/>
      <c r="N173" s="177" t="s">
        <v>345</v>
      </c>
      <c r="O173" s="72">
        <v>45397</v>
      </c>
    </row>
    <row r="174" spans="2:15" ht="15.6" thickTop="1" thickBot="1" x14ac:dyDescent="0.35">
      <c r="B174" s="373"/>
      <c r="C174" s="374"/>
      <c r="D174" s="177" t="s">
        <v>346</v>
      </c>
      <c r="E174" s="72">
        <v>44788</v>
      </c>
      <c r="G174" s="373"/>
      <c r="H174" s="374"/>
      <c r="I174" s="177" t="s">
        <v>346</v>
      </c>
      <c r="J174" s="72">
        <v>44788</v>
      </c>
      <c r="L174" s="373"/>
      <c r="M174" s="374"/>
      <c r="N174" s="177" t="s">
        <v>346</v>
      </c>
      <c r="O174" s="72">
        <v>44788</v>
      </c>
    </row>
    <row r="175" spans="2:15" ht="15.6" thickTop="1" thickBot="1" x14ac:dyDescent="0.35">
      <c r="B175" s="375"/>
      <c r="C175" s="376"/>
      <c r="D175" s="177" t="s">
        <v>344</v>
      </c>
      <c r="E175" s="72">
        <v>45365</v>
      </c>
      <c r="G175" s="375"/>
      <c r="H175" s="376"/>
      <c r="I175" s="177" t="s">
        <v>344</v>
      </c>
      <c r="J175" s="72">
        <v>45396</v>
      </c>
      <c r="L175" s="375"/>
      <c r="M175" s="376"/>
      <c r="N175" s="177" t="s">
        <v>344</v>
      </c>
      <c r="O175" s="72">
        <v>45426</v>
      </c>
    </row>
    <row r="176" spans="2:15" ht="15.6" thickTop="1" thickBot="1" x14ac:dyDescent="0.35">
      <c r="B176" s="57" t="s">
        <v>89</v>
      </c>
      <c r="C176" s="2"/>
      <c r="D176" s="2"/>
      <c r="E176" s="114">
        <v>2470</v>
      </c>
      <c r="G176" s="57" t="s">
        <v>89</v>
      </c>
      <c r="H176" s="2"/>
      <c r="I176" s="2"/>
      <c r="J176" s="114">
        <v>2600</v>
      </c>
      <c r="L176" s="57" t="s">
        <v>89</v>
      </c>
      <c r="M176" s="2"/>
      <c r="N176" s="2"/>
      <c r="O176" s="114">
        <v>2730</v>
      </c>
    </row>
    <row r="177" spans="2:15" ht="15.6" thickTop="1" thickBot="1" x14ac:dyDescent="0.35">
      <c r="B177" s="58" t="s">
        <v>162</v>
      </c>
      <c r="C177" s="59"/>
      <c r="D177" s="59"/>
      <c r="E177" s="120"/>
      <c r="G177" s="58" t="s">
        <v>162</v>
      </c>
      <c r="H177" s="59"/>
      <c r="I177" s="59"/>
      <c r="J177" s="120"/>
      <c r="L177" s="58" t="s">
        <v>162</v>
      </c>
      <c r="M177" s="59"/>
      <c r="N177" s="59"/>
      <c r="O177" s="120"/>
    </row>
    <row r="178" spans="2:15" ht="15" thickTop="1" x14ac:dyDescent="0.3">
      <c r="B178" s="118" t="s">
        <v>207</v>
      </c>
      <c r="C178" s="2"/>
      <c r="D178" s="2"/>
      <c r="E178" s="113">
        <v>8060</v>
      </c>
      <c r="G178" s="118" t="s">
        <v>207</v>
      </c>
      <c r="H178" s="2"/>
      <c r="I178" s="2"/>
      <c r="J178" s="113">
        <v>10160</v>
      </c>
      <c r="L178" s="118" t="s">
        <v>207</v>
      </c>
      <c r="M178" s="2"/>
      <c r="N178" s="2"/>
      <c r="O178" s="113">
        <v>10310</v>
      </c>
    </row>
    <row r="179" spans="2:15" x14ac:dyDescent="0.3">
      <c r="B179" s="119" t="s">
        <v>208</v>
      </c>
      <c r="C179" s="2"/>
      <c r="D179" s="2"/>
      <c r="E179" s="65">
        <v>100</v>
      </c>
      <c r="G179" s="119" t="s">
        <v>208</v>
      </c>
      <c r="H179" s="2"/>
      <c r="I179" s="2"/>
      <c r="J179" s="65">
        <v>100</v>
      </c>
      <c r="L179" s="119" t="s">
        <v>208</v>
      </c>
      <c r="M179" s="2"/>
      <c r="N179" s="2"/>
      <c r="O179" s="65">
        <v>200</v>
      </c>
    </row>
    <row r="180" spans="2:15" x14ac:dyDescent="0.3">
      <c r="B180" s="57" t="s">
        <v>100</v>
      </c>
      <c r="C180" s="2"/>
      <c r="D180" s="2"/>
      <c r="E180" s="66">
        <v>700</v>
      </c>
      <c r="G180" s="57" t="s">
        <v>100</v>
      </c>
      <c r="H180" s="2"/>
      <c r="I180" s="2"/>
      <c r="J180" s="66">
        <v>2100</v>
      </c>
      <c r="L180" s="57" t="s">
        <v>100</v>
      </c>
      <c r="M180" s="2"/>
      <c r="N180" s="2"/>
      <c r="O180" s="66">
        <v>250</v>
      </c>
    </row>
    <row r="181" spans="2:15" x14ac:dyDescent="0.3">
      <c r="B181" s="119" t="s">
        <v>209</v>
      </c>
      <c r="C181" s="2"/>
      <c r="D181" s="2"/>
      <c r="E181" s="121">
        <v>589</v>
      </c>
      <c r="G181" s="119" t="s">
        <v>209</v>
      </c>
      <c r="H181" s="2"/>
      <c r="I181" s="2"/>
      <c r="J181" s="121">
        <v>975</v>
      </c>
      <c r="L181" s="119" t="s">
        <v>209</v>
      </c>
      <c r="M181" s="2"/>
      <c r="N181" s="2"/>
      <c r="O181" s="121">
        <v>984</v>
      </c>
    </row>
    <row r="182" spans="2:15" ht="15" thickBot="1" x14ac:dyDescent="0.35">
      <c r="B182" s="57" t="s">
        <v>102</v>
      </c>
      <c r="C182" s="2"/>
      <c r="D182" s="2"/>
      <c r="E182" s="66">
        <v>68</v>
      </c>
      <c r="G182" s="57" t="s">
        <v>102</v>
      </c>
      <c r="H182" s="2"/>
      <c r="I182" s="2"/>
      <c r="J182" s="66">
        <v>386</v>
      </c>
      <c r="L182" s="57" t="s">
        <v>102</v>
      </c>
      <c r="M182" s="2"/>
      <c r="N182" s="2"/>
      <c r="O182" s="66">
        <v>9</v>
      </c>
    </row>
    <row r="183" spans="2:15" ht="15.6" thickTop="1" thickBot="1" x14ac:dyDescent="0.35">
      <c r="B183" s="122" t="s">
        <v>39</v>
      </c>
      <c r="C183" s="59"/>
      <c r="D183" s="59"/>
      <c r="E183" s="120"/>
      <c r="G183" s="122" t="s">
        <v>39</v>
      </c>
      <c r="H183" s="59"/>
      <c r="I183" s="59"/>
      <c r="J183" s="120"/>
      <c r="L183" s="122" t="s">
        <v>39</v>
      </c>
      <c r="M183" s="59"/>
      <c r="N183" s="59"/>
      <c r="O183" s="120"/>
    </row>
    <row r="184" spans="2:15" ht="15" thickTop="1" x14ac:dyDescent="0.3">
      <c r="B184" s="57" t="s">
        <v>98</v>
      </c>
      <c r="C184" s="2"/>
      <c r="D184" s="2"/>
      <c r="E184" s="65">
        <v>5888.5800000000008</v>
      </c>
      <c r="G184" s="57" t="s">
        <v>98</v>
      </c>
      <c r="H184" s="2"/>
      <c r="I184" s="2"/>
      <c r="J184" s="65">
        <v>7390.7200000000012</v>
      </c>
      <c r="L184" s="57" t="s">
        <v>98</v>
      </c>
      <c r="M184" s="2"/>
      <c r="N184" s="2"/>
      <c r="O184" s="65">
        <v>7862.8600000000015</v>
      </c>
    </row>
    <row r="185" spans="2:15" x14ac:dyDescent="0.3">
      <c r="B185" s="57" t="s">
        <v>101</v>
      </c>
      <c r="C185" s="2"/>
      <c r="D185" s="2"/>
      <c r="E185" s="66">
        <v>57.14</v>
      </c>
      <c r="G185" s="57" t="s">
        <v>101</v>
      </c>
      <c r="H185" s="2"/>
      <c r="I185" s="2"/>
      <c r="J185" s="66">
        <v>402.14</v>
      </c>
      <c r="L185" s="57" t="s">
        <v>101</v>
      </c>
      <c r="M185" s="2"/>
      <c r="N185" s="2"/>
      <c r="O185" s="66">
        <v>472.14</v>
      </c>
    </row>
    <row r="186" spans="2:15" ht="15" thickBot="1" x14ac:dyDescent="0.35">
      <c r="B186" s="70" t="s">
        <v>93</v>
      </c>
      <c r="C186" s="69"/>
      <c r="D186" s="60"/>
      <c r="E186" s="68">
        <v>2171.4199999999992</v>
      </c>
      <c r="G186" s="70" t="s">
        <v>93</v>
      </c>
      <c r="H186" s="69"/>
      <c r="I186" s="60"/>
      <c r="J186" s="68">
        <v>2769.2799999999988</v>
      </c>
      <c r="L186" s="70" t="s">
        <v>93</v>
      </c>
      <c r="M186" s="69"/>
      <c r="N186" s="60"/>
      <c r="O186" s="68">
        <v>2447.1399999999985</v>
      </c>
    </row>
    <row r="187" spans="2:15" ht="15" thickTop="1" x14ac:dyDescent="0.3">
      <c r="B187" s="57" t="s">
        <v>99</v>
      </c>
      <c r="C187" s="2"/>
      <c r="D187" s="2"/>
      <c r="E187" s="65">
        <v>465</v>
      </c>
      <c r="G187" s="57" t="s">
        <v>99</v>
      </c>
      <c r="H187" s="2"/>
      <c r="I187" s="2"/>
      <c r="J187" s="65">
        <v>519</v>
      </c>
      <c r="L187" s="57" t="s">
        <v>99</v>
      </c>
      <c r="M187" s="2"/>
      <c r="N187" s="2"/>
      <c r="O187" s="65">
        <v>583</v>
      </c>
    </row>
    <row r="188" spans="2:15" x14ac:dyDescent="0.3">
      <c r="B188" s="57" t="s">
        <v>103</v>
      </c>
      <c r="C188" s="2"/>
      <c r="D188" s="2"/>
      <c r="E188" s="66">
        <v>54</v>
      </c>
      <c r="G188" s="57" t="s">
        <v>103</v>
      </c>
      <c r="H188" s="2"/>
      <c r="I188" s="2"/>
      <c r="J188" s="66">
        <v>48</v>
      </c>
      <c r="L188" s="57" t="s">
        <v>103</v>
      </c>
      <c r="M188" s="2"/>
      <c r="N188" s="2"/>
      <c r="O188" s="66">
        <v>64</v>
      </c>
    </row>
    <row r="189" spans="2:15" ht="15" thickBot="1" x14ac:dyDescent="0.35">
      <c r="B189" s="70" t="s">
        <v>95</v>
      </c>
      <c r="C189" s="60"/>
      <c r="D189" s="60"/>
      <c r="E189" s="68">
        <v>124</v>
      </c>
      <c r="G189" s="70" t="s">
        <v>95</v>
      </c>
      <c r="H189" s="60"/>
      <c r="I189" s="60"/>
      <c r="J189" s="68">
        <v>456</v>
      </c>
      <c r="L189" s="70" t="s">
        <v>95</v>
      </c>
      <c r="M189" s="60"/>
      <c r="N189" s="60"/>
      <c r="O189" s="68">
        <v>401</v>
      </c>
    </row>
    <row r="190" spans="2:15" ht="15.6" thickTop="1" thickBot="1" x14ac:dyDescent="0.35">
      <c r="B190" s="58" t="s">
        <v>210</v>
      </c>
      <c r="C190" s="123"/>
      <c r="D190" s="59"/>
      <c r="E190" s="127"/>
      <c r="G190" s="58" t="s">
        <v>210</v>
      </c>
      <c r="H190" s="123"/>
      <c r="I190" s="59"/>
      <c r="J190" s="127"/>
      <c r="L190" s="58" t="s">
        <v>210</v>
      </c>
      <c r="M190" s="123"/>
      <c r="N190" s="59"/>
      <c r="O190" s="127"/>
    </row>
    <row r="191" spans="2:15" ht="15" thickTop="1" x14ac:dyDescent="0.3">
      <c r="B191" s="57" t="s">
        <v>260</v>
      </c>
      <c r="C191" s="115"/>
      <c r="D191" s="2"/>
      <c r="E191" s="67">
        <v>19.5</v>
      </c>
      <c r="G191" s="57" t="s">
        <v>260</v>
      </c>
      <c r="H191" s="115"/>
      <c r="I191" s="2"/>
      <c r="J191" s="67">
        <v>19.5</v>
      </c>
      <c r="L191" s="57" t="s">
        <v>260</v>
      </c>
      <c r="M191" s="115"/>
      <c r="N191" s="2"/>
      <c r="O191" s="67">
        <v>19.5</v>
      </c>
    </row>
    <row r="192" spans="2:15" x14ac:dyDescent="0.3">
      <c r="B192" s="57" t="s">
        <v>314</v>
      </c>
      <c r="C192" s="124"/>
      <c r="D192" s="125"/>
      <c r="E192" s="65">
        <v>300</v>
      </c>
      <c r="G192" s="57" t="s">
        <v>314</v>
      </c>
      <c r="H192" s="124"/>
      <c r="I192" s="125"/>
      <c r="J192" s="65">
        <v>300</v>
      </c>
      <c r="L192" s="57" t="s">
        <v>314</v>
      </c>
      <c r="M192" s="124"/>
      <c r="N192" s="125"/>
      <c r="O192" s="65">
        <v>400</v>
      </c>
    </row>
    <row r="193" spans="2:15" x14ac:dyDescent="0.3">
      <c r="B193" s="57" t="s">
        <v>227</v>
      </c>
      <c r="C193" s="124"/>
      <c r="D193" s="125"/>
      <c r="E193" s="65">
        <v>10</v>
      </c>
      <c r="G193" s="57" t="s">
        <v>227</v>
      </c>
      <c r="H193" s="124"/>
      <c r="I193" s="125"/>
      <c r="J193" s="65">
        <v>16</v>
      </c>
      <c r="L193" s="57" t="s">
        <v>227</v>
      </c>
      <c r="M193" s="124"/>
      <c r="N193" s="125"/>
      <c r="O193" s="65">
        <v>16</v>
      </c>
    </row>
    <row r="194" spans="2:15" x14ac:dyDescent="0.3">
      <c r="B194" s="57" t="s">
        <v>91</v>
      </c>
      <c r="C194" s="2"/>
      <c r="D194" s="2"/>
      <c r="E194" s="64">
        <v>2470</v>
      </c>
      <c r="G194" s="57" t="s">
        <v>91</v>
      </c>
      <c r="H194" s="2"/>
      <c r="I194" s="2"/>
      <c r="J194" s="64">
        <v>2600</v>
      </c>
      <c r="L194" s="57" t="s">
        <v>91</v>
      </c>
      <c r="M194" s="2"/>
      <c r="N194" s="2"/>
      <c r="O194" s="64">
        <v>2730</v>
      </c>
    </row>
    <row r="195" spans="2:15" x14ac:dyDescent="0.3">
      <c r="B195" s="57" t="s">
        <v>97</v>
      </c>
      <c r="C195" s="2"/>
      <c r="D195" s="2"/>
      <c r="E195" s="63">
        <v>190</v>
      </c>
      <c r="G195" s="57" t="s">
        <v>97</v>
      </c>
      <c r="H195" s="2"/>
      <c r="I195" s="2"/>
      <c r="J195" s="63">
        <v>200</v>
      </c>
      <c r="L195" s="57" t="s">
        <v>97</v>
      </c>
      <c r="M195" s="2"/>
      <c r="N195" s="2"/>
      <c r="O195" s="63">
        <v>210</v>
      </c>
    </row>
    <row r="196" spans="2:15" x14ac:dyDescent="0.3">
      <c r="B196" s="57" t="s">
        <v>315</v>
      </c>
      <c r="C196" s="2"/>
      <c r="D196" s="2"/>
      <c r="E196" s="64">
        <v>298.5</v>
      </c>
      <c r="G196" s="57" t="s">
        <v>315</v>
      </c>
      <c r="H196" s="2"/>
      <c r="I196" s="2"/>
      <c r="J196" s="64">
        <v>678.5</v>
      </c>
      <c r="L196" s="57" t="s">
        <v>315</v>
      </c>
      <c r="M196" s="2"/>
      <c r="N196" s="2"/>
      <c r="O196" s="64">
        <v>587.5</v>
      </c>
    </row>
    <row r="197" spans="2:15" ht="15" thickBot="1" x14ac:dyDescent="0.35">
      <c r="B197" s="57" t="s">
        <v>94</v>
      </c>
      <c r="C197" s="2"/>
      <c r="D197" s="126"/>
      <c r="E197" s="176">
        <v>473.08</v>
      </c>
      <c r="G197" s="57" t="s">
        <v>94</v>
      </c>
      <c r="H197" s="2"/>
      <c r="I197" s="126"/>
      <c r="J197" s="176">
        <v>53.22</v>
      </c>
      <c r="L197" s="57" t="s">
        <v>94</v>
      </c>
      <c r="M197" s="2"/>
      <c r="N197" s="126"/>
      <c r="O197" s="176">
        <v>469.36</v>
      </c>
    </row>
    <row r="198" spans="2:15" ht="15.6" thickTop="1" thickBot="1" x14ac:dyDescent="0.35">
      <c r="B198" s="61" t="s">
        <v>92</v>
      </c>
      <c r="C198" s="62"/>
      <c r="D198" s="128"/>
      <c r="E198" s="129">
        <v>2768.5</v>
      </c>
      <c r="G198" s="61" t="s">
        <v>92</v>
      </c>
      <c r="H198" s="62"/>
      <c r="I198" s="128"/>
      <c r="J198" s="129">
        <v>3278.5</v>
      </c>
      <c r="L198" s="61" t="s">
        <v>92</v>
      </c>
      <c r="M198" s="62"/>
      <c r="N198" s="128"/>
      <c r="O198" s="129">
        <v>3317.5</v>
      </c>
    </row>
    <row r="199" spans="2:15" ht="15.6" thickTop="1" thickBot="1" x14ac:dyDescent="0.35">
      <c r="B199" s="61" t="s">
        <v>96</v>
      </c>
      <c r="C199" s="62"/>
      <c r="D199" s="128"/>
      <c r="E199" s="140">
        <v>2768.4999999999991</v>
      </c>
      <c r="G199" s="61" t="s">
        <v>96</v>
      </c>
      <c r="H199" s="62"/>
      <c r="I199" s="128"/>
      <c r="J199" s="140">
        <v>3278.4999999999986</v>
      </c>
      <c r="L199" s="61" t="s">
        <v>96</v>
      </c>
      <c r="M199" s="62"/>
      <c r="N199" s="128"/>
      <c r="O199" s="140">
        <v>3317.4999999999986</v>
      </c>
    </row>
    <row r="200" spans="2:15" ht="15.6" thickTop="1" thickBot="1" x14ac:dyDescent="0.35">
      <c r="E200" s="199"/>
      <c r="J200" s="199"/>
      <c r="O200" s="199"/>
    </row>
    <row r="201" spans="2:15" ht="15.6" thickTop="1" thickBot="1" x14ac:dyDescent="0.35">
      <c r="B201" s="371" t="s">
        <v>90</v>
      </c>
      <c r="C201" s="372"/>
      <c r="D201" s="177" t="s">
        <v>345</v>
      </c>
      <c r="E201" s="72">
        <v>45427</v>
      </c>
      <c r="G201" s="371" t="s">
        <v>90</v>
      </c>
      <c r="H201" s="372"/>
      <c r="I201" s="177" t="s">
        <v>345</v>
      </c>
      <c r="J201" s="72">
        <v>45458</v>
      </c>
      <c r="L201" s="371" t="s">
        <v>90</v>
      </c>
      <c r="M201" s="372"/>
      <c r="N201" s="177" t="s">
        <v>345</v>
      </c>
      <c r="O201" s="72">
        <v>45488</v>
      </c>
    </row>
    <row r="202" spans="2:15" ht="15.6" thickTop="1" thickBot="1" x14ac:dyDescent="0.35">
      <c r="B202" s="373"/>
      <c r="C202" s="374"/>
      <c r="D202" s="177" t="s">
        <v>346</v>
      </c>
      <c r="E202" s="72">
        <v>44788</v>
      </c>
      <c r="G202" s="373"/>
      <c r="H202" s="374"/>
      <c r="I202" s="177" t="s">
        <v>346</v>
      </c>
      <c r="J202" s="72">
        <v>44788</v>
      </c>
      <c r="L202" s="373"/>
      <c r="M202" s="374"/>
      <c r="N202" s="177" t="s">
        <v>346</v>
      </c>
      <c r="O202" s="72">
        <v>44788</v>
      </c>
    </row>
    <row r="203" spans="2:15" ht="15.6" thickTop="1" thickBot="1" x14ac:dyDescent="0.35">
      <c r="B203" s="375"/>
      <c r="C203" s="376"/>
      <c r="D203" s="177" t="s">
        <v>344</v>
      </c>
      <c r="E203" s="72">
        <v>45457</v>
      </c>
      <c r="G203" s="375"/>
      <c r="H203" s="376"/>
      <c r="I203" s="177" t="s">
        <v>344</v>
      </c>
      <c r="J203" s="72">
        <v>45487</v>
      </c>
      <c r="L203" s="375"/>
      <c r="M203" s="376"/>
      <c r="N203" s="177" t="s">
        <v>344</v>
      </c>
      <c r="O203" s="72">
        <v>45518</v>
      </c>
    </row>
    <row r="204" spans="2:15" ht="15.6" thickTop="1" thickBot="1" x14ac:dyDescent="0.35">
      <c r="B204" s="57" t="s">
        <v>89</v>
      </c>
      <c r="C204" s="2"/>
      <c r="D204" s="2"/>
      <c r="E204" s="114">
        <v>2860</v>
      </c>
      <c r="G204" s="57" t="s">
        <v>89</v>
      </c>
      <c r="H204" s="2"/>
      <c r="I204" s="2"/>
      <c r="J204" s="114">
        <v>2990</v>
      </c>
      <c r="L204" s="57" t="s">
        <v>89</v>
      </c>
      <c r="M204" s="2"/>
      <c r="N204" s="2"/>
      <c r="O204" s="114">
        <v>3120</v>
      </c>
    </row>
    <row r="205" spans="2:15" ht="15.6" thickTop="1" thickBot="1" x14ac:dyDescent="0.35">
      <c r="B205" s="58" t="s">
        <v>162</v>
      </c>
      <c r="C205" s="59"/>
      <c r="D205" s="59"/>
      <c r="E205" s="120"/>
      <c r="G205" s="58" t="s">
        <v>162</v>
      </c>
      <c r="H205" s="59"/>
      <c r="I205" s="59"/>
      <c r="J205" s="120"/>
      <c r="L205" s="58" t="s">
        <v>162</v>
      </c>
      <c r="M205" s="59"/>
      <c r="N205" s="59"/>
      <c r="O205" s="120"/>
    </row>
    <row r="206" spans="2:15" ht="15" thickTop="1" x14ac:dyDescent="0.3">
      <c r="B206" s="118" t="s">
        <v>207</v>
      </c>
      <c r="C206" s="2"/>
      <c r="D206" s="2"/>
      <c r="E206" s="113">
        <v>11310</v>
      </c>
      <c r="G206" s="118" t="s">
        <v>207</v>
      </c>
      <c r="H206" s="2"/>
      <c r="I206" s="2"/>
      <c r="J206" s="113">
        <v>12310</v>
      </c>
      <c r="L206" s="118" t="s">
        <v>207</v>
      </c>
      <c r="M206" s="2"/>
      <c r="N206" s="2"/>
      <c r="O206" s="113">
        <v>13310</v>
      </c>
    </row>
    <row r="207" spans="2:15" x14ac:dyDescent="0.3">
      <c r="B207" s="119" t="s">
        <v>208</v>
      </c>
      <c r="C207" s="2"/>
      <c r="D207" s="2"/>
      <c r="E207" s="65">
        <v>200</v>
      </c>
      <c r="G207" s="119" t="s">
        <v>208</v>
      </c>
      <c r="H207" s="2"/>
      <c r="I207" s="2"/>
      <c r="J207" s="65">
        <v>200</v>
      </c>
      <c r="L207" s="119" t="s">
        <v>208</v>
      </c>
      <c r="M207" s="2"/>
      <c r="N207" s="2"/>
      <c r="O207" s="65">
        <v>200</v>
      </c>
    </row>
    <row r="208" spans="2:15" x14ac:dyDescent="0.3">
      <c r="B208" s="57" t="s">
        <v>100</v>
      </c>
      <c r="C208" s="2"/>
      <c r="D208" s="2"/>
      <c r="E208" s="66">
        <v>1000</v>
      </c>
      <c r="G208" s="57" t="s">
        <v>100</v>
      </c>
      <c r="H208" s="2"/>
      <c r="I208" s="2"/>
      <c r="J208" s="66">
        <v>1000</v>
      </c>
      <c r="L208" s="57" t="s">
        <v>100</v>
      </c>
      <c r="M208" s="2"/>
      <c r="N208" s="2"/>
      <c r="O208" s="66">
        <v>1000</v>
      </c>
    </row>
    <row r="209" spans="2:15" x14ac:dyDescent="0.3">
      <c r="B209" s="119" t="s">
        <v>209</v>
      </c>
      <c r="C209" s="2"/>
      <c r="D209" s="2"/>
      <c r="E209" s="121">
        <v>1100</v>
      </c>
      <c r="G209" s="119" t="s">
        <v>209</v>
      </c>
      <c r="H209" s="2"/>
      <c r="I209" s="2"/>
      <c r="J209" s="121">
        <v>1188</v>
      </c>
      <c r="L209" s="119" t="s">
        <v>209</v>
      </c>
      <c r="M209" s="2"/>
      <c r="N209" s="2"/>
      <c r="O209" s="121">
        <v>1358</v>
      </c>
    </row>
    <row r="210" spans="2:15" ht="15" thickBot="1" x14ac:dyDescent="0.35">
      <c r="B210" s="57" t="s">
        <v>102</v>
      </c>
      <c r="C210" s="2"/>
      <c r="D210" s="2"/>
      <c r="E210" s="66">
        <v>116</v>
      </c>
      <c r="G210" s="57" t="s">
        <v>102</v>
      </c>
      <c r="H210" s="2"/>
      <c r="I210" s="2"/>
      <c r="J210" s="66">
        <v>88</v>
      </c>
      <c r="L210" s="57" t="s">
        <v>102</v>
      </c>
      <c r="M210" s="2"/>
      <c r="N210" s="2"/>
      <c r="O210" s="66">
        <v>170</v>
      </c>
    </row>
    <row r="211" spans="2:15" ht="15.6" thickTop="1" thickBot="1" x14ac:dyDescent="0.35">
      <c r="B211" s="122" t="s">
        <v>39</v>
      </c>
      <c r="C211" s="59"/>
      <c r="D211" s="59"/>
      <c r="E211" s="120"/>
      <c r="G211" s="122" t="s">
        <v>39</v>
      </c>
      <c r="H211" s="59"/>
      <c r="I211" s="59"/>
      <c r="J211" s="120"/>
      <c r="L211" s="122" t="s">
        <v>39</v>
      </c>
      <c r="M211" s="59"/>
      <c r="N211" s="59"/>
      <c r="O211" s="120"/>
    </row>
    <row r="212" spans="2:15" ht="15" thickTop="1" x14ac:dyDescent="0.3">
      <c r="B212" s="57" t="s">
        <v>98</v>
      </c>
      <c r="C212" s="2"/>
      <c r="D212" s="2"/>
      <c r="E212" s="65">
        <v>8335.0000000000018</v>
      </c>
      <c r="G212" s="57" t="s">
        <v>98</v>
      </c>
      <c r="H212" s="2"/>
      <c r="I212" s="2"/>
      <c r="J212" s="65">
        <v>9035.7400000000016</v>
      </c>
      <c r="L212" s="57" t="s">
        <v>98</v>
      </c>
      <c r="M212" s="2"/>
      <c r="N212" s="2"/>
      <c r="O212" s="65">
        <v>9901.4500000000007</v>
      </c>
    </row>
    <row r="213" spans="2:15" x14ac:dyDescent="0.3">
      <c r="B213" s="57" t="s">
        <v>101</v>
      </c>
      <c r="C213" s="2"/>
      <c r="D213" s="2"/>
      <c r="E213" s="66">
        <v>472.14</v>
      </c>
      <c r="G213" s="57" t="s">
        <v>101</v>
      </c>
      <c r="H213" s="2"/>
      <c r="I213" s="2"/>
      <c r="J213" s="66">
        <v>500.74</v>
      </c>
      <c r="L213" s="57" t="s">
        <v>101</v>
      </c>
      <c r="M213" s="2"/>
      <c r="N213" s="2"/>
      <c r="O213" s="66">
        <v>865.71</v>
      </c>
    </row>
    <row r="214" spans="2:15" ht="15" thickBot="1" x14ac:dyDescent="0.35">
      <c r="B214" s="70" t="s">
        <v>93</v>
      </c>
      <c r="C214" s="69"/>
      <c r="D214" s="60"/>
      <c r="E214" s="68">
        <v>2974.9999999999982</v>
      </c>
      <c r="G214" s="70" t="s">
        <v>93</v>
      </c>
      <c r="H214" s="69"/>
      <c r="I214" s="60"/>
      <c r="J214" s="68">
        <v>3274.2599999999984</v>
      </c>
      <c r="L214" s="70" t="s">
        <v>93</v>
      </c>
      <c r="M214" s="69"/>
      <c r="N214" s="60"/>
      <c r="O214" s="68">
        <v>3408.5499999999993</v>
      </c>
    </row>
    <row r="215" spans="2:15" ht="15" thickTop="1" x14ac:dyDescent="0.3">
      <c r="B215" s="57" t="s">
        <v>99</v>
      </c>
      <c r="C215" s="2"/>
      <c r="D215" s="2"/>
      <c r="E215" s="65">
        <v>647</v>
      </c>
      <c r="G215" s="57" t="s">
        <v>99</v>
      </c>
      <c r="H215" s="2"/>
      <c r="I215" s="2"/>
      <c r="J215" s="65">
        <v>731</v>
      </c>
      <c r="L215" s="57" t="s">
        <v>99</v>
      </c>
      <c r="M215" s="2"/>
      <c r="N215" s="2"/>
      <c r="O215" s="65">
        <v>826</v>
      </c>
    </row>
    <row r="216" spans="2:15" x14ac:dyDescent="0.3">
      <c r="B216" s="57" t="s">
        <v>103</v>
      </c>
      <c r="C216" s="2"/>
      <c r="D216" s="2"/>
      <c r="E216" s="66">
        <v>68</v>
      </c>
      <c r="G216" s="57" t="s">
        <v>103</v>
      </c>
      <c r="H216" s="2"/>
      <c r="I216" s="2"/>
      <c r="J216" s="66">
        <v>76</v>
      </c>
      <c r="L216" s="57" t="s">
        <v>103</v>
      </c>
      <c r="M216" s="2"/>
      <c r="N216" s="2"/>
      <c r="O216" s="66">
        <v>95</v>
      </c>
    </row>
    <row r="217" spans="2:15" ht="15" thickBot="1" x14ac:dyDescent="0.35">
      <c r="B217" s="70" t="s">
        <v>95</v>
      </c>
      <c r="C217" s="60"/>
      <c r="D217" s="60"/>
      <c r="E217" s="68">
        <v>453</v>
      </c>
      <c r="G217" s="70" t="s">
        <v>95</v>
      </c>
      <c r="H217" s="60"/>
      <c r="I217" s="60"/>
      <c r="J217" s="68">
        <v>457</v>
      </c>
      <c r="L217" s="70" t="s">
        <v>95</v>
      </c>
      <c r="M217" s="60"/>
      <c r="N217" s="60"/>
      <c r="O217" s="68">
        <v>532</v>
      </c>
    </row>
    <row r="218" spans="2:15" ht="15.6" thickTop="1" thickBot="1" x14ac:dyDescent="0.35">
      <c r="B218" s="58" t="s">
        <v>210</v>
      </c>
      <c r="C218" s="123"/>
      <c r="D218" s="59"/>
      <c r="E218" s="127"/>
      <c r="G218" s="58" t="s">
        <v>210</v>
      </c>
      <c r="H218" s="123"/>
      <c r="I218" s="59"/>
      <c r="J218" s="127"/>
      <c r="L218" s="58" t="s">
        <v>210</v>
      </c>
      <c r="M218" s="123"/>
      <c r="N218" s="59"/>
      <c r="O218" s="127"/>
    </row>
    <row r="219" spans="2:15" ht="15" thickTop="1" x14ac:dyDescent="0.3">
      <c r="B219" s="57" t="s">
        <v>260</v>
      </c>
      <c r="C219" s="115"/>
      <c r="D219" s="2"/>
      <c r="E219" s="67">
        <v>23.5</v>
      </c>
      <c r="G219" s="57" t="s">
        <v>260</v>
      </c>
      <c r="H219" s="115"/>
      <c r="I219" s="2"/>
      <c r="J219" s="67">
        <v>23.5</v>
      </c>
      <c r="L219" s="57" t="s">
        <v>260</v>
      </c>
      <c r="M219" s="115"/>
      <c r="N219" s="2"/>
      <c r="O219" s="67">
        <v>23.5</v>
      </c>
    </row>
    <row r="220" spans="2:15" x14ac:dyDescent="0.3">
      <c r="B220" s="57" t="s">
        <v>314</v>
      </c>
      <c r="C220" s="124"/>
      <c r="D220" s="125"/>
      <c r="E220" s="65">
        <v>400</v>
      </c>
      <c r="G220" s="57" t="s">
        <v>314</v>
      </c>
      <c r="H220" s="124"/>
      <c r="I220" s="125"/>
      <c r="J220" s="65">
        <v>400</v>
      </c>
      <c r="L220" s="57" t="s">
        <v>314</v>
      </c>
      <c r="M220" s="124"/>
      <c r="N220" s="125"/>
      <c r="O220" s="65">
        <v>400</v>
      </c>
    </row>
    <row r="221" spans="2:15" x14ac:dyDescent="0.3">
      <c r="B221" s="57" t="s">
        <v>227</v>
      </c>
      <c r="C221" s="124"/>
      <c r="D221" s="125"/>
      <c r="E221" s="65">
        <v>16</v>
      </c>
      <c r="G221" s="57" t="s">
        <v>227</v>
      </c>
      <c r="H221" s="124"/>
      <c r="I221" s="125"/>
      <c r="J221" s="65">
        <v>24</v>
      </c>
      <c r="L221" s="57" t="s">
        <v>227</v>
      </c>
      <c r="M221" s="124"/>
      <c r="N221" s="125"/>
      <c r="O221" s="65">
        <v>24</v>
      </c>
    </row>
    <row r="222" spans="2:15" x14ac:dyDescent="0.3">
      <c r="B222" s="57" t="s">
        <v>91</v>
      </c>
      <c r="C222" s="2"/>
      <c r="D222" s="2"/>
      <c r="E222" s="64">
        <v>2860</v>
      </c>
      <c r="G222" s="57" t="s">
        <v>91</v>
      </c>
      <c r="H222" s="2"/>
      <c r="I222" s="2"/>
      <c r="J222" s="64">
        <v>2990</v>
      </c>
      <c r="L222" s="57" t="s">
        <v>91</v>
      </c>
      <c r="M222" s="2"/>
      <c r="N222" s="2"/>
      <c r="O222" s="64">
        <v>3120</v>
      </c>
    </row>
    <row r="223" spans="2:15" x14ac:dyDescent="0.3">
      <c r="B223" s="57" t="s">
        <v>97</v>
      </c>
      <c r="C223" s="2"/>
      <c r="D223" s="2"/>
      <c r="E223" s="63">
        <v>220</v>
      </c>
      <c r="G223" s="57" t="s">
        <v>97</v>
      </c>
      <c r="H223" s="2"/>
      <c r="I223" s="2"/>
      <c r="J223" s="63">
        <v>230</v>
      </c>
      <c r="L223" s="57" t="s">
        <v>97</v>
      </c>
      <c r="M223" s="2"/>
      <c r="N223" s="2"/>
      <c r="O223" s="63">
        <v>240</v>
      </c>
    </row>
    <row r="224" spans="2:15" x14ac:dyDescent="0.3">
      <c r="B224" s="57" t="s">
        <v>315</v>
      </c>
      <c r="C224" s="2"/>
      <c r="D224" s="2"/>
      <c r="E224" s="64">
        <v>707.5</v>
      </c>
      <c r="G224" s="57" t="s">
        <v>315</v>
      </c>
      <c r="H224" s="2"/>
      <c r="I224" s="2"/>
      <c r="J224" s="64">
        <v>787.5</v>
      </c>
      <c r="L224" s="57" t="s">
        <v>315</v>
      </c>
      <c r="M224" s="2"/>
      <c r="N224" s="2"/>
      <c r="O224" s="64">
        <v>957.5</v>
      </c>
    </row>
    <row r="225" spans="2:15" ht="15" thickBot="1" x14ac:dyDescent="0.35">
      <c r="B225" s="57" t="s">
        <v>94</v>
      </c>
      <c r="C225" s="2"/>
      <c r="D225" s="126"/>
      <c r="E225" s="176">
        <v>139.5</v>
      </c>
      <c r="G225" s="57" t="s">
        <v>94</v>
      </c>
      <c r="H225" s="2"/>
      <c r="I225" s="126"/>
      <c r="J225" s="176">
        <v>46.24</v>
      </c>
      <c r="L225" s="57" t="s">
        <v>94</v>
      </c>
      <c r="M225" s="2"/>
      <c r="N225" s="126"/>
      <c r="O225" s="176">
        <v>136.94999999999999</v>
      </c>
    </row>
    <row r="226" spans="2:15" ht="15.6" thickTop="1" thickBot="1" x14ac:dyDescent="0.35">
      <c r="B226" s="61" t="s">
        <v>92</v>
      </c>
      <c r="C226" s="62"/>
      <c r="D226" s="128"/>
      <c r="E226" s="129">
        <v>3567.5</v>
      </c>
      <c r="G226" s="61" t="s">
        <v>92</v>
      </c>
      <c r="H226" s="62"/>
      <c r="I226" s="128"/>
      <c r="J226" s="129">
        <v>3777.5</v>
      </c>
      <c r="L226" s="61" t="s">
        <v>92</v>
      </c>
      <c r="M226" s="62"/>
      <c r="N226" s="128"/>
      <c r="O226" s="129">
        <v>4077.5</v>
      </c>
    </row>
    <row r="227" spans="2:15" ht="15.6" thickTop="1" thickBot="1" x14ac:dyDescent="0.35">
      <c r="B227" s="61" t="s">
        <v>96</v>
      </c>
      <c r="C227" s="62"/>
      <c r="D227" s="128"/>
      <c r="E227" s="140">
        <v>3567.4999999999982</v>
      </c>
      <c r="G227" s="61" t="s">
        <v>96</v>
      </c>
      <c r="H227" s="62"/>
      <c r="I227" s="128"/>
      <c r="J227" s="140">
        <v>3777.4999999999982</v>
      </c>
      <c r="L227" s="61" t="s">
        <v>96</v>
      </c>
      <c r="M227" s="62"/>
      <c r="N227" s="128"/>
      <c r="O227" s="140">
        <v>4077.4999999999991</v>
      </c>
    </row>
    <row r="228" spans="2:15" ht="15.6" thickTop="1" thickBot="1" x14ac:dyDescent="0.35">
      <c r="E228" s="199"/>
      <c r="J228" s="199"/>
      <c r="O228" s="199"/>
    </row>
    <row r="229" spans="2:15" ht="15.6" thickTop="1" thickBot="1" x14ac:dyDescent="0.35">
      <c r="B229" s="371" t="s">
        <v>90</v>
      </c>
      <c r="C229" s="372"/>
      <c r="D229" s="177" t="s">
        <v>345</v>
      </c>
      <c r="E229" s="72">
        <v>45519</v>
      </c>
      <c r="G229" s="371" t="s">
        <v>90</v>
      </c>
      <c r="H229" s="372"/>
      <c r="I229" s="177" t="s">
        <v>345</v>
      </c>
      <c r="J229" s="72">
        <v>45550</v>
      </c>
      <c r="L229" s="371" t="s">
        <v>90</v>
      </c>
      <c r="M229" s="372"/>
      <c r="N229" s="177" t="s">
        <v>345</v>
      </c>
      <c r="O229" s="72">
        <v>45580</v>
      </c>
    </row>
    <row r="230" spans="2:15" ht="15.6" thickTop="1" thickBot="1" x14ac:dyDescent="0.35">
      <c r="B230" s="373"/>
      <c r="C230" s="374"/>
      <c r="D230" s="177" t="s">
        <v>346</v>
      </c>
      <c r="E230" s="72">
        <v>44788</v>
      </c>
      <c r="G230" s="373"/>
      <c r="H230" s="374"/>
      <c r="I230" s="177" t="s">
        <v>346</v>
      </c>
      <c r="J230" s="72">
        <v>44788</v>
      </c>
      <c r="L230" s="373"/>
      <c r="M230" s="374"/>
      <c r="N230" s="177" t="s">
        <v>346</v>
      </c>
      <c r="O230" s="72">
        <v>44788</v>
      </c>
    </row>
    <row r="231" spans="2:15" ht="15.6" thickTop="1" thickBot="1" x14ac:dyDescent="0.35">
      <c r="B231" s="375"/>
      <c r="C231" s="376"/>
      <c r="D231" s="177" t="s">
        <v>344</v>
      </c>
      <c r="E231" s="72">
        <v>45549</v>
      </c>
      <c r="G231" s="375"/>
      <c r="H231" s="376"/>
      <c r="I231" s="177" t="s">
        <v>344</v>
      </c>
      <c r="J231" s="72">
        <v>45579</v>
      </c>
      <c r="L231" s="375"/>
      <c r="M231" s="376"/>
      <c r="N231" s="177" t="s">
        <v>344</v>
      </c>
      <c r="O231" s="72">
        <v>45610</v>
      </c>
    </row>
    <row r="232" spans="2:15" ht="15.6" thickTop="1" thickBot="1" x14ac:dyDescent="0.35">
      <c r="B232" s="57" t="s">
        <v>89</v>
      </c>
      <c r="C232" s="2"/>
      <c r="D232" s="2"/>
      <c r="E232" s="114">
        <v>3250</v>
      </c>
      <c r="G232" s="57" t="s">
        <v>89</v>
      </c>
      <c r="H232" s="2"/>
      <c r="I232" s="2"/>
      <c r="J232" s="114">
        <v>3380</v>
      </c>
      <c r="L232" s="57" t="s">
        <v>89</v>
      </c>
      <c r="M232" s="2"/>
      <c r="N232" s="2"/>
      <c r="O232" s="114">
        <v>3510</v>
      </c>
    </row>
    <row r="233" spans="2:15" ht="15.6" thickTop="1" thickBot="1" x14ac:dyDescent="0.35">
      <c r="B233" s="58" t="s">
        <v>162</v>
      </c>
      <c r="C233" s="59"/>
      <c r="D233" s="59"/>
      <c r="E233" s="120"/>
      <c r="G233" s="58" t="s">
        <v>162</v>
      </c>
      <c r="H233" s="59"/>
      <c r="I233" s="59"/>
      <c r="J233" s="120"/>
      <c r="L233" s="58" t="s">
        <v>162</v>
      </c>
      <c r="M233" s="59"/>
      <c r="N233" s="59"/>
      <c r="O233" s="120"/>
    </row>
    <row r="234" spans="2:15" ht="15" thickTop="1" x14ac:dyDescent="0.3">
      <c r="B234" s="118" t="s">
        <v>207</v>
      </c>
      <c r="C234" s="2"/>
      <c r="D234" s="2"/>
      <c r="E234" s="113">
        <v>14210</v>
      </c>
      <c r="G234" s="118" t="s">
        <v>207</v>
      </c>
      <c r="H234" s="2"/>
      <c r="I234" s="2"/>
      <c r="J234" s="113">
        <v>14610</v>
      </c>
      <c r="L234" s="118" t="s">
        <v>207</v>
      </c>
      <c r="M234" s="2"/>
      <c r="N234" s="2"/>
      <c r="O234" s="113">
        <v>15610</v>
      </c>
    </row>
    <row r="235" spans="2:15" x14ac:dyDescent="0.3">
      <c r="B235" s="119" t="s">
        <v>208</v>
      </c>
      <c r="C235" s="2"/>
      <c r="D235" s="2"/>
      <c r="E235" s="65">
        <v>200</v>
      </c>
      <c r="G235" s="119" t="s">
        <v>208</v>
      </c>
      <c r="H235" s="2"/>
      <c r="I235" s="2"/>
      <c r="J235" s="65">
        <v>460</v>
      </c>
      <c r="L235" s="119" t="s">
        <v>208</v>
      </c>
      <c r="M235" s="2"/>
      <c r="N235" s="2"/>
      <c r="O235" s="65">
        <v>460</v>
      </c>
    </row>
    <row r="236" spans="2:15" x14ac:dyDescent="0.3">
      <c r="B236" s="57" t="s">
        <v>100</v>
      </c>
      <c r="C236" s="2"/>
      <c r="D236" s="2"/>
      <c r="E236" s="66">
        <v>900</v>
      </c>
      <c r="G236" s="57" t="s">
        <v>100</v>
      </c>
      <c r="H236" s="2"/>
      <c r="I236" s="2"/>
      <c r="J236" s="66">
        <v>660</v>
      </c>
      <c r="L236" s="57" t="s">
        <v>100</v>
      </c>
      <c r="M236" s="2"/>
      <c r="N236" s="2"/>
      <c r="O236" s="66">
        <v>1000</v>
      </c>
    </row>
    <row r="237" spans="2:15" x14ac:dyDescent="0.3">
      <c r="B237" s="119" t="s">
        <v>209</v>
      </c>
      <c r="C237" s="2"/>
      <c r="D237" s="2"/>
      <c r="E237" s="121">
        <v>1466</v>
      </c>
      <c r="G237" s="119" t="s">
        <v>209</v>
      </c>
      <c r="H237" s="2"/>
      <c r="I237" s="2"/>
      <c r="J237" s="121">
        <v>1498</v>
      </c>
      <c r="L237" s="119" t="s">
        <v>209</v>
      </c>
      <c r="M237" s="2"/>
      <c r="N237" s="2"/>
      <c r="O237" s="121">
        <v>1578</v>
      </c>
    </row>
    <row r="238" spans="2:15" ht="15" thickBot="1" x14ac:dyDescent="0.35">
      <c r="B238" s="57" t="s">
        <v>102</v>
      </c>
      <c r="C238" s="2"/>
      <c r="D238" s="2"/>
      <c r="E238" s="66">
        <v>108</v>
      </c>
      <c r="G238" s="57" t="s">
        <v>102</v>
      </c>
      <c r="H238" s="2"/>
      <c r="I238" s="2"/>
      <c r="J238" s="66">
        <v>32</v>
      </c>
      <c r="L238" s="57" t="s">
        <v>102</v>
      </c>
      <c r="M238" s="2"/>
      <c r="N238" s="2"/>
      <c r="O238" s="66">
        <v>80</v>
      </c>
    </row>
    <row r="239" spans="2:15" ht="15.6" thickTop="1" thickBot="1" x14ac:dyDescent="0.35">
      <c r="B239" s="122" t="s">
        <v>39</v>
      </c>
      <c r="C239" s="59"/>
      <c r="D239" s="59"/>
      <c r="E239" s="120"/>
      <c r="G239" s="122" t="s">
        <v>39</v>
      </c>
      <c r="H239" s="59"/>
      <c r="I239" s="59"/>
      <c r="J239" s="120"/>
      <c r="L239" s="122" t="s">
        <v>39</v>
      </c>
      <c r="M239" s="59"/>
      <c r="N239" s="59"/>
      <c r="O239" s="120"/>
    </row>
    <row r="240" spans="2:15" ht="15" thickTop="1" x14ac:dyDescent="0.3">
      <c r="B240" s="57" t="s">
        <v>98</v>
      </c>
      <c r="C240" s="2"/>
      <c r="D240" s="2"/>
      <c r="E240" s="65">
        <v>10638.830000000002</v>
      </c>
      <c r="G240" s="57" t="s">
        <v>98</v>
      </c>
      <c r="H240" s="2"/>
      <c r="I240" s="2"/>
      <c r="J240" s="65">
        <v>11506.210000000001</v>
      </c>
      <c r="L240" s="57" t="s">
        <v>98</v>
      </c>
      <c r="M240" s="2"/>
      <c r="N240" s="2"/>
      <c r="O240" s="65">
        <v>12413.59</v>
      </c>
    </row>
    <row r="241" spans="2:15" x14ac:dyDescent="0.3">
      <c r="B241" s="57" t="s">
        <v>101</v>
      </c>
      <c r="C241" s="2"/>
      <c r="D241" s="2"/>
      <c r="E241" s="66">
        <v>737.38</v>
      </c>
      <c r="G241" s="57" t="s">
        <v>101</v>
      </c>
      <c r="H241" s="2"/>
      <c r="I241" s="2"/>
      <c r="J241" s="66">
        <v>867.38</v>
      </c>
      <c r="L241" s="57" t="s">
        <v>101</v>
      </c>
      <c r="M241" s="2"/>
      <c r="N241" s="2"/>
      <c r="O241" s="66">
        <v>934.08</v>
      </c>
    </row>
    <row r="242" spans="2:15" ht="15" thickBot="1" x14ac:dyDescent="0.35">
      <c r="B242" s="70" t="s">
        <v>93</v>
      </c>
      <c r="C242" s="69"/>
      <c r="D242" s="60"/>
      <c r="E242" s="68">
        <v>3571.1699999999983</v>
      </c>
      <c r="G242" s="70" t="s">
        <v>93</v>
      </c>
      <c r="H242" s="69"/>
      <c r="I242" s="60"/>
      <c r="J242" s="68">
        <v>3103.7899999999991</v>
      </c>
      <c r="L242" s="70" t="s">
        <v>93</v>
      </c>
      <c r="M242" s="69"/>
      <c r="N242" s="60"/>
      <c r="O242" s="68">
        <v>3196.41</v>
      </c>
    </row>
    <row r="243" spans="2:15" ht="15" thickTop="1" x14ac:dyDescent="0.3">
      <c r="B243" s="57" t="s">
        <v>99</v>
      </c>
      <c r="C243" s="2"/>
      <c r="D243" s="2"/>
      <c r="E243" s="65">
        <v>920</v>
      </c>
      <c r="G243" s="57" t="s">
        <v>99</v>
      </c>
      <c r="H243" s="2"/>
      <c r="I243" s="2"/>
      <c r="J243" s="65">
        <v>1030</v>
      </c>
      <c r="L243" s="57" t="s">
        <v>99</v>
      </c>
      <c r="M243" s="2"/>
      <c r="N243" s="2"/>
      <c r="O243" s="65">
        <v>1148</v>
      </c>
    </row>
    <row r="244" spans="2:15" x14ac:dyDescent="0.3">
      <c r="B244" s="57" t="s">
        <v>103</v>
      </c>
      <c r="C244" s="2"/>
      <c r="D244" s="2"/>
      <c r="E244" s="66">
        <v>94</v>
      </c>
      <c r="G244" s="57" t="s">
        <v>103</v>
      </c>
      <c r="H244" s="2"/>
      <c r="I244" s="2"/>
      <c r="J244" s="66">
        <v>110</v>
      </c>
      <c r="L244" s="57" t="s">
        <v>103</v>
      </c>
      <c r="M244" s="2"/>
      <c r="N244" s="2"/>
      <c r="O244" s="66">
        <v>104</v>
      </c>
    </row>
    <row r="245" spans="2:15" ht="15" thickBot="1" x14ac:dyDescent="0.35">
      <c r="B245" s="70" t="s">
        <v>95</v>
      </c>
      <c r="C245" s="60"/>
      <c r="D245" s="60"/>
      <c r="E245" s="68">
        <v>546</v>
      </c>
      <c r="G245" s="70" t="s">
        <v>95</v>
      </c>
      <c r="H245" s="60"/>
      <c r="I245" s="60"/>
      <c r="J245" s="68">
        <v>468</v>
      </c>
      <c r="L245" s="70" t="s">
        <v>95</v>
      </c>
      <c r="M245" s="60"/>
      <c r="N245" s="60"/>
      <c r="O245" s="68">
        <v>430</v>
      </c>
    </row>
    <row r="246" spans="2:15" ht="15.6" thickTop="1" thickBot="1" x14ac:dyDescent="0.35">
      <c r="B246" s="58" t="s">
        <v>210</v>
      </c>
      <c r="C246" s="123"/>
      <c r="D246" s="59"/>
      <c r="E246" s="127"/>
      <c r="G246" s="58" t="s">
        <v>210</v>
      </c>
      <c r="H246" s="123"/>
      <c r="I246" s="59"/>
      <c r="J246" s="127"/>
      <c r="L246" s="58" t="s">
        <v>210</v>
      </c>
      <c r="M246" s="123"/>
      <c r="N246" s="59"/>
      <c r="O246" s="127"/>
    </row>
    <row r="247" spans="2:15" ht="15" thickTop="1" x14ac:dyDescent="0.3">
      <c r="B247" s="57" t="s">
        <v>260</v>
      </c>
      <c r="C247" s="115"/>
      <c r="D247" s="2"/>
      <c r="E247" s="67">
        <v>23.5</v>
      </c>
      <c r="G247" s="57" t="s">
        <v>260</v>
      </c>
      <c r="H247" s="115"/>
      <c r="I247" s="2"/>
      <c r="J247" s="67">
        <v>23.5</v>
      </c>
      <c r="L247" s="57" t="s">
        <v>260</v>
      </c>
      <c r="M247" s="115"/>
      <c r="N247" s="2"/>
      <c r="O247" s="67">
        <v>50.2</v>
      </c>
    </row>
    <row r="248" spans="2:15" x14ac:dyDescent="0.3">
      <c r="B248" s="57" t="s">
        <v>314</v>
      </c>
      <c r="C248" s="124"/>
      <c r="D248" s="125"/>
      <c r="E248" s="65">
        <v>400</v>
      </c>
      <c r="G248" s="57" t="s">
        <v>314</v>
      </c>
      <c r="H248" s="124"/>
      <c r="I248" s="125"/>
      <c r="J248" s="65">
        <v>660</v>
      </c>
      <c r="L248" s="57" t="s">
        <v>314</v>
      </c>
      <c r="M248" s="124"/>
      <c r="N248" s="125"/>
      <c r="O248" s="65">
        <v>860</v>
      </c>
    </row>
    <row r="249" spans="2:15" x14ac:dyDescent="0.3">
      <c r="B249" s="57" t="s">
        <v>227</v>
      </c>
      <c r="C249" s="124"/>
      <c r="D249" s="125"/>
      <c r="E249" s="65">
        <v>24</v>
      </c>
      <c r="G249" s="57" t="s">
        <v>227</v>
      </c>
      <c r="H249" s="124"/>
      <c r="I249" s="125"/>
      <c r="J249" s="65">
        <v>24</v>
      </c>
      <c r="L249" s="57" t="s">
        <v>227</v>
      </c>
      <c r="M249" s="124"/>
      <c r="N249" s="125"/>
      <c r="O249" s="65">
        <v>38</v>
      </c>
    </row>
    <row r="250" spans="2:15" x14ac:dyDescent="0.3">
      <c r="B250" s="57" t="s">
        <v>91</v>
      </c>
      <c r="C250" s="2"/>
      <c r="D250" s="2"/>
      <c r="E250" s="64">
        <v>3250</v>
      </c>
      <c r="G250" s="57" t="s">
        <v>91</v>
      </c>
      <c r="H250" s="2"/>
      <c r="I250" s="2"/>
      <c r="J250" s="64">
        <v>3380</v>
      </c>
      <c r="L250" s="57" t="s">
        <v>91</v>
      </c>
      <c r="M250" s="2"/>
      <c r="N250" s="2"/>
      <c r="O250" s="64">
        <v>3510</v>
      </c>
    </row>
    <row r="251" spans="2:15" x14ac:dyDescent="0.3">
      <c r="B251" s="57" t="s">
        <v>97</v>
      </c>
      <c r="C251" s="2"/>
      <c r="D251" s="2"/>
      <c r="E251" s="63">
        <v>250</v>
      </c>
      <c r="G251" s="57" t="s">
        <v>97</v>
      </c>
      <c r="H251" s="2"/>
      <c r="I251" s="2"/>
      <c r="J251" s="63">
        <v>260</v>
      </c>
      <c r="L251" s="57" t="s">
        <v>97</v>
      </c>
      <c r="M251" s="2"/>
      <c r="N251" s="2"/>
      <c r="O251" s="63">
        <v>270</v>
      </c>
    </row>
    <row r="252" spans="2:15" x14ac:dyDescent="0.3">
      <c r="B252" s="57" t="s">
        <v>315</v>
      </c>
      <c r="C252" s="2"/>
      <c r="D252" s="2"/>
      <c r="E252" s="64">
        <v>1065.5</v>
      </c>
      <c r="G252" s="57" t="s">
        <v>315</v>
      </c>
      <c r="H252" s="2"/>
      <c r="I252" s="2"/>
      <c r="J252" s="64">
        <v>837.5</v>
      </c>
      <c r="L252" s="57" t="s">
        <v>315</v>
      </c>
      <c r="M252" s="2"/>
      <c r="N252" s="2"/>
      <c r="O252" s="64">
        <v>730.2</v>
      </c>
    </row>
    <row r="253" spans="2:15" ht="15" thickBot="1" x14ac:dyDescent="0.35">
      <c r="B253" s="57" t="s">
        <v>94</v>
      </c>
      <c r="C253" s="2"/>
      <c r="D253" s="126"/>
      <c r="E253" s="176">
        <v>198.33</v>
      </c>
      <c r="G253" s="57" t="s">
        <v>94</v>
      </c>
      <c r="H253" s="2"/>
      <c r="I253" s="126"/>
      <c r="J253" s="176">
        <v>645.71</v>
      </c>
      <c r="L253" s="57" t="s">
        <v>94</v>
      </c>
      <c r="M253" s="2"/>
      <c r="N253" s="126"/>
      <c r="O253" s="176">
        <v>613.79</v>
      </c>
    </row>
    <row r="254" spans="2:15" ht="15.6" thickTop="1" thickBot="1" x14ac:dyDescent="0.35">
      <c r="B254" s="61" t="s">
        <v>92</v>
      </c>
      <c r="C254" s="62"/>
      <c r="D254" s="128"/>
      <c r="E254" s="129">
        <v>4315.5</v>
      </c>
      <c r="G254" s="61" t="s">
        <v>92</v>
      </c>
      <c r="H254" s="62"/>
      <c r="I254" s="128"/>
      <c r="J254" s="129">
        <v>4217.5</v>
      </c>
      <c r="L254" s="61" t="s">
        <v>92</v>
      </c>
      <c r="M254" s="62"/>
      <c r="N254" s="128"/>
      <c r="O254" s="129">
        <v>4240.2</v>
      </c>
    </row>
    <row r="255" spans="2:15" ht="15.6" thickTop="1" thickBot="1" x14ac:dyDescent="0.35">
      <c r="B255" s="61" t="s">
        <v>96</v>
      </c>
      <c r="C255" s="62"/>
      <c r="D255" s="128"/>
      <c r="E255" s="140">
        <v>4315.4999999999982</v>
      </c>
      <c r="G255" s="61" t="s">
        <v>96</v>
      </c>
      <c r="H255" s="62"/>
      <c r="I255" s="128"/>
      <c r="J255" s="140">
        <v>4217.4999999999991</v>
      </c>
      <c r="L255" s="61" t="s">
        <v>96</v>
      </c>
      <c r="M255" s="62"/>
      <c r="N255" s="128"/>
      <c r="O255" s="140">
        <v>4240.2</v>
      </c>
    </row>
    <row r="256" spans="2:15" ht="15.6" thickTop="1" thickBot="1" x14ac:dyDescent="0.35">
      <c r="E256" s="199"/>
      <c r="J256" s="199"/>
      <c r="O256" s="199"/>
    </row>
    <row r="257" spans="2:15" ht="15.6" thickTop="1" thickBot="1" x14ac:dyDescent="0.35">
      <c r="B257" s="371" t="s">
        <v>90</v>
      </c>
      <c r="C257" s="372"/>
      <c r="D257" s="177" t="s">
        <v>345</v>
      </c>
      <c r="E257" s="72">
        <v>45611</v>
      </c>
      <c r="G257" s="371" t="s">
        <v>90</v>
      </c>
      <c r="H257" s="372"/>
      <c r="I257" s="177" t="s">
        <v>345</v>
      </c>
      <c r="J257" s="72">
        <v>45641</v>
      </c>
      <c r="L257" s="371" t="s">
        <v>90</v>
      </c>
      <c r="M257" s="372"/>
      <c r="N257" s="177" t="s">
        <v>345</v>
      </c>
      <c r="O257" s="72">
        <v>45672</v>
      </c>
    </row>
    <row r="258" spans="2:15" ht="15.6" thickTop="1" thickBot="1" x14ac:dyDescent="0.35">
      <c r="B258" s="373"/>
      <c r="C258" s="374"/>
      <c r="D258" s="177" t="s">
        <v>346</v>
      </c>
      <c r="E258" s="72">
        <v>44788</v>
      </c>
      <c r="G258" s="373"/>
      <c r="H258" s="374"/>
      <c r="I258" s="177" t="s">
        <v>346</v>
      </c>
      <c r="J258" s="72">
        <v>44788</v>
      </c>
      <c r="L258" s="373"/>
      <c r="M258" s="374"/>
      <c r="N258" s="177" t="s">
        <v>346</v>
      </c>
      <c r="O258" s="72">
        <v>44788</v>
      </c>
    </row>
    <row r="259" spans="2:15" ht="15.6" thickTop="1" thickBot="1" x14ac:dyDescent="0.35">
      <c r="B259" s="375"/>
      <c r="C259" s="376"/>
      <c r="D259" s="177" t="s">
        <v>344</v>
      </c>
      <c r="E259" s="72">
        <v>45640</v>
      </c>
      <c r="G259" s="375"/>
      <c r="H259" s="376"/>
      <c r="I259" s="177" t="s">
        <v>344</v>
      </c>
      <c r="J259" s="72">
        <v>45671</v>
      </c>
      <c r="L259" s="375"/>
      <c r="M259" s="376"/>
      <c r="N259" s="177" t="s">
        <v>344</v>
      </c>
      <c r="O259" s="72">
        <v>45702</v>
      </c>
    </row>
    <row r="260" spans="2:15" ht="15.6" thickTop="1" thickBot="1" x14ac:dyDescent="0.35">
      <c r="B260" s="57" t="s">
        <v>89</v>
      </c>
      <c r="C260" s="2"/>
      <c r="D260" s="2"/>
      <c r="E260" s="114">
        <v>3640</v>
      </c>
      <c r="G260" s="57" t="s">
        <v>89</v>
      </c>
      <c r="H260" s="2"/>
      <c r="I260" s="2"/>
      <c r="J260" s="114">
        <v>3770</v>
      </c>
      <c r="L260" s="57" t="s">
        <v>89</v>
      </c>
      <c r="M260" s="2"/>
      <c r="N260" s="2"/>
      <c r="O260" s="114">
        <v>3900</v>
      </c>
    </row>
    <row r="261" spans="2:15" ht="15.6" thickTop="1" thickBot="1" x14ac:dyDescent="0.35">
      <c r="B261" s="58" t="s">
        <v>162</v>
      </c>
      <c r="C261" s="59"/>
      <c r="D261" s="59"/>
      <c r="E261" s="120"/>
      <c r="G261" s="58" t="s">
        <v>162</v>
      </c>
      <c r="H261" s="59"/>
      <c r="I261" s="59"/>
      <c r="J261" s="120"/>
      <c r="L261" s="58" t="s">
        <v>162</v>
      </c>
      <c r="M261" s="59"/>
      <c r="N261" s="59"/>
      <c r="O261" s="120"/>
    </row>
    <row r="262" spans="2:15" ht="15" thickTop="1" x14ac:dyDescent="0.3">
      <c r="B262" s="118" t="s">
        <v>207</v>
      </c>
      <c r="C262" s="2"/>
      <c r="D262" s="2"/>
      <c r="E262" s="113">
        <v>17310</v>
      </c>
      <c r="G262" s="118" t="s">
        <v>207</v>
      </c>
      <c r="H262" s="2"/>
      <c r="I262" s="2"/>
      <c r="J262" s="113">
        <v>18890</v>
      </c>
      <c r="L262" s="118" t="s">
        <v>207</v>
      </c>
      <c r="M262" s="2"/>
      <c r="N262" s="2"/>
      <c r="O262" s="113">
        <v>20440</v>
      </c>
    </row>
    <row r="263" spans="2:15" x14ac:dyDescent="0.3">
      <c r="B263" s="119" t="s">
        <v>208</v>
      </c>
      <c r="C263" s="2"/>
      <c r="D263" s="2"/>
      <c r="E263" s="65">
        <v>460</v>
      </c>
      <c r="G263" s="119" t="s">
        <v>208</v>
      </c>
      <c r="H263" s="2"/>
      <c r="I263" s="2"/>
      <c r="J263" s="65">
        <v>460</v>
      </c>
      <c r="L263" s="119" t="s">
        <v>208</v>
      </c>
      <c r="M263" s="2"/>
      <c r="N263" s="2"/>
      <c r="O263" s="65">
        <v>460</v>
      </c>
    </row>
    <row r="264" spans="2:15" x14ac:dyDescent="0.3">
      <c r="B264" s="57" t="s">
        <v>100</v>
      </c>
      <c r="C264" s="2"/>
      <c r="D264" s="2"/>
      <c r="E264" s="66">
        <v>1700</v>
      </c>
      <c r="G264" s="57" t="s">
        <v>100</v>
      </c>
      <c r="H264" s="2"/>
      <c r="I264" s="2"/>
      <c r="J264" s="66">
        <v>1580</v>
      </c>
      <c r="L264" s="57" t="s">
        <v>100</v>
      </c>
      <c r="M264" s="2"/>
      <c r="N264" s="2"/>
      <c r="O264" s="66">
        <v>1550</v>
      </c>
    </row>
    <row r="265" spans="2:15" x14ac:dyDescent="0.3">
      <c r="B265" s="119" t="s">
        <v>209</v>
      </c>
      <c r="C265" s="2"/>
      <c r="D265" s="2"/>
      <c r="E265" s="121">
        <v>1828</v>
      </c>
      <c r="G265" s="119" t="s">
        <v>209</v>
      </c>
      <c r="H265" s="2"/>
      <c r="I265" s="2"/>
      <c r="J265" s="121">
        <v>2079.6</v>
      </c>
      <c r="L265" s="119" t="s">
        <v>209</v>
      </c>
      <c r="M265" s="2"/>
      <c r="N265" s="2"/>
      <c r="O265" s="121">
        <v>2281.6</v>
      </c>
    </row>
    <row r="266" spans="2:15" ht="15" thickBot="1" x14ac:dyDescent="0.35">
      <c r="B266" s="57" t="s">
        <v>102</v>
      </c>
      <c r="C266" s="2"/>
      <c r="D266" s="2"/>
      <c r="E266" s="66">
        <v>250</v>
      </c>
      <c r="G266" s="57" t="s">
        <v>102</v>
      </c>
      <c r="H266" s="2"/>
      <c r="I266" s="2"/>
      <c r="J266" s="66">
        <v>251.6</v>
      </c>
      <c r="L266" s="57" t="s">
        <v>102</v>
      </c>
      <c r="M266" s="2"/>
      <c r="N266" s="2"/>
      <c r="O266" s="66">
        <v>202</v>
      </c>
    </row>
    <row r="267" spans="2:15" ht="15.6" thickTop="1" thickBot="1" x14ac:dyDescent="0.35">
      <c r="B267" s="122" t="s">
        <v>39</v>
      </c>
      <c r="C267" s="59"/>
      <c r="D267" s="59"/>
      <c r="E267" s="120"/>
      <c r="G267" s="122" t="s">
        <v>39</v>
      </c>
      <c r="H267" s="59"/>
      <c r="I267" s="59"/>
      <c r="J267" s="120"/>
      <c r="L267" s="122" t="s">
        <v>39</v>
      </c>
      <c r="M267" s="59"/>
      <c r="N267" s="59"/>
      <c r="O267" s="120"/>
    </row>
    <row r="268" spans="2:15" ht="15" thickTop="1" x14ac:dyDescent="0.3">
      <c r="B268" s="57" t="s">
        <v>98</v>
      </c>
      <c r="C268" s="2"/>
      <c r="D268" s="2"/>
      <c r="E268" s="65">
        <v>13376.68</v>
      </c>
      <c r="G268" s="57" t="s">
        <v>98</v>
      </c>
      <c r="H268" s="2"/>
      <c r="I268" s="2"/>
      <c r="J268" s="65">
        <v>14575.02</v>
      </c>
      <c r="L268" s="57" t="s">
        <v>98</v>
      </c>
      <c r="M268" s="2"/>
      <c r="N268" s="2"/>
      <c r="O268" s="65">
        <v>15978.359999999999</v>
      </c>
    </row>
    <row r="269" spans="2:15" x14ac:dyDescent="0.3">
      <c r="B269" s="57" t="s">
        <v>101</v>
      </c>
      <c r="C269" s="2"/>
      <c r="D269" s="2"/>
      <c r="E269" s="66">
        <v>984.18000000000018</v>
      </c>
      <c r="G269" s="57" t="s">
        <v>101</v>
      </c>
      <c r="H269" s="2"/>
      <c r="I269" s="2"/>
      <c r="J269" s="66">
        <v>1025.0400000000002</v>
      </c>
      <c r="L269" s="57" t="s">
        <v>101</v>
      </c>
      <c r="M269" s="2"/>
      <c r="N269" s="2"/>
      <c r="O269" s="66">
        <v>1016.24</v>
      </c>
    </row>
    <row r="270" spans="2:15" ht="15" thickBot="1" x14ac:dyDescent="0.35">
      <c r="B270" s="70" t="s">
        <v>93</v>
      </c>
      <c r="C270" s="69"/>
      <c r="D270" s="60"/>
      <c r="E270" s="68">
        <v>3933.3199999999997</v>
      </c>
      <c r="G270" s="70" t="s">
        <v>93</v>
      </c>
      <c r="H270" s="69"/>
      <c r="I270" s="60"/>
      <c r="J270" s="68">
        <v>4314.9799999999996</v>
      </c>
      <c r="L270" s="70" t="s">
        <v>93</v>
      </c>
      <c r="M270" s="69"/>
      <c r="N270" s="60"/>
      <c r="O270" s="68">
        <v>4461.6400000000012</v>
      </c>
    </row>
    <row r="271" spans="2:15" ht="15" thickTop="1" x14ac:dyDescent="0.3">
      <c r="B271" s="57" t="s">
        <v>99</v>
      </c>
      <c r="C271" s="2"/>
      <c r="D271" s="2"/>
      <c r="E271" s="65">
        <v>1270</v>
      </c>
      <c r="G271" s="57" t="s">
        <v>99</v>
      </c>
      <c r="H271" s="2"/>
      <c r="I271" s="2"/>
      <c r="J271" s="65">
        <v>1410</v>
      </c>
      <c r="L271" s="57" t="s">
        <v>99</v>
      </c>
      <c r="M271" s="2"/>
      <c r="N271" s="2"/>
      <c r="O271" s="65">
        <v>1577.6</v>
      </c>
    </row>
    <row r="272" spans="2:15" x14ac:dyDescent="0.3">
      <c r="B272" s="57" t="s">
        <v>103</v>
      </c>
      <c r="C272" s="2"/>
      <c r="D272" s="2"/>
      <c r="E272" s="66">
        <v>110</v>
      </c>
      <c r="G272" s="57" t="s">
        <v>103</v>
      </c>
      <c r="H272" s="2"/>
      <c r="I272" s="2"/>
      <c r="J272" s="66">
        <v>122</v>
      </c>
      <c r="L272" s="57" t="s">
        <v>103</v>
      </c>
      <c r="M272" s="2"/>
      <c r="N272" s="2"/>
      <c r="O272" s="66">
        <v>129.6</v>
      </c>
    </row>
    <row r="273" spans="2:15" ht="15" thickBot="1" x14ac:dyDescent="0.35">
      <c r="B273" s="70" t="s">
        <v>95</v>
      </c>
      <c r="C273" s="60"/>
      <c r="D273" s="60"/>
      <c r="E273" s="68">
        <v>558</v>
      </c>
      <c r="G273" s="70" t="s">
        <v>95</v>
      </c>
      <c r="H273" s="60"/>
      <c r="I273" s="60"/>
      <c r="J273" s="68">
        <v>669.59999999999991</v>
      </c>
      <c r="L273" s="70" t="s">
        <v>95</v>
      </c>
      <c r="M273" s="60"/>
      <c r="N273" s="60"/>
      <c r="O273" s="68">
        <v>704</v>
      </c>
    </row>
    <row r="274" spans="2:15" ht="15.6" thickTop="1" thickBot="1" x14ac:dyDescent="0.35">
      <c r="B274" s="58" t="s">
        <v>210</v>
      </c>
      <c r="C274" s="123"/>
      <c r="D274" s="59"/>
      <c r="E274" s="127"/>
      <c r="G274" s="58" t="s">
        <v>210</v>
      </c>
      <c r="H274" s="123"/>
      <c r="I274" s="59"/>
      <c r="J274" s="127"/>
      <c r="L274" s="58" t="s">
        <v>210</v>
      </c>
      <c r="M274" s="123"/>
      <c r="N274" s="59"/>
      <c r="O274" s="127"/>
    </row>
    <row r="275" spans="2:15" ht="15" thickTop="1" x14ac:dyDescent="0.3">
      <c r="B275" s="57" t="s">
        <v>260</v>
      </c>
      <c r="C275" s="115"/>
      <c r="D275" s="2"/>
      <c r="E275" s="67">
        <v>156.99999999999997</v>
      </c>
      <c r="G275" s="57" t="s">
        <v>260</v>
      </c>
      <c r="H275" s="115"/>
      <c r="I275" s="2"/>
      <c r="J275" s="67">
        <v>183.69999999999996</v>
      </c>
      <c r="L275" s="57" t="s">
        <v>260</v>
      </c>
      <c r="M275" s="115"/>
      <c r="N275" s="2"/>
      <c r="O275" s="67">
        <v>183.69999999999996</v>
      </c>
    </row>
    <row r="276" spans="2:15" x14ac:dyDescent="0.3">
      <c r="B276" s="57" t="s">
        <v>314</v>
      </c>
      <c r="C276" s="124"/>
      <c r="D276" s="125"/>
      <c r="E276" s="65">
        <v>860</v>
      </c>
      <c r="G276" s="57" t="s">
        <v>314</v>
      </c>
      <c r="H276" s="124"/>
      <c r="I276" s="125"/>
      <c r="J276" s="65">
        <v>860</v>
      </c>
      <c r="L276" s="57" t="s">
        <v>314</v>
      </c>
      <c r="M276" s="124"/>
      <c r="N276" s="125"/>
      <c r="O276" s="65">
        <v>860</v>
      </c>
    </row>
    <row r="277" spans="2:15" x14ac:dyDescent="0.3">
      <c r="B277" s="57" t="s">
        <v>227</v>
      </c>
      <c r="C277" s="124"/>
      <c r="D277" s="125"/>
      <c r="E277" s="65">
        <v>50</v>
      </c>
      <c r="G277" s="57" t="s">
        <v>227</v>
      </c>
      <c r="H277" s="124"/>
      <c r="I277" s="125"/>
      <c r="J277" s="65">
        <v>68</v>
      </c>
      <c r="L277" s="57" t="s">
        <v>227</v>
      </c>
      <c r="M277" s="124"/>
      <c r="N277" s="125"/>
      <c r="O277" s="65">
        <v>106</v>
      </c>
    </row>
    <row r="278" spans="2:15" x14ac:dyDescent="0.3">
      <c r="B278" s="57" t="s">
        <v>91</v>
      </c>
      <c r="C278" s="2"/>
      <c r="D278" s="2"/>
      <c r="E278" s="64">
        <v>3640</v>
      </c>
      <c r="G278" s="57" t="s">
        <v>91</v>
      </c>
      <c r="H278" s="2"/>
      <c r="I278" s="2"/>
      <c r="J278" s="64">
        <v>3770</v>
      </c>
      <c r="L278" s="57" t="s">
        <v>91</v>
      </c>
      <c r="M278" s="2"/>
      <c r="N278" s="2"/>
      <c r="O278" s="64">
        <v>3900</v>
      </c>
    </row>
    <row r="279" spans="2:15" x14ac:dyDescent="0.3">
      <c r="B279" s="57" t="s">
        <v>97</v>
      </c>
      <c r="C279" s="2"/>
      <c r="D279" s="2"/>
      <c r="E279" s="63">
        <v>280</v>
      </c>
      <c r="G279" s="57" t="s">
        <v>97</v>
      </c>
      <c r="H279" s="2"/>
      <c r="I279" s="2"/>
      <c r="J279" s="63">
        <v>290</v>
      </c>
      <c r="L279" s="57" t="s">
        <v>97</v>
      </c>
      <c r="M279" s="2"/>
      <c r="N279" s="2"/>
      <c r="O279" s="63">
        <v>300</v>
      </c>
    </row>
    <row r="280" spans="2:15" x14ac:dyDescent="0.3">
      <c r="B280" s="57" t="s">
        <v>315</v>
      </c>
      <c r="C280" s="2"/>
      <c r="D280" s="2"/>
      <c r="E280" s="64">
        <v>1075</v>
      </c>
      <c r="G280" s="57" t="s">
        <v>315</v>
      </c>
      <c r="H280" s="2"/>
      <c r="I280" s="2"/>
      <c r="J280" s="64">
        <v>1335.3</v>
      </c>
      <c r="L280" s="57" t="s">
        <v>315</v>
      </c>
      <c r="M280" s="2"/>
      <c r="N280" s="2"/>
      <c r="O280" s="64">
        <v>1499.3</v>
      </c>
    </row>
    <row r="281" spans="2:15" ht="15" thickBot="1" x14ac:dyDescent="0.35">
      <c r="B281" s="57" t="s">
        <v>94</v>
      </c>
      <c r="C281" s="2"/>
      <c r="D281" s="126"/>
      <c r="E281" s="176">
        <v>223.68</v>
      </c>
      <c r="G281" s="57" t="s">
        <v>94</v>
      </c>
      <c r="H281" s="2"/>
      <c r="I281" s="126"/>
      <c r="J281" s="176">
        <v>120.72</v>
      </c>
      <c r="L281" s="57" t="s">
        <v>94</v>
      </c>
      <c r="M281" s="2"/>
      <c r="N281" s="126"/>
      <c r="O281" s="176">
        <v>233.66</v>
      </c>
    </row>
    <row r="282" spans="2:15" ht="15.6" thickTop="1" thickBot="1" x14ac:dyDescent="0.35">
      <c r="B282" s="61" t="s">
        <v>92</v>
      </c>
      <c r="C282" s="62"/>
      <c r="D282" s="128"/>
      <c r="E282" s="129">
        <v>4715</v>
      </c>
      <c r="G282" s="61" t="s">
        <v>92</v>
      </c>
      <c r="H282" s="62"/>
      <c r="I282" s="128"/>
      <c r="J282" s="129">
        <v>5105.3</v>
      </c>
      <c r="L282" s="61" t="s">
        <v>92</v>
      </c>
      <c r="M282" s="62"/>
      <c r="N282" s="128"/>
      <c r="O282" s="129">
        <v>5399.3</v>
      </c>
    </row>
    <row r="283" spans="2:15" ht="15.6" thickTop="1" thickBot="1" x14ac:dyDescent="0.35">
      <c r="B283" s="61" t="s">
        <v>96</v>
      </c>
      <c r="C283" s="62"/>
      <c r="D283" s="128"/>
      <c r="E283" s="140">
        <v>4715</v>
      </c>
      <c r="G283" s="61" t="s">
        <v>96</v>
      </c>
      <c r="H283" s="62"/>
      <c r="I283" s="128"/>
      <c r="J283" s="140">
        <v>5105.3</v>
      </c>
      <c r="L283" s="61" t="s">
        <v>96</v>
      </c>
      <c r="M283" s="62"/>
      <c r="N283" s="128"/>
      <c r="O283" s="140">
        <v>5399.3000000000011</v>
      </c>
    </row>
    <row r="284" spans="2:15" ht="15.6" thickTop="1" thickBot="1" x14ac:dyDescent="0.35">
      <c r="E284" s="199"/>
      <c r="J284" s="199"/>
      <c r="O284" s="199"/>
    </row>
    <row r="285" spans="2:15" ht="15.6" thickTop="1" thickBot="1" x14ac:dyDescent="0.35">
      <c r="B285" s="371" t="s">
        <v>90</v>
      </c>
      <c r="C285" s="372"/>
      <c r="D285" s="177" t="s">
        <v>345</v>
      </c>
      <c r="E285" s="72">
        <v>45703</v>
      </c>
      <c r="G285" s="371" t="s">
        <v>90</v>
      </c>
      <c r="H285" s="372"/>
      <c r="I285" s="177" t="s">
        <v>345</v>
      </c>
      <c r="J285" s="72">
        <v>45731</v>
      </c>
      <c r="L285" s="371" t="s">
        <v>90</v>
      </c>
      <c r="M285" s="372"/>
      <c r="N285" s="177" t="s">
        <v>345</v>
      </c>
      <c r="O285" s="72">
        <v>45762</v>
      </c>
    </row>
    <row r="286" spans="2:15" ht="15.6" thickTop="1" thickBot="1" x14ac:dyDescent="0.35">
      <c r="B286" s="373"/>
      <c r="C286" s="374"/>
      <c r="D286" s="177" t="s">
        <v>346</v>
      </c>
      <c r="E286" s="72">
        <v>44788</v>
      </c>
      <c r="G286" s="373"/>
      <c r="H286" s="374"/>
      <c r="I286" s="177" t="s">
        <v>346</v>
      </c>
      <c r="J286" s="72">
        <v>44788</v>
      </c>
      <c r="L286" s="373"/>
      <c r="M286" s="374"/>
      <c r="N286" s="177" t="s">
        <v>346</v>
      </c>
      <c r="O286" s="72">
        <v>44788</v>
      </c>
    </row>
    <row r="287" spans="2:15" ht="15.6" thickTop="1" thickBot="1" x14ac:dyDescent="0.35">
      <c r="B287" s="375"/>
      <c r="C287" s="376"/>
      <c r="D287" s="177" t="s">
        <v>344</v>
      </c>
      <c r="E287" s="72">
        <v>45730</v>
      </c>
      <c r="G287" s="375"/>
      <c r="H287" s="376"/>
      <c r="I287" s="177" t="s">
        <v>344</v>
      </c>
      <c r="J287" s="72">
        <v>45761</v>
      </c>
      <c r="L287" s="375"/>
      <c r="M287" s="376"/>
      <c r="N287" s="177" t="s">
        <v>344</v>
      </c>
      <c r="O287" s="72">
        <v>45791</v>
      </c>
    </row>
    <row r="288" spans="2:15" ht="15.6" thickTop="1" thickBot="1" x14ac:dyDescent="0.35">
      <c r="B288" s="57" t="s">
        <v>89</v>
      </c>
      <c r="C288" s="2"/>
      <c r="D288" s="2"/>
      <c r="E288" s="114">
        <v>4030</v>
      </c>
      <c r="G288" s="57" t="s">
        <v>89</v>
      </c>
      <c r="H288" s="2"/>
      <c r="I288" s="2"/>
      <c r="J288" s="114">
        <v>4160</v>
      </c>
      <c r="L288" s="57" t="s">
        <v>89</v>
      </c>
      <c r="M288" s="2"/>
      <c r="N288" s="2"/>
      <c r="O288" s="114">
        <v>4810</v>
      </c>
    </row>
    <row r="289" spans="2:15" ht="15.6" thickTop="1" thickBot="1" x14ac:dyDescent="0.35">
      <c r="B289" s="58" t="s">
        <v>162</v>
      </c>
      <c r="C289" s="59"/>
      <c r="D289" s="59"/>
      <c r="E289" s="120"/>
      <c r="G289" s="58" t="s">
        <v>162</v>
      </c>
      <c r="H289" s="59"/>
      <c r="I289" s="59"/>
      <c r="J289" s="120"/>
      <c r="L289" s="58" t="s">
        <v>162</v>
      </c>
      <c r="M289" s="59"/>
      <c r="N289" s="59"/>
      <c r="O289" s="120"/>
    </row>
    <row r="290" spans="2:15" ht="15" thickTop="1" x14ac:dyDescent="0.3">
      <c r="B290" s="118" t="s">
        <v>207</v>
      </c>
      <c r="C290" s="2"/>
      <c r="D290" s="2"/>
      <c r="E290" s="113">
        <v>21640</v>
      </c>
      <c r="G290" s="118" t="s">
        <v>207</v>
      </c>
      <c r="H290" s="2"/>
      <c r="I290" s="2"/>
      <c r="J290" s="113">
        <v>23540</v>
      </c>
      <c r="L290" s="118" t="s">
        <v>207</v>
      </c>
      <c r="M290" s="2"/>
      <c r="N290" s="2"/>
      <c r="O290" s="113">
        <v>24840</v>
      </c>
    </row>
    <row r="291" spans="2:15" x14ac:dyDescent="0.3">
      <c r="B291" s="119" t="s">
        <v>208</v>
      </c>
      <c r="C291" s="2"/>
      <c r="D291" s="2"/>
      <c r="E291" s="65">
        <v>460</v>
      </c>
      <c r="G291" s="119" t="s">
        <v>208</v>
      </c>
      <c r="H291" s="2"/>
      <c r="I291" s="2"/>
      <c r="J291" s="65">
        <v>460</v>
      </c>
      <c r="L291" s="119" t="s">
        <v>208</v>
      </c>
      <c r="M291" s="2"/>
      <c r="N291" s="2"/>
      <c r="O291" s="65">
        <v>460</v>
      </c>
    </row>
    <row r="292" spans="2:15" x14ac:dyDescent="0.3">
      <c r="B292" s="57" t="s">
        <v>100</v>
      </c>
      <c r="C292" s="2"/>
      <c r="D292" s="2"/>
      <c r="E292" s="66">
        <v>1200</v>
      </c>
      <c r="G292" s="57" t="s">
        <v>100</v>
      </c>
      <c r="H292" s="2"/>
      <c r="I292" s="2"/>
      <c r="J292" s="66">
        <v>1900</v>
      </c>
      <c r="L292" s="57" t="s">
        <v>100</v>
      </c>
      <c r="M292" s="2"/>
      <c r="N292" s="2"/>
      <c r="O292" s="66">
        <v>1300</v>
      </c>
    </row>
    <row r="293" spans="2:15" x14ac:dyDescent="0.3">
      <c r="B293" s="119" t="s">
        <v>209</v>
      </c>
      <c r="C293" s="2"/>
      <c r="D293" s="2"/>
      <c r="E293" s="121">
        <v>2357.6</v>
      </c>
      <c r="G293" s="119" t="s">
        <v>209</v>
      </c>
      <c r="H293" s="2"/>
      <c r="I293" s="2"/>
      <c r="J293" s="121">
        <v>2423.6</v>
      </c>
      <c r="L293" s="119" t="s">
        <v>209</v>
      </c>
      <c r="M293" s="2"/>
      <c r="N293" s="2"/>
      <c r="O293" s="121">
        <v>2529.6</v>
      </c>
    </row>
    <row r="294" spans="2:15" ht="15" thickBot="1" x14ac:dyDescent="0.35">
      <c r="B294" s="57" t="s">
        <v>102</v>
      </c>
      <c r="C294" s="2"/>
      <c r="D294" s="2"/>
      <c r="E294" s="66">
        <v>76</v>
      </c>
      <c r="G294" s="57" t="s">
        <v>102</v>
      </c>
      <c r="H294" s="2"/>
      <c r="I294" s="2"/>
      <c r="J294" s="66">
        <v>66</v>
      </c>
      <c r="L294" s="57" t="s">
        <v>102</v>
      </c>
      <c r="M294" s="2"/>
      <c r="N294" s="2"/>
      <c r="O294" s="66">
        <v>106</v>
      </c>
    </row>
    <row r="295" spans="2:15" ht="15.6" thickTop="1" thickBot="1" x14ac:dyDescent="0.35">
      <c r="B295" s="122" t="s">
        <v>39</v>
      </c>
      <c r="C295" s="59"/>
      <c r="D295" s="59"/>
      <c r="E295" s="120"/>
      <c r="G295" s="122" t="s">
        <v>39</v>
      </c>
      <c r="H295" s="59"/>
      <c r="I295" s="59"/>
      <c r="J295" s="120"/>
      <c r="L295" s="122" t="s">
        <v>39</v>
      </c>
      <c r="M295" s="59"/>
      <c r="N295" s="59"/>
      <c r="O295" s="120"/>
    </row>
    <row r="296" spans="2:15" ht="15" thickTop="1" x14ac:dyDescent="0.3">
      <c r="B296" s="57" t="s">
        <v>98</v>
      </c>
      <c r="C296" s="2"/>
      <c r="D296" s="2"/>
      <c r="E296" s="65">
        <v>17026.7</v>
      </c>
      <c r="G296" s="57" t="s">
        <v>98</v>
      </c>
      <c r="H296" s="2"/>
      <c r="I296" s="2"/>
      <c r="J296" s="65">
        <v>18333.37</v>
      </c>
      <c r="L296" s="57" t="s">
        <v>98</v>
      </c>
      <c r="M296" s="2"/>
      <c r="N296" s="2"/>
      <c r="O296" s="65">
        <v>20415.04</v>
      </c>
    </row>
    <row r="297" spans="2:15" x14ac:dyDescent="0.3">
      <c r="B297" s="57" t="s">
        <v>101</v>
      </c>
      <c r="C297" s="2"/>
      <c r="D297" s="2"/>
      <c r="E297" s="66">
        <v>1048.3400000000001</v>
      </c>
      <c r="G297" s="57" t="s">
        <v>101</v>
      </c>
      <c r="H297" s="2"/>
      <c r="I297" s="2"/>
      <c r="J297" s="66">
        <v>1306.67</v>
      </c>
      <c r="L297" s="57" t="s">
        <v>101</v>
      </c>
      <c r="M297" s="2"/>
      <c r="N297" s="2"/>
      <c r="O297" s="66">
        <v>1941.67</v>
      </c>
    </row>
    <row r="298" spans="2:15" ht="15" thickBot="1" x14ac:dyDescent="0.35">
      <c r="B298" s="70" t="s">
        <v>93</v>
      </c>
      <c r="C298" s="69"/>
      <c r="D298" s="60"/>
      <c r="E298" s="68">
        <v>4613.2999999999993</v>
      </c>
      <c r="G298" s="70" t="s">
        <v>93</v>
      </c>
      <c r="H298" s="69"/>
      <c r="I298" s="60"/>
      <c r="J298" s="68">
        <v>5206.630000000001</v>
      </c>
      <c r="L298" s="70" t="s">
        <v>93</v>
      </c>
      <c r="M298" s="69"/>
      <c r="N298" s="60"/>
      <c r="O298" s="68">
        <v>4424.9599999999991</v>
      </c>
    </row>
    <row r="299" spans="2:15" ht="15" thickTop="1" x14ac:dyDescent="0.3">
      <c r="B299" s="57" t="s">
        <v>99</v>
      </c>
      <c r="C299" s="2"/>
      <c r="D299" s="2"/>
      <c r="E299" s="65">
        <v>1710.6</v>
      </c>
      <c r="G299" s="57" t="s">
        <v>99</v>
      </c>
      <c r="H299" s="2"/>
      <c r="I299" s="2"/>
      <c r="J299" s="65">
        <v>1841.6</v>
      </c>
      <c r="L299" s="57" t="s">
        <v>99</v>
      </c>
      <c r="M299" s="2"/>
      <c r="N299" s="2"/>
      <c r="O299" s="65">
        <v>1979.6</v>
      </c>
    </row>
    <row r="300" spans="2:15" x14ac:dyDescent="0.3">
      <c r="B300" s="57" t="s">
        <v>103</v>
      </c>
      <c r="C300" s="2"/>
      <c r="D300" s="2"/>
      <c r="E300" s="66">
        <v>134</v>
      </c>
      <c r="G300" s="57" t="s">
        <v>103</v>
      </c>
      <c r="H300" s="2"/>
      <c r="I300" s="2"/>
      <c r="J300" s="66">
        <v>131</v>
      </c>
      <c r="L300" s="57" t="s">
        <v>103</v>
      </c>
      <c r="M300" s="2"/>
      <c r="N300" s="2"/>
      <c r="O300" s="66">
        <v>128</v>
      </c>
    </row>
    <row r="301" spans="2:15" ht="15" thickBot="1" x14ac:dyDescent="0.35">
      <c r="B301" s="70" t="s">
        <v>95</v>
      </c>
      <c r="C301" s="60"/>
      <c r="D301" s="60"/>
      <c r="E301" s="68">
        <v>647</v>
      </c>
      <c r="G301" s="70" t="s">
        <v>95</v>
      </c>
      <c r="H301" s="60"/>
      <c r="I301" s="60"/>
      <c r="J301" s="68">
        <v>582</v>
      </c>
      <c r="L301" s="70" t="s">
        <v>95</v>
      </c>
      <c r="M301" s="60"/>
      <c r="N301" s="60"/>
      <c r="O301" s="68">
        <v>550</v>
      </c>
    </row>
    <row r="302" spans="2:15" ht="15.6" thickTop="1" thickBot="1" x14ac:dyDescent="0.35">
      <c r="B302" s="58" t="s">
        <v>210</v>
      </c>
      <c r="C302" s="123"/>
      <c r="D302" s="59"/>
      <c r="E302" s="127"/>
      <c r="G302" s="58" t="s">
        <v>210</v>
      </c>
      <c r="H302" s="123"/>
      <c r="I302" s="59"/>
      <c r="J302" s="127"/>
      <c r="L302" s="58" t="s">
        <v>210</v>
      </c>
      <c r="M302" s="123"/>
      <c r="N302" s="59"/>
      <c r="O302" s="127"/>
    </row>
    <row r="303" spans="2:15" ht="15" thickTop="1" x14ac:dyDescent="0.3">
      <c r="B303" s="57" t="s">
        <v>260</v>
      </c>
      <c r="C303" s="115"/>
      <c r="D303" s="2"/>
      <c r="E303" s="67">
        <v>184.69999999999996</v>
      </c>
      <c r="G303" s="57" t="s">
        <v>260</v>
      </c>
      <c r="H303" s="115"/>
      <c r="I303" s="2"/>
      <c r="J303" s="67">
        <v>184.69999999999996</v>
      </c>
      <c r="L303" s="57" t="s">
        <v>260</v>
      </c>
      <c r="M303" s="115"/>
      <c r="N303" s="2"/>
      <c r="O303" s="67">
        <v>184.69999999999996</v>
      </c>
    </row>
    <row r="304" spans="2:15" x14ac:dyDescent="0.3">
      <c r="B304" s="57" t="s">
        <v>314</v>
      </c>
      <c r="C304" s="124"/>
      <c r="D304" s="125"/>
      <c r="E304" s="65">
        <v>860</v>
      </c>
      <c r="G304" s="57" t="s">
        <v>314</v>
      </c>
      <c r="H304" s="124"/>
      <c r="I304" s="125"/>
      <c r="J304" s="65">
        <v>860</v>
      </c>
      <c r="L304" s="57" t="s">
        <v>314</v>
      </c>
      <c r="M304" s="124"/>
      <c r="N304" s="125"/>
      <c r="O304" s="65">
        <v>860</v>
      </c>
    </row>
    <row r="305" spans="2:15" x14ac:dyDescent="0.3">
      <c r="B305" s="57" t="s">
        <v>227</v>
      </c>
      <c r="C305" s="124"/>
      <c r="D305" s="125"/>
      <c r="E305" s="65">
        <v>106</v>
      </c>
      <c r="G305" s="57" t="s">
        <v>227</v>
      </c>
      <c r="H305" s="124"/>
      <c r="I305" s="125"/>
      <c r="J305" s="65">
        <v>106</v>
      </c>
      <c r="L305" s="57" t="s">
        <v>227</v>
      </c>
      <c r="M305" s="124"/>
      <c r="N305" s="125"/>
      <c r="O305" s="65">
        <v>116</v>
      </c>
    </row>
    <row r="306" spans="2:15" x14ac:dyDescent="0.3">
      <c r="B306" s="57" t="s">
        <v>91</v>
      </c>
      <c r="C306" s="2"/>
      <c r="D306" s="2"/>
      <c r="E306" s="64">
        <v>4030</v>
      </c>
      <c r="G306" s="57" t="s">
        <v>91</v>
      </c>
      <c r="H306" s="2"/>
      <c r="I306" s="2"/>
      <c r="J306" s="64">
        <v>4160</v>
      </c>
      <c r="L306" s="57" t="s">
        <v>91</v>
      </c>
      <c r="M306" s="2"/>
      <c r="N306" s="2"/>
      <c r="O306" s="64">
        <v>4810</v>
      </c>
    </row>
    <row r="307" spans="2:15" x14ac:dyDescent="0.3">
      <c r="B307" s="57" t="s">
        <v>97</v>
      </c>
      <c r="C307" s="2"/>
      <c r="D307" s="2"/>
      <c r="E307" s="63">
        <v>310</v>
      </c>
      <c r="G307" s="57" t="s">
        <v>97</v>
      </c>
      <c r="H307" s="2"/>
      <c r="I307" s="2"/>
      <c r="J307" s="63">
        <v>320</v>
      </c>
      <c r="L307" s="57" t="s">
        <v>97</v>
      </c>
      <c r="M307" s="2"/>
      <c r="N307" s="2"/>
      <c r="O307" s="63">
        <v>300.625</v>
      </c>
    </row>
    <row r="308" spans="2:15" x14ac:dyDescent="0.3">
      <c r="B308" s="57" t="s">
        <v>315</v>
      </c>
      <c r="C308" s="2"/>
      <c r="D308" s="2"/>
      <c r="E308" s="64">
        <v>1576.3</v>
      </c>
      <c r="G308" s="57" t="s">
        <v>315</v>
      </c>
      <c r="H308" s="2"/>
      <c r="I308" s="2"/>
      <c r="J308" s="64">
        <v>1642.3</v>
      </c>
      <c r="L308" s="57" t="s">
        <v>315</v>
      </c>
      <c r="M308" s="2"/>
      <c r="N308" s="2"/>
      <c r="O308" s="64">
        <v>1738.3</v>
      </c>
    </row>
    <row r="309" spans="2:15" ht="15" thickBot="1" x14ac:dyDescent="0.35">
      <c r="B309" s="57" t="s">
        <v>94</v>
      </c>
      <c r="C309" s="2"/>
      <c r="D309" s="126"/>
      <c r="E309" s="176">
        <v>346</v>
      </c>
      <c r="G309" s="57" t="s">
        <v>94</v>
      </c>
      <c r="H309" s="2"/>
      <c r="I309" s="126"/>
      <c r="J309" s="176">
        <v>13.67</v>
      </c>
      <c r="L309" s="57" t="s">
        <v>94</v>
      </c>
      <c r="M309" s="2"/>
      <c r="N309" s="126"/>
      <c r="O309" s="176">
        <v>1573.34</v>
      </c>
    </row>
    <row r="310" spans="2:15" ht="15.6" thickTop="1" thickBot="1" x14ac:dyDescent="0.35">
      <c r="B310" s="61" t="s">
        <v>92</v>
      </c>
      <c r="C310" s="62"/>
      <c r="D310" s="128"/>
      <c r="E310" s="129">
        <v>5606.3</v>
      </c>
      <c r="G310" s="61" t="s">
        <v>92</v>
      </c>
      <c r="H310" s="62"/>
      <c r="I310" s="128"/>
      <c r="J310" s="129">
        <v>5802.3</v>
      </c>
      <c r="L310" s="61" t="s">
        <v>92</v>
      </c>
      <c r="M310" s="62"/>
      <c r="N310" s="128"/>
      <c r="O310" s="129">
        <v>6548.3</v>
      </c>
    </row>
    <row r="311" spans="2:15" ht="15.6" thickTop="1" thickBot="1" x14ac:dyDescent="0.35">
      <c r="B311" s="61" t="s">
        <v>96</v>
      </c>
      <c r="C311" s="62"/>
      <c r="D311" s="128"/>
      <c r="E311" s="140">
        <v>5606.2999999999993</v>
      </c>
      <c r="G311" s="61" t="s">
        <v>96</v>
      </c>
      <c r="H311" s="62"/>
      <c r="I311" s="128"/>
      <c r="J311" s="140">
        <v>5802.3000000000011</v>
      </c>
      <c r="L311" s="61" t="s">
        <v>96</v>
      </c>
      <c r="M311" s="62"/>
      <c r="N311" s="128"/>
      <c r="O311" s="140">
        <v>6548.2999999999993</v>
      </c>
    </row>
    <row r="312" spans="2:15" ht="15.6" thickTop="1" thickBot="1" x14ac:dyDescent="0.35">
      <c r="E312" s="199"/>
      <c r="J312" s="199"/>
      <c r="O312" s="199"/>
    </row>
    <row r="313" spans="2:15" ht="15.6" thickTop="1" thickBot="1" x14ac:dyDescent="0.35">
      <c r="B313" s="371" t="s">
        <v>90</v>
      </c>
      <c r="C313" s="372"/>
      <c r="D313" s="177" t="s">
        <v>345</v>
      </c>
      <c r="E313" s="72">
        <v>45792</v>
      </c>
      <c r="G313" s="371" t="s">
        <v>90</v>
      </c>
      <c r="H313" s="372"/>
      <c r="I313" s="177" t="s">
        <v>345</v>
      </c>
      <c r="J313" s="72">
        <v>45823</v>
      </c>
      <c r="L313" s="371" t="s">
        <v>90</v>
      </c>
      <c r="M313" s="372"/>
      <c r="N313" s="177" t="s">
        <v>345</v>
      </c>
      <c r="O313" s="72">
        <v>45853</v>
      </c>
    </row>
    <row r="314" spans="2:15" ht="15.6" thickTop="1" thickBot="1" x14ac:dyDescent="0.35">
      <c r="B314" s="373"/>
      <c r="C314" s="374"/>
      <c r="D314" s="177" t="s">
        <v>346</v>
      </c>
      <c r="E314" s="72">
        <v>44788</v>
      </c>
      <c r="G314" s="373"/>
      <c r="H314" s="374"/>
      <c r="I314" s="177" t="s">
        <v>346</v>
      </c>
      <c r="J314" s="72">
        <v>44788</v>
      </c>
      <c r="L314" s="373"/>
      <c r="M314" s="374"/>
      <c r="N314" s="177" t="s">
        <v>346</v>
      </c>
      <c r="O314" s="72">
        <v>44788</v>
      </c>
    </row>
    <row r="315" spans="2:15" ht="15.6" thickTop="1" thickBot="1" x14ac:dyDescent="0.35">
      <c r="B315" s="375"/>
      <c r="C315" s="376"/>
      <c r="D315" s="177" t="s">
        <v>344</v>
      </c>
      <c r="E315" s="72">
        <v>45822</v>
      </c>
      <c r="G315" s="375"/>
      <c r="H315" s="376"/>
      <c r="I315" s="177" t="s">
        <v>344</v>
      </c>
      <c r="J315" s="72">
        <v>45852</v>
      </c>
      <c r="L315" s="375"/>
      <c r="M315" s="376"/>
      <c r="N315" s="177" t="s">
        <v>344</v>
      </c>
      <c r="O315" s="72">
        <v>45883</v>
      </c>
    </row>
    <row r="316" spans="2:15" ht="15.6" thickTop="1" thickBot="1" x14ac:dyDescent="0.35">
      <c r="B316" s="57" t="s">
        <v>89</v>
      </c>
      <c r="C316" s="2"/>
      <c r="D316" s="2"/>
      <c r="E316" s="114">
        <v>5290</v>
      </c>
      <c r="G316" s="57" t="s">
        <v>89</v>
      </c>
      <c r="H316" s="2"/>
      <c r="I316" s="2"/>
      <c r="J316" s="114">
        <v>5450</v>
      </c>
      <c r="L316" s="57" t="s">
        <v>89</v>
      </c>
      <c r="M316" s="2"/>
      <c r="N316" s="2"/>
      <c r="O316" s="114">
        <v>5760</v>
      </c>
    </row>
    <row r="317" spans="2:15" ht="15.6" thickTop="1" thickBot="1" x14ac:dyDescent="0.35">
      <c r="B317" s="58" t="s">
        <v>162</v>
      </c>
      <c r="C317" s="59"/>
      <c r="D317" s="59"/>
      <c r="E317" s="120"/>
      <c r="G317" s="58" t="s">
        <v>162</v>
      </c>
      <c r="H317" s="59"/>
      <c r="I317" s="59"/>
      <c r="J317" s="120"/>
      <c r="L317" s="58" t="s">
        <v>162</v>
      </c>
      <c r="M317" s="59"/>
      <c r="N317" s="59"/>
      <c r="O317" s="120"/>
    </row>
    <row r="318" spans="2:15" ht="15" thickTop="1" x14ac:dyDescent="0.3">
      <c r="B318" s="118" t="s">
        <v>207</v>
      </c>
      <c r="C318" s="2"/>
      <c r="D318" s="2"/>
      <c r="E318" s="113">
        <v>28380</v>
      </c>
      <c r="G318" s="118" t="s">
        <v>207</v>
      </c>
      <c r="H318" s="2"/>
      <c r="I318" s="2"/>
      <c r="J318" s="113">
        <v>28380</v>
      </c>
      <c r="L318" s="118" t="s">
        <v>207</v>
      </c>
      <c r="M318" s="2"/>
      <c r="N318" s="2"/>
      <c r="O318" s="113">
        <v>28680</v>
      </c>
    </row>
    <row r="319" spans="2:15" x14ac:dyDescent="0.3">
      <c r="B319" s="119" t="s">
        <v>208</v>
      </c>
      <c r="C319" s="2"/>
      <c r="D319" s="2"/>
      <c r="E319" s="65">
        <v>460</v>
      </c>
      <c r="G319" s="119" t="s">
        <v>208</v>
      </c>
      <c r="H319" s="2"/>
      <c r="I319" s="2"/>
      <c r="J319" s="65">
        <v>460</v>
      </c>
      <c r="L319" s="119" t="s">
        <v>208</v>
      </c>
      <c r="M319" s="2"/>
      <c r="N319" s="2"/>
      <c r="O319" s="65">
        <v>460</v>
      </c>
    </row>
    <row r="320" spans="2:15" x14ac:dyDescent="0.3">
      <c r="B320" s="57" t="s">
        <v>100</v>
      </c>
      <c r="C320" s="2"/>
      <c r="D320" s="2"/>
      <c r="E320" s="66">
        <v>3540</v>
      </c>
      <c r="G320" s="57" t="s">
        <v>100</v>
      </c>
      <c r="H320" s="2"/>
      <c r="I320" s="2"/>
      <c r="J320" s="66">
        <v>0</v>
      </c>
      <c r="L320" s="57" t="s">
        <v>100</v>
      </c>
      <c r="M320" s="2"/>
      <c r="N320" s="2"/>
      <c r="O320" s="66">
        <v>300</v>
      </c>
    </row>
    <row r="321" spans="2:15" x14ac:dyDescent="0.3">
      <c r="B321" s="119" t="s">
        <v>209</v>
      </c>
      <c r="C321" s="2"/>
      <c r="D321" s="2"/>
      <c r="E321" s="121">
        <v>3316.4</v>
      </c>
      <c r="G321" s="119" t="s">
        <v>209</v>
      </c>
      <c r="H321" s="2"/>
      <c r="I321" s="2"/>
      <c r="J321" s="121">
        <v>3316.4</v>
      </c>
      <c r="L321" s="119" t="s">
        <v>209</v>
      </c>
      <c r="M321" s="2"/>
      <c r="N321" s="2"/>
      <c r="O321" s="121">
        <v>3322.4</v>
      </c>
    </row>
    <row r="322" spans="2:15" ht="15" thickBot="1" x14ac:dyDescent="0.35">
      <c r="B322" s="57" t="s">
        <v>102</v>
      </c>
      <c r="C322" s="2"/>
      <c r="D322" s="2"/>
      <c r="E322" s="66">
        <v>786.8</v>
      </c>
      <c r="G322" s="57" t="s">
        <v>102</v>
      </c>
      <c r="H322" s="2"/>
      <c r="I322" s="2"/>
      <c r="J322" s="66">
        <v>0</v>
      </c>
      <c r="L322" s="57" t="s">
        <v>102</v>
      </c>
      <c r="M322" s="2"/>
      <c r="N322" s="2"/>
      <c r="O322" s="66">
        <v>6</v>
      </c>
    </row>
    <row r="323" spans="2:15" ht="15.6" thickTop="1" thickBot="1" x14ac:dyDescent="0.35">
      <c r="B323" s="122" t="s">
        <v>39</v>
      </c>
      <c r="C323" s="59"/>
      <c r="D323" s="59"/>
      <c r="E323" s="120"/>
      <c r="G323" s="122" t="s">
        <v>39</v>
      </c>
      <c r="H323" s="59"/>
      <c r="I323" s="59"/>
      <c r="J323" s="120"/>
      <c r="L323" s="122" t="s">
        <v>39</v>
      </c>
      <c r="M323" s="59"/>
      <c r="N323" s="59"/>
      <c r="O323" s="120"/>
    </row>
    <row r="324" spans="2:15" ht="15" thickTop="1" x14ac:dyDescent="0.3">
      <c r="B324" s="57" t="s">
        <v>98</v>
      </c>
      <c r="C324" s="2"/>
      <c r="D324" s="2"/>
      <c r="E324" s="65">
        <v>21830.04</v>
      </c>
      <c r="G324" s="57" t="s">
        <v>98</v>
      </c>
      <c r="H324" s="2"/>
      <c r="I324" s="2"/>
      <c r="J324" s="65">
        <v>23251.71</v>
      </c>
      <c r="L324" s="57" t="s">
        <v>98</v>
      </c>
      <c r="M324" s="2"/>
      <c r="N324" s="2"/>
      <c r="O324" s="65">
        <v>24733.389999999996</v>
      </c>
    </row>
    <row r="325" spans="2:15" x14ac:dyDescent="0.3">
      <c r="B325" s="57" t="s">
        <v>101</v>
      </c>
      <c r="C325" s="2"/>
      <c r="D325" s="2"/>
      <c r="E325" s="66">
        <v>1215</v>
      </c>
      <c r="G325" s="57" t="s">
        <v>101</v>
      </c>
      <c r="H325" s="2"/>
      <c r="I325" s="2"/>
      <c r="J325" s="66">
        <v>1421.67</v>
      </c>
      <c r="L325" s="57" t="s">
        <v>101</v>
      </c>
      <c r="M325" s="2"/>
      <c r="N325" s="2"/>
      <c r="O325" s="66">
        <v>1481.68</v>
      </c>
    </row>
    <row r="326" spans="2:15" ht="15" thickBot="1" x14ac:dyDescent="0.35">
      <c r="B326" s="70" t="s">
        <v>93</v>
      </c>
      <c r="C326" s="69"/>
      <c r="D326" s="60"/>
      <c r="E326" s="68">
        <v>6549.9599999999991</v>
      </c>
      <c r="G326" s="70" t="s">
        <v>93</v>
      </c>
      <c r="H326" s="69"/>
      <c r="I326" s="60"/>
      <c r="J326" s="68">
        <v>5128.2900000000009</v>
      </c>
      <c r="L326" s="70" t="s">
        <v>93</v>
      </c>
      <c r="M326" s="69"/>
      <c r="N326" s="60"/>
      <c r="O326" s="68">
        <v>3946.6100000000042</v>
      </c>
    </row>
    <row r="327" spans="2:15" ht="15" thickTop="1" x14ac:dyDescent="0.3">
      <c r="B327" s="57" t="s">
        <v>99</v>
      </c>
      <c r="C327" s="2"/>
      <c r="D327" s="2"/>
      <c r="E327" s="65">
        <v>2137.6</v>
      </c>
      <c r="G327" s="57" t="s">
        <v>99</v>
      </c>
      <c r="H327" s="2"/>
      <c r="I327" s="2"/>
      <c r="J327" s="65">
        <v>2326.3999999999996</v>
      </c>
      <c r="L327" s="57" t="s">
        <v>99</v>
      </c>
      <c r="M327" s="2"/>
      <c r="N327" s="2"/>
      <c r="O327" s="65">
        <v>2516.3999999999996</v>
      </c>
    </row>
    <row r="328" spans="2:15" x14ac:dyDescent="0.3">
      <c r="B328" s="57" t="s">
        <v>103</v>
      </c>
      <c r="C328" s="2"/>
      <c r="D328" s="2"/>
      <c r="E328" s="66">
        <v>138</v>
      </c>
      <c r="G328" s="57" t="s">
        <v>103</v>
      </c>
      <c r="H328" s="2"/>
      <c r="I328" s="2"/>
      <c r="J328" s="66">
        <v>188.8</v>
      </c>
      <c r="L328" s="57" t="s">
        <v>103</v>
      </c>
      <c r="M328" s="2"/>
      <c r="N328" s="2"/>
      <c r="O328" s="66">
        <v>190</v>
      </c>
    </row>
    <row r="329" spans="2:15" ht="15" thickBot="1" x14ac:dyDescent="0.35">
      <c r="B329" s="70" t="s">
        <v>95</v>
      </c>
      <c r="C329" s="60"/>
      <c r="D329" s="60"/>
      <c r="E329" s="68">
        <v>1178.8000000000002</v>
      </c>
      <c r="G329" s="70" t="s">
        <v>95</v>
      </c>
      <c r="H329" s="60"/>
      <c r="I329" s="60"/>
      <c r="J329" s="68">
        <v>990.00000000000045</v>
      </c>
      <c r="L329" s="70" t="s">
        <v>95</v>
      </c>
      <c r="M329" s="60"/>
      <c r="N329" s="60"/>
      <c r="O329" s="68">
        <v>806.00000000000045</v>
      </c>
    </row>
    <row r="330" spans="2:15" ht="15.6" thickTop="1" thickBot="1" x14ac:dyDescent="0.35">
      <c r="B330" s="58" t="s">
        <v>210</v>
      </c>
      <c r="C330" s="123"/>
      <c r="D330" s="59"/>
      <c r="E330" s="127"/>
      <c r="G330" s="58" t="s">
        <v>210</v>
      </c>
      <c r="H330" s="123"/>
      <c r="I330" s="59"/>
      <c r="J330" s="127"/>
      <c r="L330" s="58" t="s">
        <v>210</v>
      </c>
      <c r="M330" s="123"/>
      <c r="N330" s="59"/>
      <c r="O330" s="127"/>
    </row>
    <row r="331" spans="2:15" ht="15" thickTop="1" x14ac:dyDescent="0.3">
      <c r="B331" s="57" t="s">
        <v>260</v>
      </c>
      <c r="C331" s="115"/>
      <c r="D331" s="2"/>
      <c r="E331" s="67">
        <v>184.69999999999996</v>
      </c>
      <c r="G331" s="57" t="s">
        <v>260</v>
      </c>
      <c r="H331" s="115"/>
      <c r="I331" s="2"/>
      <c r="J331" s="67">
        <v>184.69999999999996</v>
      </c>
      <c r="L331" s="57" t="s">
        <v>260</v>
      </c>
      <c r="M331" s="115"/>
      <c r="N331" s="2"/>
      <c r="O331" s="67">
        <v>184.69999999999996</v>
      </c>
    </row>
    <row r="332" spans="2:15" x14ac:dyDescent="0.3">
      <c r="B332" s="57" t="s">
        <v>314</v>
      </c>
      <c r="C332" s="124"/>
      <c r="D332" s="125"/>
      <c r="E332" s="65">
        <v>860</v>
      </c>
      <c r="G332" s="57" t="s">
        <v>314</v>
      </c>
      <c r="H332" s="124"/>
      <c r="I332" s="125"/>
      <c r="J332" s="65">
        <v>860</v>
      </c>
      <c r="L332" s="57" t="s">
        <v>314</v>
      </c>
      <c r="M332" s="124"/>
      <c r="N332" s="125"/>
      <c r="O332" s="65">
        <v>860</v>
      </c>
    </row>
    <row r="333" spans="2:15" x14ac:dyDescent="0.3">
      <c r="B333" s="57" t="s">
        <v>227</v>
      </c>
      <c r="C333" s="124"/>
      <c r="D333" s="125"/>
      <c r="E333" s="65">
        <v>136</v>
      </c>
      <c r="G333" s="57" t="s">
        <v>227</v>
      </c>
      <c r="H333" s="124"/>
      <c r="I333" s="125"/>
      <c r="J333" s="65">
        <v>136</v>
      </c>
      <c r="L333" s="57" t="s">
        <v>227</v>
      </c>
      <c r="M333" s="124"/>
      <c r="N333" s="125"/>
      <c r="O333" s="65">
        <v>136</v>
      </c>
    </row>
    <row r="334" spans="2:15" x14ac:dyDescent="0.3">
      <c r="B334" s="57" t="s">
        <v>91</v>
      </c>
      <c r="C334" s="2"/>
      <c r="D334" s="2"/>
      <c r="E334" s="64">
        <v>5290</v>
      </c>
      <c r="G334" s="57" t="s">
        <v>91</v>
      </c>
      <c r="H334" s="2"/>
      <c r="I334" s="2"/>
      <c r="J334" s="64">
        <v>5450</v>
      </c>
      <c r="L334" s="57" t="s">
        <v>91</v>
      </c>
      <c r="M334" s="2"/>
      <c r="N334" s="2"/>
      <c r="O334" s="64">
        <v>5760</v>
      </c>
    </row>
    <row r="335" spans="2:15" x14ac:dyDescent="0.3">
      <c r="B335" s="57" t="s">
        <v>97</v>
      </c>
      <c r="C335" s="2"/>
      <c r="D335" s="2"/>
      <c r="E335" s="63">
        <v>330.625</v>
      </c>
      <c r="G335" s="57" t="s">
        <v>97</v>
      </c>
      <c r="H335" s="2"/>
      <c r="I335" s="2"/>
      <c r="J335" s="63">
        <v>340.625</v>
      </c>
      <c r="L335" s="57" t="s">
        <v>97</v>
      </c>
      <c r="M335" s="2"/>
      <c r="N335" s="2"/>
      <c r="O335" s="63">
        <v>360</v>
      </c>
    </row>
    <row r="336" spans="2:15" x14ac:dyDescent="0.3">
      <c r="B336" s="57" t="s">
        <v>315</v>
      </c>
      <c r="C336" s="2"/>
      <c r="D336" s="2"/>
      <c r="E336" s="64">
        <v>2505.1</v>
      </c>
      <c r="G336" s="57" t="s">
        <v>315</v>
      </c>
      <c r="H336" s="2"/>
      <c r="I336" s="2"/>
      <c r="J336" s="64">
        <v>2505.1</v>
      </c>
      <c r="L336" s="57" t="s">
        <v>315</v>
      </c>
      <c r="M336" s="2"/>
      <c r="N336" s="2"/>
      <c r="O336" s="64">
        <v>2511.1</v>
      </c>
    </row>
    <row r="337" spans="2:15" ht="15" thickBot="1" x14ac:dyDescent="0.35">
      <c r="B337" s="57" t="s">
        <v>94</v>
      </c>
      <c r="C337" s="2"/>
      <c r="D337" s="126"/>
      <c r="E337" s="176">
        <v>66.34</v>
      </c>
      <c r="G337" s="57" t="s">
        <v>94</v>
      </c>
      <c r="H337" s="2"/>
      <c r="I337" s="126"/>
      <c r="J337" s="176">
        <v>1836.81</v>
      </c>
      <c r="L337" s="57" t="s">
        <v>94</v>
      </c>
      <c r="M337" s="2"/>
      <c r="N337" s="126"/>
      <c r="O337" s="176">
        <v>3518.49</v>
      </c>
    </row>
    <row r="338" spans="2:15" ht="15.6" thickTop="1" thickBot="1" x14ac:dyDescent="0.35">
      <c r="B338" s="61" t="s">
        <v>92</v>
      </c>
      <c r="C338" s="62"/>
      <c r="D338" s="128"/>
      <c r="E338" s="129">
        <v>7795.1</v>
      </c>
      <c r="G338" s="61" t="s">
        <v>92</v>
      </c>
      <c r="H338" s="62"/>
      <c r="I338" s="128"/>
      <c r="J338" s="129">
        <v>7955.1</v>
      </c>
      <c r="L338" s="61" t="s">
        <v>92</v>
      </c>
      <c r="M338" s="62"/>
      <c r="N338" s="128"/>
      <c r="O338" s="129">
        <v>8271.1</v>
      </c>
    </row>
    <row r="339" spans="2:15" ht="15.6" thickTop="1" thickBot="1" x14ac:dyDescent="0.35">
      <c r="B339" s="61" t="s">
        <v>96</v>
      </c>
      <c r="C339" s="62"/>
      <c r="D339" s="128"/>
      <c r="E339" s="140">
        <v>7795.0999999999995</v>
      </c>
      <c r="G339" s="61" t="s">
        <v>96</v>
      </c>
      <c r="H339" s="61"/>
      <c r="I339" s="128"/>
      <c r="J339" s="140">
        <v>7955.1</v>
      </c>
      <c r="L339" s="61" t="s">
        <v>96</v>
      </c>
      <c r="M339" s="62"/>
      <c r="N339" s="128"/>
      <c r="O339" s="140">
        <v>8271.100000000004</v>
      </c>
    </row>
    <row r="340" spans="2:15" ht="15.6" thickTop="1" thickBot="1" x14ac:dyDescent="0.35">
      <c r="E340" s="199"/>
      <c r="J340" s="199"/>
      <c r="O340" s="199"/>
    </row>
    <row r="341" spans="2:15" ht="15.6" thickTop="1" thickBot="1" x14ac:dyDescent="0.35">
      <c r="B341" s="371" t="s">
        <v>90</v>
      </c>
      <c r="C341" s="372"/>
      <c r="D341" s="177" t="s">
        <v>345</v>
      </c>
      <c r="E341" s="72">
        <v>45884</v>
      </c>
      <c r="G341" s="371" t="s">
        <v>90</v>
      </c>
      <c r="H341" s="372"/>
      <c r="I341" s="177" t="s">
        <v>345</v>
      </c>
      <c r="J341" s="72">
        <v>45915</v>
      </c>
      <c r="L341" s="371" t="s">
        <v>90</v>
      </c>
      <c r="M341" s="372"/>
      <c r="N341" s="177" t="s">
        <v>345</v>
      </c>
      <c r="O341" s="72">
        <v>45945</v>
      </c>
    </row>
    <row r="342" spans="2:15" ht="15.6" thickTop="1" thickBot="1" x14ac:dyDescent="0.35">
      <c r="B342" s="373"/>
      <c r="C342" s="374"/>
      <c r="D342" s="177" t="s">
        <v>346</v>
      </c>
      <c r="E342" s="72">
        <v>44788</v>
      </c>
      <c r="G342" s="373"/>
      <c r="H342" s="374"/>
      <c r="I342" s="177" t="s">
        <v>346</v>
      </c>
      <c r="J342" s="72">
        <v>44788</v>
      </c>
      <c r="L342" s="373"/>
      <c r="M342" s="374"/>
      <c r="N342" s="177" t="s">
        <v>346</v>
      </c>
      <c r="O342" s="72">
        <v>44788</v>
      </c>
    </row>
    <row r="343" spans="2:15" ht="15.6" thickTop="1" thickBot="1" x14ac:dyDescent="0.35">
      <c r="B343" s="375"/>
      <c r="C343" s="376"/>
      <c r="D343" s="177" t="s">
        <v>344</v>
      </c>
      <c r="E343" s="72">
        <v>45914</v>
      </c>
      <c r="G343" s="375"/>
      <c r="H343" s="376"/>
      <c r="I343" s="177" t="s">
        <v>344</v>
      </c>
      <c r="J343" s="72">
        <v>45944</v>
      </c>
      <c r="L343" s="375"/>
      <c r="M343" s="376"/>
      <c r="N343" s="177" t="s">
        <v>344</v>
      </c>
      <c r="O343" s="72">
        <v>45975</v>
      </c>
    </row>
    <row r="344" spans="2:15" ht="15.6" thickTop="1" thickBot="1" x14ac:dyDescent="0.35">
      <c r="B344" s="57" t="s">
        <v>89</v>
      </c>
      <c r="C344" s="2"/>
      <c r="D344" s="2"/>
      <c r="E344" s="114">
        <v>5920</v>
      </c>
      <c r="G344" s="57" t="s">
        <v>89</v>
      </c>
      <c r="H344" s="2"/>
      <c r="I344" s="2"/>
      <c r="J344" s="114">
        <v>6080</v>
      </c>
      <c r="L344" s="57" t="s">
        <v>89</v>
      </c>
      <c r="M344" s="2"/>
      <c r="N344" s="2"/>
      <c r="O344" s="114">
        <v>6240</v>
      </c>
    </row>
    <row r="345" spans="2:15" ht="15.6" thickTop="1" thickBot="1" x14ac:dyDescent="0.35">
      <c r="B345" s="58" t="s">
        <v>162</v>
      </c>
      <c r="C345" s="59"/>
      <c r="D345" s="59"/>
      <c r="E345" s="120"/>
      <c r="G345" s="58" t="s">
        <v>162</v>
      </c>
      <c r="H345" s="59"/>
      <c r="I345" s="59"/>
      <c r="J345" s="120"/>
      <c r="L345" s="58" t="s">
        <v>162</v>
      </c>
      <c r="M345" s="59"/>
      <c r="N345" s="59"/>
      <c r="O345" s="120"/>
    </row>
    <row r="346" spans="2:15" ht="15" thickTop="1" x14ac:dyDescent="0.3">
      <c r="B346" s="118" t="s">
        <v>207</v>
      </c>
      <c r="C346" s="2"/>
      <c r="D346" s="2"/>
      <c r="E346" s="113">
        <v>32280</v>
      </c>
      <c r="G346" s="118" t="s">
        <v>207</v>
      </c>
      <c r="H346" s="2"/>
      <c r="I346" s="2"/>
      <c r="J346" s="113">
        <v>34230</v>
      </c>
      <c r="L346" s="118" t="s">
        <v>207</v>
      </c>
      <c r="M346" s="2"/>
      <c r="N346" s="2"/>
      <c r="O346" s="113">
        <v>35180</v>
      </c>
    </row>
    <row r="347" spans="2:15" x14ac:dyDescent="0.3">
      <c r="B347" s="119" t="s">
        <v>208</v>
      </c>
      <c r="C347" s="2"/>
      <c r="D347" s="2"/>
      <c r="E347" s="65">
        <v>460</v>
      </c>
      <c r="G347" s="119" t="s">
        <v>208</v>
      </c>
      <c r="H347" s="2"/>
      <c r="I347" s="2"/>
      <c r="J347" s="65">
        <v>460</v>
      </c>
      <c r="L347" s="119" t="s">
        <v>208</v>
      </c>
      <c r="M347" s="2"/>
      <c r="N347" s="2"/>
      <c r="O347" s="65">
        <v>460</v>
      </c>
    </row>
    <row r="348" spans="2:15" x14ac:dyDescent="0.3">
      <c r="B348" s="57" t="s">
        <v>100</v>
      </c>
      <c r="C348" s="2"/>
      <c r="D348" s="2"/>
      <c r="E348" s="66">
        <v>3600</v>
      </c>
      <c r="G348" s="57" t="s">
        <v>100</v>
      </c>
      <c r="H348" s="2"/>
      <c r="I348" s="2"/>
      <c r="J348" s="66">
        <v>1000</v>
      </c>
      <c r="L348" s="57" t="s">
        <v>100</v>
      </c>
      <c r="M348" s="2"/>
      <c r="N348" s="2"/>
      <c r="O348" s="66">
        <v>750</v>
      </c>
    </row>
    <row r="349" spans="2:15" x14ac:dyDescent="0.3">
      <c r="B349" s="119" t="s">
        <v>209</v>
      </c>
      <c r="C349" s="2"/>
      <c r="D349" s="2"/>
      <c r="E349" s="121">
        <v>3976.4</v>
      </c>
      <c r="G349" s="119" t="s">
        <v>209</v>
      </c>
      <c r="H349" s="2"/>
      <c r="I349" s="2"/>
      <c r="J349" s="121">
        <v>4086.6000000000004</v>
      </c>
      <c r="L349" s="119" t="s">
        <v>209</v>
      </c>
      <c r="M349" s="2"/>
      <c r="N349" s="2"/>
      <c r="O349" s="121">
        <v>4155.6000000000004</v>
      </c>
    </row>
    <row r="350" spans="2:15" ht="15" thickBot="1" x14ac:dyDescent="0.35">
      <c r="B350" s="57" t="s">
        <v>102</v>
      </c>
      <c r="C350" s="2"/>
      <c r="D350" s="2"/>
      <c r="E350" s="66">
        <v>654</v>
      </c>
      <c r="G350" s="57" t="s">
        <v>102</v>
      </c>
      <c r="H350" s="2"/>
      <c r="I350" s="2"/>
      <c r="J350" s="66">
        <v>76</v>
      </c>
      <c r="L350" s="57" t="s">
        <v>102</v>
      </c>
      <c r="M350" s="2"/>
      <c r="N350" s="2"/>
      <c r="O350" s="66">
        <v>57</v>
      </c>
    </row>
    <row r="351" spans="2:15" ht="15.6" thickTop="1" thickBot="1" x14ac:dyDescent="0.35">
      <c r="B351" s="122" t="s">
        <v>39</v>
      </c>
      <c r="C351" s="59"/>
      <c r="D351" s="59"/>
      <c r="E351" s="120"/>
      <c r="G351" s="122" t="s">
        <v>39</v>
      </c>
      <c r="H351" s="59"/>
      <c r="I351" s="59"/>
      <c r="J351" s="120"/>
      <c r="L351" s="122" t="s">
        <v>39</v>
      </c>
      <c r="M351" s="59"/>
      <c r="N351" s="59"/>
      <c r="O351" s="120"/>
    </row>
    <row r="352" spans="2:15" ht="15" thickTop="1" x14ac:dyDescent="0.3">
      <c r="B352" s="57" t="s">
        <v>98</v>
      </c>
      <c r="C352" s="2"/>
      <c r="D352" s="2"/>
      <c r="E352" s="65">
        <v>25940.059999999987</v>
      </c>
      <c r="G352" s="57" t="s">
        <v>98</v>
      </c>
      <c r="H352" s="2"/>
      <c r="I352" s="2"/>
      <c r="J352" s="229">
        <v>27570.729999999985</v>
      </c>
      <c r="L352" s="57" t="s">
        <v>98</v>
      </c>
      <c r="M352" s="2"/>
      <c r="N352" s="2"/>
      <c r="O352" s="229">
        <v>29033.399999999983</v>
      </c>
    </row>
    <row r="353" spans="2:15" x14ac:dyDescent="0.3">
      <c r="B353" s="57" t="s">
        <v>101</v>
      </c>
      <c r="C353" s="2"/>
      <c r="D353" s="2"/>
      <c r="E353" s="66">
        <v>1206.67</v>
      </c>
      <c r="G353" s="57" t="s">
        <v>101</v>
      </c>
      <c r="H353" s="2"/>
      <c r="I353" s="2"/>
      <c r="J353" s="66">
        <v>1095.67</v>
      </c>
      <c r="L353" s="57" t="s">
        <v>101</v>
      </c>
      <c r="M353" s="2"/>
      <c r="N353" s="2"/>
      <c r="O353" s="66">
        <v>1463.67</v>
      </c>
    </row>
    <row r="354" spans="2:15" ht="15" thickBot="1" x14ac:dyDescent="0.35">
      <c r="B354" s="70" t="s">
        <v>93</v>
      </c>
      <c r="C354" s="69"/>
      <c r="D354" s="60"/>
      <c r="E354" s="68">
        <v>6339.9400000000132</v>
      </c>
      <c r="G354" s="70" t="s">
        <v>93</v>
      </c>
      <c r="H354" s="69"/>
      <c r="I354" s="60"/>
      <c r="J354" s="68">
        <v>6659.270000000015</v>
      </c>
      <c r="L354" s="70" t="s">
        <v>93</v>
      </c>
      <c r="M354" s="69"/>
      <c r="N354" s="60"/>
      <c r="O354" s="68">
        <v>6146.6000000000167</v>
      </c>
    </row>
    <row r="355" spans="2:15" ht="15" thickTop="1" x14ac:dyDescent="0.3">
      <c r="B355" s="57" t="s">
        <v>99</v>
      </c>
      <c r="C355" s="2"/>
      <c r="D355" s="2"/>
      <c r="E355" s="65">
        <v>2728.3999999999996</v>
      </c>
      <c r="G355" s="57" t="s">
        <v>99</v>
      </c>
      <c r="H355" s="2"/>
      <c r="I355" s="2"/>
      <c r="J355" s="229">
        <v>2899.3999999999996</v>
      </c>
      <c r="L355" s="57" t="s">
        <v>99</v>
      </c>
      <c r="M355" s="2"/>
      <c r="N355" s="2"/>
      <c r="O355" s="229">
        <v>3077.5999999999995</v>
      </c>
    </row>
    <row r="356" spans="2:15" x14ac:dyDescent="0.3">
      <c r="B356" s="57" t="s">
        <v>103</v>
      </c>
      <c r="C356" s="2"/>
      <c r="D356" s="2"/>
      <c r="E356" s="66">
        <v>162</v>
      </c>
      <c r="G356" s="57" t="s">
        <v>103</v>
      </c>
      <c r="H356" s="2"/>
      <c r="I356" s="2"/>
      <c r="J356" s="66">
        <v>156.19999999999999</v>
      </c>
      <c r="L356" s="57" t="s">
        <v>103</v>
      </c>
      <c r="M356" s="2"/>
      <c r="N356" s="2"/>
      <c r="O356" s="66">
        <v>174.2</v>
      </c>
    </row>
    <row r="357" spans="2:15" ht="15" thickBot="1" x14ac:dyDescent="0.35">
      <c r="B357" s="70" t="s">
        <v>95</v>
      </c>
      <c r="C357" s="60"/>
      <c r="D357" s="60"/>
      <c r="E357" s="68">
        <v>1248.0000000000005</v>
      </c>
      <c r="G357" s="70" t="s">
        <v>95</v>
      </c>
      <c r="H357" s="60"/>
      <c r="I357" s="60"/>
      <c r="J357" s="68">
        <v>1187.2000000000007</v>
      </c>
      <c r="L357" s="70" t="s">
        <v>95</v>
      </c>
      <c r="M357" s="60"/>
      <c r="N357" s="60"/>
      <c r="O357" s="68">
        <v>1078.0000000000009</v>
      </c>
    </row>
    <row r="358" spans="2:15" ht="15.6" thickTop="1" thickBot="1" x14ac:dyDescent="0.35">
      <c r="B358" s="58" t="s">
        <v>210</v>
      </c>
      <c r="C358" s="123"/>
      <c r="D358" s="59"/>
      <c r="E358" s="127"/>
      <c r="G358" s="58" t="s">
        <v>210</v>
      </c>
      <c r="H358" s="123"/>
      <c r="I358" s="59"/>
      <c r="J358" s="227"/>
      <c r="L358" s="58" t="s">
        <v>210</v>
      </c>
      <c r="M358" s="123"/>
      <c r="N358" s="59"/>
      <c r="O358" s="227"/>
    </row>
    <row r="359" spans="2:15" ht="15" thickTop="1" x14ac:dyDescent="0.3">
      <c r="B359" s="57" t="s">
        <v>260</v>
      </c>
      <c r="C359" s="115"/>
      <c r="D359" s="2"/>
      <c r="E359" s="67">
        <v>194.69999999999996</v>
      </c>
      <c r="G359" s="57" t="s">
        <v>260</v>
      </c>
      <c r="H359" s="115"/>
      <c r="I359" s="2"/>
      <c r="J359" s="67">
        <v>199.69999999999996</v>
      </c>
      <c r="L359" s="57" t="s">
        <v>260</v>
      </c>
      <c r="M359" s="115"/>
      <c r="N359" s="2"/>
      <c r="O359" s="67">
        <v>200.69999999999996</v>
      </c>
    </row>
    <row r="360" spans="2:15" x14ac:dyDescent="0.3">
      <c r="B360" s="57" t="s">
        <v>314</v>
      </c>
      <c r="C360" s="124"/>
      <c r="D360" s="125"/>
      <c r="E360" s="65">
        <v>860</v>
      </c>
      <c r="G360" s="57" t="s">
        <v>367</v>
      </c>
      <c r="H360" s="124"/>
      <c r="I360" s="125"/>
      <c r="J360" s="65">
        <v>860</v>
      </c>
      <c r="L360" s="57" t="s">
        <v>367</v>
      </c>
      <c r="M360" s="124"/>
      <c r="N360" s="125"/>
      <c r="O360" s="65">
        <v>877.92000000000007</v>
      </c>
    </row>
    <row r="361" spans="2:15" x14ac:dyDescent="0.3">
      <c r="B361" s="57" t="s">
        <v>227</v>
      </c>
      <c r="C361" s="124"/>
      <c r="D361" s="125"/>
      <c r="E361" s="65">
        <v>196</v>
      </c>
      <c r="G361" s="57" t="s">
        <v>227</v>
      </c>
      <c r="H361" s="124"/>
      <c r="I361" s="125"/>
      <c r="J361" s="65">
        <v>206</v>
      </c>
      <c r="L361" s="57" t="s">
        <v>227</v>
      </c>
      <c r="M361" s="124"/>
      <c r="N361" s="125"/>
      <c r="O361" s="65">
        <v>210</v>
      </c>
    </row>
    <row r="362" spans="2:15" x14ac:dyDescent="0.3">
      <c r="B362" s="57" t="s">
        <v>91</v>
      </c>
      <c r="C362" s="2"/>
      <c r="D362" s="2"/>
      <c r="E362" s="64">
        <v>5920</v>
      </c>
      <c r="G362" s="57" t="s">
        <v>91</v>
      </c>
      <c r="H362" s="2"/>
      <c r="I362" s="2"/>
      <c r="J362" s="64">
        <v>6080</v>
      </c>
      <c r="L362" s="57" t="s">
        <v>91</v>
      </c>
      <c r="M362" s="2"/>
      <c r="N362" s="2"/>
      <c r="O362" s="64">
        <v>6240</v>
      </c>
    </row>
    <row r="363" spans="2:15" x14ac:dyDescent="0.3">
      <c r="B363" s="57" t="s">
        <v>97</v>
      </c>
      <c r="C363" s="2"/>
      <c r="D363" s="2"/>
      <c r="E363" s="63">
        <v>370</v>
      </c>
      <c r="G363" s="57" t="s">
        <v>97</v>
      </c>
      <c r="H363" s="2"/>
      <c r="I363" s="2"/>
      <c r="J363" s="63">
        <v>380</v>
      </c>
      <c r="L363" s="57" t="s">
        <v>97</v>
      </c>
      <c r="M363" s="2"/>
      <c r="N363" s="2"/>
      <c r="O363" s="63">
        <v>390</v>
      </c>
    </row>
    <row r="364" spans="2:15" x14ac:dyDescent="0.3">
      <c r="B364" s="57" t="s">
        <v>315</v>
      </c>
      <c r="C364" s="2"/>
      <c r="D364" s="2"/>
      <c r="E364" s="64">
        <v>3115.1</v>
      </c>
      <c r="G364" s="57" t="s">
        <v>315</v>
      </c>
      <c r="H364" s="2"/>
      <c r="I364" s="2"/>
      <c r="J364" s="64">
        <v>3220.3</v>
      </c>
      <c r="L364" s="57" t="s">
        <v>315</v>
      </c>
      <c r="M364" s="2"/>
      <c r="N364" s="2"/>
      <c r="O364" s="64">
        <v>3268.38</v>
      </c>
    </row>
    <row r="365" spans="2:15" ht="15" thickBot="1" x14ac:dyDescent="0.35">
      <c r="B365" s="57" t="s">
        <v>94</v>
      </c>
      <c r="C365" s="2"/>
      <c r="D365" s="126"/>
      <c r="E365" s="176">
        <v>1041.96</v>
      </c>
      <c r="G365" s="57" t="s">
        <v>94</v>
      </c>
      <c r="H365" s="2"/>
      <c r="I365" s="126"/>
      <c r="J365" s="176">
        <v>1453.83</v>
      </c>
      <c r="L365" s="57" t="s">
        <v>94</v>
      </c>
      <c r="M365" s="2"/>
      <c r="N365" s="126"/>
      <c r="O365" s="176">
        <v>2283.7800000000002</v>
      </c>
    </row>
    <row r="366" spans="2:15" ht="15.6" thickTop="1" thickBot="1" x14ac:dyDescent="0.35">
      <c r="B366" s="61" t="s">
        <v>92</v>
      </c>
      <c r="C366" s="62"/>
      <c r="D366" s="128"/>
      <c r="E366" s="129">
        <v>9035.1</v>
      </c>
      <c r="G366" s="61" t="s">
        <v>92</v>
      </c>
      <c r="H366" s="62"/>
      <c r="I366" s="128"/>
      <c r="J366" s="129">
        <v>9300.2999999999993</v>
      </c>
      <c r="L366" s="61" t="s">
        <v>92</v>
      </c>
      <c r="M366" s="62"/>
      <c r="N366" s="128"/>
      <c r="O366" s="129">
        <v>9508.380000000001</v>
      </c>
    </row>
    <row r="367" spans="2:15" ht="15.6" thickTop="1" thickBot="1" x14ac:dyDescent="0.35">
      <c r="B367" s="61" t="s">
        <v>96</v>
      </c>
      <c r="C367" s="62"/>
      <c r="D367" s="128"/>
      <c r="E367" s="140">
        <v>9035.1000000000131</v>
      </c>
      <c r="G367" s="61" t="s">
        <v>96</v>
      </c>
      <c r="H367" s="62"/>
      <c r="I367" s="128"/>
      <c r="J367" s="140">
        <v>9300.3000000000156</v>
      </c>
      <c r="L367" s="61" t="s">
        <v>96</v>
      </c>
      <c r="M367" s="62"/>
      <c r="N367" s="128"/>
      <c r="O367" s="140">
        <v>9508.3800000000174</v>
      </c>
    </row>
    <row r="368" spans="2:15" ht="15.6" thickTop="1" thickBot="1" x14ac:dyDescent="0.35"/>
    <row r="369" spans="2:15" ht="15.6" thickTop="1" thickBot="1" x14ac:dyDescent="0.35">
      <c r="B369" s="371" t="s">
        <v>90</v>
      </c>
      <c r="C369" s="372"/>
      <c r="D369" s="177" t="s">
        <v>345</v>
      </c>
      <c r="E369" s="72">
        <v>45976</v>
      </c>
      <c r="G369" s="371" t="s">
        <v>90</v>
      </c>
      <c r="H369" s="372"/>
      <c r="I369" s="177" t="s">
        <v>345</v>
      </c>
      <c r="J369" s="72">
        <v>46006</v>
      </c>
      <c r="L369" s="371" t="s">
        <v>90</v>
      </c>
      <c r="M369" s="372"/>
      <c r="N369" s="177" t="s">
        <v>345</v>
      </c>
      <c r="O369" s="72">
        <v>46037</v>
      </c>
    </row>
    <row r="370" spans="2:15" ht="15.6" thickTop="1" thickBot="1" x14ac:dyDescent="0.35">
      <c r="B370" s="373"/>
      <c r="C370" s="374"/>
      <c r="D370" s="177" t="s">
        <v>346</v>
      </c>
      <c r="E370" s="72">
        <v>44788</v>
      </c>
      <c r="G370" s="373"/>
      <c r="H370" s="374"/>
      <c r="I370" s="177" t="s">
        <v>346</v>
      </c>
      <c r="J370" s="72">
        <v>44788</v>
      </c>
      <c r="L370" s="373"/>
      <c r="M370" s="374"/>
      <c r="N370" s="177" t="s">
        <v>346</v>
      </c>
      <c r="O370" s="72">
        <v>44788</v>
      </c>
    </row>
    <row r="371" spans="2:15" ht="15.6" thickTop="1" thickBot="1" x14ac:dyDescent="0.35">
      <c r="B371" s="375"/>
      <c r="C371" s="376"/>
      <c r="D371" s="177" t="s">
        <v>344</v>
      </c>
      <c r="E371" s="72">
        <v>46005</v>
      </c>
      <c r="G371" s="375"/>
      <c r="H371" s="376"/>
      <c r="I371" s="177" t="s">
        <v>344</v>
      </c>
      <c r="J371" s="72">
        <v>46036</v>
      </c>
      <c r="L371" s="375"/>
      <c r="M371" s="376"/>
      <c r="N371" s="177" t="s">
        <v>344</v>
      </c>
      <c r="O371" s="72">
        <v>46067</v>
      </c>
    </row>
    <row r="372" spans="2:15" ht="15.6" thickTop="1" thickBot="1" x14ac:dyDescent="0.35">
      <c r="B372" s="57" t="s">
        <v>89</v>
      </c>
      <c r="C372" s="2"/>
      <c r="D372" s="2"/>
      <c r="E372" s="114">
        <v>6400</v>
      </c>
      <c r="G372" s="57" t="s">
        <v>89</v>
      </c>
      <c r="H372" s="2"/>
      <c r="I372" s="2"/>
      <c r="J372" s="114">
        <v>6560</v>
      </c>
      <c r="L372" s="57" t="s">
        <v>89</v>
      </c>
      <c r="M372" s="2"/>
      <c r="N372" s="2"/>
      <c r="O372" s="114">
        <v>6880</v>
      </c>
    </row>
    <row r="373" spans="2:15" ht="15.6" thickTop="1" thickBot="1" x14ac:dyDescent="0.35">
      <c r="B373" s="58" t="s">
        <v>162</v>
      </c>
      <c r="C373" s="59"/>
      <c r="D373" s="59"/>
      <c r="E373" s="120"/>
      <c r="G373" s="58" t="s">
        <v>162</v>
      </c>
      <c r="H373" s="59"/>
      <c r="I373" s="59"/>
      <c r="J373" s="120"/>
      <c r="L373" s="58" t="s">
        <v>162</v>
      </c>
      <c r="M373" s="59"/>
      <c r="N373" s="59"/>
      <c r="O373" s="120"/>
    </row>
    <row r="374" spans="2:15" ht="15" thickTop="1" x14ac:dyDescent="0.3">
      <c r="B374" s="118" t="s">
        <v>207</v>
      </c>
      <c r="C374" s="2"/>
      <c r="D374" s="2"/>
      <c r="E374" s="113">
        <v>36380</v>
      </c>
      <c r="G374" s="118" t="s">
        <v>207</v>
      </c>
      <c r="H374" s="2"/>
      <c r="I374" s="2"/>
      <c r="J374" s="113">
        <v>40180</v>
      </c>
      <c r="L374" s="118" t="s">
        <v>207</v>
      </c>
      <c r="M374" s="2"/>
      <c r="N374" s="2"/>
      <c r="O374" s="113">
        <v>41860</v>
      </c>
    </row>
    <row r="375" spans="2:15" x14ac:dyDescent="0.3">
      <c r="B375" s="119" t="s">
        <v>208</v>
      </c>
      <c r="C375" s="2"/>
      <c r="D375" s="2"/>
      <c r="E375" s="65">
        <v>460</v>
      </c>
      <c r="G375" s="119" t="s">
        <v>208</v>
      </c>
      <c r="H375" s="2"/>
      <c r="I375" s="2"/>
      <c r="J375" s="65">
        <v>460</v>
      </c>
      <c r="L375" s="119" t="s">
        <v>208</v>
      </c>
      <c r="M375" s="2"/>
      <c r="N375" s="2"/>
      <c r="O375" s="65">
        <v>460</v>
      </c>
    </row>
    <row r="376" spans="2:15" x14ac:dyDescent="0.3">
      <c r="B376" s="57" t="s">
        <v>100</v>
      </c>
      <c r="C376" s="2"/>
      <c r="D376" s="2"/>
      <c r="E376" s="66">
        <v>1200</v>
      </c>
      <c r="G376" s="57" t="s">
        <v>100</v>
      </c>
      <c r="H376" s="2"/>
      <c r="I376" s="2"/>
      <c r="J376" s="66">
        <v>3800</v>
      </c>
      <c r="L376" s="57" t="s">
        <v>100</v>
      </c>
      <c r="M376" s="2"/>
      <c r="N376" s="2"/>
      <c r="O376" s="66">
        <v>1680</v>
      </c>
    </row>
    <row r="377" spans="2:15" x14ac:dyDescent="0.3">
      <c r="B377" s="119" t="s">
        <v>209</v>
      </c>
      <c r="C377" s="2"/>
      <c r="D377" s="2"/>
      <c r="E377" s="121">
        <v>4379.6000000000004</v>
      </c>
      <c r="G377" s="119" t="s">
        <v>209</v>
      </c>
      <c r="H377" s="2"/>
      <c r="I377" s="2"/>
      <c r="J377" s="121">
        <v>5301.6</v>
      </c>
      <c r="L377" s="119" t="s">
        <v>209</v>
      </c>
      <c r="M377" s="2"/>
      <c r="N377" s="2"/>
      <c r="O377" s="121">
        <v>5604.8</v>
      </c>
    </row>
    <row r="378" spans="2:15" ht="15" thickBot="1" x14ac:dyDescent="0.35">
      <c r="B378" s="57" t="s">
        <v>102</v>
      </c>
      <c r="C378" s="2"/>
      <c r="D378" s="2"/>
      <c r="E378" s="66">
        <v>224</v>
      </c>
      <c r="G378" s="57" t="s">
        <v>102</v>
      </c>
      <c r="H378" s="2"/>
      <c r="I378" s="2"/>
      <c r="J378" s="66">
        <v>922</v>
      </c>
      <c r="L378" s="57" t="s">
        <v>102</v>
      </c>
      <c r="M378" s="2"/>
      <c r="N378" s="2"/>
      <c r="O378" s="66">
        <v>303.2</v>
      </c>
    </row>
    <row r="379" spans="2:15" ht="15.6" thickTop="1" thickBot="1" x14ac:dyDescent="0.35">
      <c r="B379" s="122" t="s">
        <v>39</v>
      </c>
      <c r="C379" s="59"/>
      <c r="D379" s="59"/>
      <c r="E379" s="120"/>
      <c r="G379" s="122" t="s">
        <v>39</v>
      </c>
      <c r="H379" s="59"/>
      <c r="I379" s="59"/>
      <c r="J379" s="120"/>
      <c r="L379" s="122" t="s">
        <v>39</v>
      </c>
      <c r="M379" s="59"/>
      <c r="N379" s="59"/>
      <c r="O379" s="120"/>
    </row>
    <row r="380" spans="2:15" ht="15" thickTop="1" x14ac:dyDescent="0.3">
      <c r="B380" s="57" t="s">
        <v>98</v>
      </c>
      <c r="C380" s="2"/>
      <c r="D380" s="2"/>
      <c r="E380" s="229">
        <v>30810.069999999982</v>
      </c>
      <c r="G380" s="57" t="s">
        <v>98</v>
      </c>
      <c r="H380" s="2"/>
      <c r="I380" s="2"/>
      <c r="J380" s="229">
        <v>31970.069999999982</v>
      </c>
      <c r="L380" s="57" t="s">
        <v>98</v>
      </c>
      <c r="M380" s="2"/>
      <c r="N380" s="2"/>
      <c r="O380" s="229">
        <v>33591.179999999978</v>
      </c>
    </row>
    <row r="381" spans="2:15" x14ac:dyDescent="0.3">
      <c r="B381" s="57" t="s">
        <v>101</v>
      </c>
      <c r="C381" s="2"/>
      <c r="D381" s="2"/>
      <c r="E381" s="66">
        <v>1776.67</v>
      </c>
      <c r="G381" s="57" t="s">
        <v>101</v>
      </c>
      <c r="H381" s="2"/>
      <c r="I381" s="2"/>
      <c r="J381" s="66">
        <v>1170</v>
      </c>
      <c r="L381" s="57" t="s">
        <v>101</v>
      </c>
      <c r="M381" s="2"/>
      <c r="N381" s="2"/>
      <c r="O381" s="66">
        <v>1621.1100000000001</v>
      </c>
    </row>
    <row r="382" spans="2:15" ht="15" thickBot="1" x14ac:dyDescent="0.35">
      <c r="B382" s="70" t="s">
        <v>93</v>
      </c>
      <c r="C382" s="69"/>
      <c r="D382" s="60"/>
      <c r="E382" s="68">
        <v>5569.9300000000185</v>
      </c>
      <c r="G382" s="70" t="s">
        <v>93</v>
      </c>
      <c r="H382" s="69"/>
      <c r="I382" s="60"/>
      <c r="J382" s="68">
        <v>8209.9300000000185</v>
      </c>
      <c r="L382" s="70" t="s">
        <v>93</v>
      </c>
      <c r="M382" s="69"/>
      <c r="N382" s="60"/>
      <c r="O382" s="68">
        <v>8268.8200000000215</v>
      </c>
    </row>
    <row r="383" spans="2:15" ht="15" thickTop="1" x14ac:dyDescent="0.3">
      <c r="B383" s="57" t="s">
        <v>99</v>
      </c>
      <c r="C383" s="2"/>
      <c r="D383" s="2"/>
      <c r="E383" s="229">
        <v>3288.5999999999995</v>
      </c>
      <c r="G383" s="57" t="s">
        <v>99</v>
      </c>
      <c r="H383" s="2"/>
      <c r="I383" s="2"/>
      <c r="J383" s="229">
        <v>3474.5999999999995</v>
      </c>
      <c r="L383" s="57" t="s">
        <v>99</v>
      </c>
      <c r="M383" s="2"/>
      <c r="N383" s="2"/>
      <c r="O383" s="229">
        <v>3797.5999999999995</v>
      </c>
    </row>
    <row r="384" spans="2:15" x14ac:dyDescent="0.3">
      <c r="B384" s="57" t="s">
        <v>103</v>
      </c>
      <c r="C384" s="2"/>
      <c r="D384" s="2"/>
      <c r="E384" s="66">
        <v>211</v>
      </c>
      <c r="G384" s="57" t="s">
        <v>103</v>
      </c>
      <c r="H384" s="2"/>
      <c r="I384" s="2"/>
      <c r="J384" s="66">
        <v>170</v>
      </c>
      <c r="L384" s="57" t="s">
        <v>103</v>
      </c>
      <c r="M384" s="2"/>
      <c r="N384" s="2"/>
      <c r="O384" s="66">
        <v>237</v>
      </c>
    </row>
    <row r="385" spans="2:15" ht="15" thickBot="1" x14ac:dyDescent="0.35">
      <c r="B385" s="70" t="s">
        <v>95</v>
      </c>
      <c r="C385" s="60"/>
      <c r="D385" s="60"/>
      <c r="E385" s="68">
        <v>1091.0000000000009</v>
      </c>
      <c r="G385" s="70" t="s">
        <v>95</v>
      </c>
      <c r="H385" s="60"/>
      <c r="I385" s="60"/>
      <c r="J385" s="68">
        <v>1827.0000000000009</v>
      </c>
      <c r="L385" s="70" t="s">
        <v>95</v>
      </c>
      <c r="M385" s="60"/>
      <c r="N385" s="60"/>
      <c r="O385" s="68">
        <v>1807.2000000000007</v>
      </c>
    </row>
    <row r="386" spans="2:15" ht="15.6" thickTop="1" thickBot="1" x14ac:dyDescent="0.35">
      <c r="B386" s="58" t="s">
        <v>210</v>
      </c>
      <c r="C386" s="123"/>
      <c r="D386" s="59"/>
      <c r="E386" s="227"/>
      <c r="G386" s="58" t="s">
        <v>210</v>
      </c>
      <c r="H386" s="123"/>
      <c r="I386" s="59"/>
      <c r="J386" s="227"/>
      <c r="L386" s="58" t="s">
        <v>210</v>
      </c>
      <c r="M386" s="123"/>
      <c r="N386" s="59"/>
      <c r="O386" s="227"/>
    </row>
    <row r="387" spans="2:15" ht="15" thickTop="1" x14ac:dyDescent="0.3">
      <c r="B387" s="57" t="s">
        <v>260</v>
      </c>
      <c r="C387" s="115"/>
      <c r="D387" s="2"/>
      <c r="E387" s="67">
        <v>200.69999999999996</v>
      </c>
      <c r="G387" s="57" t="s">
        <v>260</v>
      </c>
      <c r="H387" s="115"/>
      <c r="I387" s="2"/>
      <c r="J387" s="67">
        <v>210.69999999999996</v>
      </c>
      <c r="L387" s="57" t="s">
        <v>260</v>
      </c>
      <c r="M387" s="115"/>
      <c r="N387" s="2"/>
      <c r="O387" s="67">
        <v>220.69999999999996</v>
      </c>
    </row>
    <row r="388" spans="2:15" x14ac:dyDescent="0.3">
      <c r="B388" s="57" t="s">
        <v>367</v>
      </c>
      <c r="C388" s="124"/>
      <c r="D388" s="125"/>
      <c r="E388" s="65">
        <v>1728.31</v>
      </c>
      <c r="G388" s="57" t="s">
        <v>367</v>
      </c>
      <c r="H388" s="124"/>
      <c r="I388" s="125"/>
      <c r="J388" s="65">
        <v>1728.31</v>
      </c>
      <c r="L388" s="57" t="s">
        <v>367</v>
      </c>
      <c r="M388" s="124"/>
      <c r="N388" s="125"/>
      <c r="O388" s="65">
        <v>1755.01</v>
      </c>
    </row>
    <row r="389" spans="2:15" x14ac:dyDescent="0.3">
      <c r="B389" s="57" t="s">
        <v>227</v>
      </c>
      <c r="C389" s="124"/>
      <c r="D389" s="125"/>
      <c r="E389" s="65">
        <v>210</v>
      </c>
      <c r="G389" s="57" t="s">
        <v>227</v>
      </c>
      <c r="H389" s="124"/>
      <c r="I389" s="125"/>
      <c r="J389" s="65">
        <v>226</v>
      </c>
      <c r="L389" s="57" t="s">
        <v>227</v>
      </c>
      <c r="M389" s="124"/>
      <c r="N389" s="125"/>
      <c r="O389" s="65">
        <v>322</v>
      </c>
    </row>
    <row r="390" spans="2:15" x14ac:dyDescent="0.3">
      <c r="B390" s="57" t="s">
        <v>91</v>
      </c>
      <c r="C390" s="2"/>
      <c r="D390" s="2"/>
      <c r="E390" s="64">
        <v>6400</v>
      </c>
      <c r="G390" s="57" t="s">
        <v>91</v>
      </c>
      <c r="H390" s="2"/>
      <c r="I390" s="2"/>
      <c r="J390" s="64">
        <v>6560</v>
      </c>
      <c r="L390" s="57" t="s">
        <v>91</v>
      </c>
      <c r="M390" s="2"/>
      <c r="N390" s="2"/>
      <c r="O390" s="64">
        <v>6880</v>
      </c>
    </row>
    <row r="391" spans="2:15" x14ac:dyDescent="0.3">
      <c r="B391" s="57" t="s">
        <v>97</v>
      </c>
      <c r="C391" s="2"/>
      <c r="D391" s="2"/>
      <c r="E391" s="63">
        <v>400</v>
      </c>
      <c r="G391" s="57" t="s">
        <v>97</v>
      </c>
      <c r="H391" s="2"/>
      <c r="I391" s="2"/>
      <c r="J391" s="63">
        <v>410</v>
      </c>
      <c r="L391" s="57" t="s">
        <v>97</v>
      </c>
      <c r="M391" s="2"/>
      <c r="N391" s="2"/>
      <c r="O391" s="63">
        <v>430</v>
      </c>
    </row>
    <row r="392" spans="2:15" x14ac:dyDescent="0.3">
      <c r="B392" s="57" t="s">
        <v>315</v>
      </c>
      <c r="C392" s="2"/>
      <c r="D392" s="2"/>
      <c r="E392" s="64">
        <v>2641.9900000000002</v>
      </c>
      <c r="G392" s="57" t="s">
        <v>315</v>
      </c>
      <c r="H392" s="2"/>
      <c r="I392" s="2"/>
      <c r="J392" s="64">
        <v>3557.9900000000002</v>
      </c>
      <c r="L392" s="57" t="s">
        <v>315</v>
      </c>
      <c r="M392" s="2"/>
      <c r="N392" s="2"/>
      <c r="O392" s="64">
        <v>3748.49</v>
      </c>
    </row>
    <row r="393" spans="2:15" ht="15" thickBot="1" x14ac:dyDescent="0.35">
      <c r="B393" s="57" t="s">
        <v>94</v>
      </c>
      <c r="C393" s="2"/>
      <c r="D393" s="126"/>
      <c r="E393" s="176">
        <v>2381.06</v>
      </c>
      <c r="G393" s="57" t="s">
        <v>94</v>
      </c>
      <c r="H393" s="2"/>
      <c r="I393" s="126"/>
      <c r="J393" s="176">
        <v>81.06</v>
      </c>
      <c r="L393" s="57" t="s">
        <v>94</v>
      </c>
      <c r="M393" s="2"/>
      <c r="N393" s="126"/>
      <c r="O393" s="176">
        <v>552.47</v>
      </c>
    </row>
    <row r="394" spans="2:15" ht="15.6" thickTop="1" thickBot="1" x14ac:dyDescent="0.35">
      <c r="B394" s="61" t="s">
        <v>92</v>
      </c>
      <c r="C394" s="62"/>
      <c r="D394" s="128"/>
      <c r="E394" s="129">
        <v>9041.99</v>
      </c>
      <c r="G394" s="61" t="s">
        <v>92</v>
      </c>
      <c r="H394" s="62"/>
      <c r="I394" s="128"/>
      <c r="J394" s="129">
        <v>10117.99</v>
      </c>
      <c r="L394" s="61" t="s">
        <v>92</v>
      </c>
      <c r="M394" s="62"/>
      <c r="N394" s="128"/>
      <c r="O394" s="129">
        <v>10628.49</v>
      </c>
    </row>
    <row r="395" spans="2:15" ht="15.6" thickTop="1" thickBot="1" x14ac:dyDescent="0.35">
      <c r="B395" s="61" t="s">
        <v>96</v>
      </c>
      <c r="C395" s="62"/>
      <c r="D395" s="128"/>
      <c r="E395" s="140">
        <v>9041.9900000000198</v>
      </c>
      <c r="G395" s="61" t="s">
        <v>96</v>
      </c>
      <c r="H395" s="62"/>
      <c r="I395" s="128"/>
      <c r="J395" s="140">
        <v>10117.990000000018</v>
      </c>
      <c r="L395" s="61" t="s">
        <v>96</v>
      </c>
      <c r="M395" s="62"/>
      <c r="N395" s="128"/>
      <c r="O395" s="140">
        <v>10628.490000000022</v>
      </c>
    </row>
    <row r="396" spans="2:15" ht="15.6" thickTop="1" thickBot="1" x14ac:dyDescent="0.35"/>
    <row r="397" spans="2:15" ht="15.6" thickTop="1" thickBot="1" x14ac:dyDescent="0.35">
      <c r="B397" s="371" t="s">
        <v>90</v>
      </c>
      <c r="C397" s="372"/>
      <c r="D397" s="177" t="s">
        <v>345</v>
      </c>
      <c r="E397" s="72">
        <v>46068</v>
      </c>
      <c r="G397" s="371" t="s">
        <v>90</v>
      </c>
      <c r="H397" s="372"/>
      <c r="I397" s="177" t="s">
        <v>345</v>
      </c>
      <c r="J397" s="72">
        <v>46096</v>
      </c>
      <c r="L397" s="371" t="s">
        <v>90</v>
      </c>
      <c r="M397" s="372"/>
      <c r="N397" s="177" t="s">
        <v>345</v>
      </c>
      <c r="O397" s="72">
        <v>46127</v>
      </c>
    </row>
    <row r="398" spans="2:15" ht="15.6" thickTop="1" thickBot="1" x14ac:dyDescent="0.35">
      <c r="B398" s="373"/>
      <c r="C398" s="374"/>
      <c r="D398" s="177" t="s">
        <v>346</v>
      </c>
      <c r="E398" s="72">
        <v>44788</v>
      </c>
      <c r="G398" s="373"/>
      <c r="H398" s="374"/>
      <c r="I398" s="177" t="s">
        <v>346</v>
      </c>
      <c r="J398" s="72">
        <v>44788</v>
      </c>
      <c r="L398" s="373"/>
      <c r="M398" s="374"/>
      <c r="N398" s="177" t="s">
        <v>346</v>
      </c>
      <c r="O398" s="72">
        <v>44788</v>
      </c>
    </row>
    <row r="399" spans="2:15" ht="15.6" thickTop="1" thickBot="1" x14ac:dyDescent="0.35">
      <c r="B399" s="375"/>
      <c r="C399" s="376"/>
      <c r="D399" s="177" t="s">
        <v>344</v>
      </c>
      <c r="E399" s="72">
        <v>46095</v>
      </c>
      <c r="G399" s="375"/>
      <c r="H399" s="376"/>
      <c r="I399" s="177" t="s">
        <v>344</v>
      </c>
      <c r="J399" s="72">
        <v>46126</v>
      </c>
      <c r="L399" s="375"/>
      <c r="M399" s="376"/>
      <c r="N399" s="177" t="s">
        <v>344</v>
      </c>
      <c r="O399" s="72">
        <v>46156</v>
      </c>
    </row>
    <row r="400" spans="2:15" ht="15.6" thickTop="1" thickBot="1" x14ac:dyDescent="0.35">
      <c r="B400" s="57" t="s">
        <v>89</v>
      </c>
      <c r="C400" s="2"/>
      <c r="D400" s="2"/>
      <c r="E400" s="114">
        <v>7200</v>
      </c>
      <c r="G400" s="57" t="s">
        <v>89</v>
      </c>
      <c r="H400" s="2"/>
      <c r="I400" s="2"/>
      <c r="J400" s="114">
        <v>7520</v>
      </c>
      <c r="L400" s="57" t="s">
        <v>89</v>
      </c>
      <c r="M400" s="2"/>
      <c r="N400" s="2"/>
      <c r="O400" s="114">
        <v>7800</v>
      </c>
    </row>
    <row r="401" spans="2:15" ht="15.6" thickTop="1" thickBot="1" x14ac:dyDescent="0.35">
      <c r="B401" s="58" t="s">
        <v>162</v>
      </c>
      <c r="C401" s="59"/>
      <c r="D401" s="59"/>
      <c r="E401" s="120"/>
      <c r="G401" s="58" t="s">
        <v>162</v>
      </c>
      <c r="H401" s="59"/>
      <c r="I401" s="59"/>
      <c r="J401" s="120"/>
      <c r="L401" s="58" t="s">
        <v>162</v>
      </c>
      <c r="M401" s="59"/>
      <c r="N401" s="59"/>
      <c r="O401" s="120"/>
    </row>
    <row r="402" spans="2:15" ht="15" thickTop="1" x14ac:dyDescent="0.3">
      <c r="B402" s="118" t="s">
        <v>207</v>
      </c>
      <c r="C402" s="2"/>
      <c r="D402" s="2"/>
      <c r="E402" s="113">
        <v>44710</v>
      </c>
      <c r="G402" s="118" t="s">
        <v>207</v>
      </c>
      <c r="H402" s="2"/>
      <c r="I402" s="2"/>
      <c r="J402" s="113">
        <v>45370</v>
      </c>
      <c r="L402" s="118" t="s">
        <v>207</v>
      </c>
      <c r="M402" s="2"/>
      <c r="N402" s="2"/>
      <c r="O402" s="113">
        <v>47470</v>
      </c>
    </row>
    <row r="403" spans="2:15" x14ac:dyDescent="0.3">
      <c r="B403" s="119" t="s">
        <v>208</v>
      </c>
      <c r="C403" s="2"/>
      <c r="D403" s="2"/>
      <c r="E403" s="65">
        <v>460</v>
      </c>
      <c r="G403" s="119" t="s">
        <v>208</v>
      </c>
      <c r="H403" s="2"/>
      <c r="I403" s="2"/>
      <c r="J403" s="65">
        <v>460</v>
      </c>
      <c r="L403" s="119" t="s">
        <v>208</v>
      </c>
      <c r="M403" s="2"/>
      <c r="N403" s="2"/>
      <c r="O403" s="65">
        <v>460</v>
      </c>
    </row>
    <row r="404" spans="2:15" x14ac:dyDescent="0.3">
      <c r="B404" s="57" t="s">
        <v>100</v>
      </c>
      <c r="C404" s="2"/>
      <c r="D404" s="2"/>
      <c r="E404" s="66">
        <v>2850</v>
      </c>
      <c r="G404" s="57" t="s">
        <v>100</v>
      </c>
      <c r="H404" s="2"/>
      <c r="I404" s="2"/>
      <c r="J404" s="66">
        <v>660</v>
      </c>
      <c r="L404" s="57" t="s">
        <v>100</v>
      </c>
      <c r="M404" s="2"/>
      <c r="N404" s="2"/>
      <c r="O404" s="66">
        <v>2100</v>
      </c>
    </row>
    <row r="405" spans="2:15" x14ac:dyDescent="0.3">
      <c r="B405" s="119" t="s">
        <v>209</v>
      </c>
      <c r="C405" s="2"/>
      <c r="D405" s="2"/>
      <c r="E405" s="121">
        <v>6113.8</v>
      </c>
      <c r="G405" s="119" t="s">
        <v>209</v>
      </c>
      <c r="H405" s="2"/>
      <c r="I405" s="2"/>
      <c r="J405" s="121">
        <v>6160.6</v>
      </c>
      <c r="L405" s="119" t="s">
        <v>209</v>
      </c>
      <c r="M405" s="2"/>
      <c r="N405" s="2"/>
      <c r="O405" s="121">
        <v>6370.6</v>
      </c>
    </row>
    <row r="406" spans="2:15" ht="15" thickBot="1" x14ac:dyDescent="0.35">
      <c r="B406" s="57" t="s">
        <v>102</v>
      </c>
      <c r="C406" s="2"/>
      <c r="D406" s="2"/>
      <c r="E406" s="66">
        <v>509</v>
      </c>
      <c r="G406" s="57" t="s">
        <v>102</v>
      </c>
      <c r="H406" s="2"/>
      <c r="I406" s="2"/>
      <c r="J406" s="66">
        <v>46.800000000000004</v>
      </c>
      <c r="L406" s="57" t="s">
        <v>102</v>
      </c>
      <c r="M406" s="2"/>
      <c r="N406" s="2"/>
      <c r="O406" s="66">
        <v>210</v>
      </c>
    </row>
    <row r="407" spans="2:15" ht="15.6" thickTop="1" thickBot="1" x14ac:dyDescent="0.35">
      <c r="B407" s="122" t="s">
        <v>39</v>
      </c>
      <c r="C407" s="59"/>
      <c r="D407" s="59"/>
      <c r="E407" s="120"/>
      <c r="G407" s="122" t="s">
        <v>39</v>
      </c>
      <c r="H407" s="59"/>
      <c r="I407" s="59"/>
      <c r="J407" s="120"/>
      <c r="L407" s="122" t="s">
        <v>39</v>
      </c>
      <c r="M407" s="59"/>
      <c r="N407" s="59"/>
      <c r="O407" s="120"/>
    </row>
    <row r="408" spans="2:15" ht="15" thickTop="1" x14ac:dyDescent="0.3">
      <c r="B408" s="57" t="s">
        <v>98</v>
      </c>
      <c r="C408" s="2"/>
      <c r="D408" s="2"/>
      <c r="E408" s="229">
        <v>36932.25999999998</v>
      </c>
      <c r="G408" s="57" t="s">
        <v>98</v>
      </c>
      <c r="H408" s="2"/>
      <c r="I408" s="2"/>
      <c r="J408" s="229">
        <v>38161.699999999983</v>
      </c>
      <c r="L408" s="57" t="s">
        <v>98</v>
      </c>
      <c r="M408" s="2"/>
      <c r="N408" s="2"/>
      <c r="O408" s="229">
        <v>38866.139999999985</v>
      </c>
    </row>
    <row r="409" spans="2:15" x14ac:dyDescent="0.3">
      <c r="B409" s="57" t="s">
        <v>101</v>
      </c>
      <c r="C409" s="2"/>
      <c r="D409" s="2"/>
      <c r="E409" s="66">
        <v>3341.08</v>
      </c>
      <c r="G409" s="57" t="s">
        <v>101</v>
      </c>
      <c r="H409" s="2"/>
      <c r="I409" s="2"/>
      <c r="J409" s="66">
        <v>1229.44</v>
      </c>
      <c r="L409" s="57" t="s">
        <v>101</v>
      </c>
      <c r="M409" s="2"/>
      <c r="N409" s="2"/>
      <c r="O409" s="66">
        <v>704.44</v>
      </c>
    </row>
    <row r="410" spans="2:15" ht="15" thickBot="1" x14ac:dyDescent="0.35">
      <c r="B410" s="70" t="s">
        <v>93</v>
      </c>
      <c r="C410" s="69"/>
      <c r="D410" s="60"/>
      <c r="E410" s="68">
        <v>7777.7400000000198</v>
      </c>
      <c r="G410" s="70" t="s">
        <v>93</v>
      </c>
      <c r="H410" s="69"/>
      <c r="I410" s="60"/>
      <c r="J410" s="68">
        <v>7208.3000000000175</v>
      </c>
      <c r="L410" s="70" t="s">
        <v>93</v>
      </c>
      <c r="M410" s="69"/>
      <c r="N410" s="60"/>
      <c r="O410" s="68">
        <v>8603.8600000000151</v>
      </c>
    </row>
    <row r="411" spans="2:15" ht="15" thickTop="1" x14ac:dyDescent="0.3">
      <c r="B411" s="57" t="s">
        <v>99</v>
      </c>
      <c r="C411" s="2"/>
      <c r="D411" s="2"/>
      <c r="E411" s="229">
        <v>4349.7999999999993</v>
      </c>
      <c r="G411" s="57" t="s">
        <v>99</v>
      </c>
      <c r="H411" s="2"/>
      <c r="I411" s="2"/>
      <c r="J411" s="229">
        <v>4547.7999999999993</v>
      </c>
      <c r="L411" s="57" t="s">
        <v>99</v>
      </c>
      <c r="M411" s="2"/>
      <c r="N411" s="2"/>
      <c r="O411" s="229">
        <v>4665.7999999999993</v>
      </c>
    </row>
    <row r="412" spans="2:15" x14ac:dyDescent="0.3">
      <c r="B412" s="57" t="s">
        <v>103</v>
      </c>
      <c r="C412" s="2"/>
      <c r="D412" s="2"/>
      <c r="E412" s="66">
        <v>440.20000000000005</v>
      </c>
      <c r="G412" s="57" t="s">
        <v>103</v>
      </c>
      <c r="H412" s="2"/>
      <c r="I412" s="2"/>
      <c r="J412" s="66">
        <v>222</v>
      </c>
      <c r="L412" s="57" t="s">
        <v>103</v>
      </c>
      <c r="M412" s="2"/>
      <c r="N412" s="2"/>
      <c r="O412" s="66">
        <v>142</v>
      </c>
    </row>
    <row r="413" spans="2:15" ht="15" thickBot="1" x14ac:dyDescent="0.35">
      <c r="B413" s="70" t="s">
        <v>95</v>
      </c>
      <c r="C413" s="60"/>
      <c r="D413" s="60"/>
      <c r="E413" s="68">
        <v>1764.0000000000009</v>
      </c>
      <c r="G413" s="70" t="s">
        <v>95</v>
      </c>
      <c r="H413" s="60"/>
      <c r="I413" s="60"/>
      <c r="J413" s="68">
        <v>1612.8000000000011</v>
      </c>
      <c r="L413" s="70" t="s">
        <v>95</v>
      </c>
      <c r="M413" s="60"/>
      <c r="N413" s="60"/>
      <c r="O413" s="68">
        <v>1704.8000000000011</v>
      </c>
    </row>
    <row r="414" spans="2:15" ht="15.6" thickTop="1" thickBot="1" x14ac:dyDescent="0.35">
      <c r="B414" s="58" t="s">
        <v>210</v>
      </c>
      <c r="C414" s="123"/>
      <c r="D414" s="59"/>
      <c r="E414" s="227"/>
      <c r="G414" s="58" t="s">
        <v>210</v>
      </c>
      <c r="H414" s="123"/>
      <c r="I414" s="59"/>
      <c r="J414" s="227"/>
      <c r="L414" s="58" t="s">
        <v>210</v>
      </c>
      <c r="M414" s="123"/>
      <c r="N414" s="59"/>
      <c r="O414" s="227"/>
    </row>
    <row r="415" spans="2:15" ht="15" thickTop="1" x14ac:dyDescent="0.3">
      <c r="B415" s="57" t="s">
        <v>260</v>
      </c>
      <c r="C415" s="115"/>
      <c r="D415" s="2"/>
      <c r="E415" s="67">
        <v>220.69999999999996</v>
      </c>
      <c r="G415" s="57" t="s">
        <v>260</v>
      </c>
      <c r="H415" s="115"/>
      <c r="I415" s="2"/>
      <c r="J415" s="67">
        <v>244.69999999999996</v>
      </c>
      <c r="L415" s="57" t="s">
        <v>260</v>
      </c>
      <c r="M415" s="115"/>
      <c r="N415" s="2"/>
      <c r="O415" s="67">
        <v>268.69999999999993</v>
      </c>
    </row>
    <row r="416" spans="2:15" x14ac:dyDescent="0.3">
      <c r="B416" s="57" t="s">
        <v>367</v>
      </c>
      <c r="C416" s="124"/>
      <c r="D416" s="125"/>
      <c r="E416" s="65">
        <v>1755.01</v>
      </c>
      <c r="G416" s="57" t="s">
        <v>367</v>
      </c>
      <c r="H416" s="124"/>
      <c r="I416" s="125"/>
      <c r="J416" s="65">
        <v>1786.01</v>
      </c>
      <c r="L416" s="57" t="s">
        <v>367</v>
      </c>
      <c r="M416" s="124"/>
      <c r="N416" s="125"/>
      <c r="O416" s="65">
        <v>1914.01</v>
      </c>
    </row>
    <row r="417" spans="2:15" x14ac:dyDescent="0.3">
      <c r="B417" s="57" t="s">
        <v>227</v>
      </c>
      <c r="C417" s="124"/>
      <c r="D417" s="125"/>
      <c r="E417" s="65">
        <v>434</v>
      </c>
      <c r="G417" s="57" t="s">
        <v>227</v>
      </c>
      <c r="H417" s="124"/>
      <c r="I417" s="125"/>
      <c r="J417" s="65">
        <v>434</v>
      </c>
      <c r="L417" s="57" t="s">
        <v>227</v>
      </c>
      <c r="M417" s="124"/>
      <c r="N417" s="125"/>
      <c r="O417" s="65">
        <v>434</v>
      </c>
    </row>
    <row r="418" spans="2:15" x14ac:dyDescent="0.3">
      <c r="B418" s="57" t="s">
        <v>91</v>
      </c>
      <c r="C418" s="2"/>
      <c r="D418" s="2"/>
      <c r="E418" s="64">
        <v>7200</v>
      </c>
      <c r="G418" s="57" t="s">
        <v>91</v>
      </c>
      <c r="H418" s="2"/>
      <c r="I418" s="2"/>
      <c r="J418" s="64">
        <v>7520</v>
      </c>
      <c r="L418" s="57" t="s">
        <v>91</v>
      </c>
      <c r="M418" s="2"/>
      <c r="N418" s="2"/>
      <c r="O418" s="64">
        <v>7800</v>
      </c>
    </row>
    <row r="419" spans="2:15" x14ac:dyDescent="0.3">
      <c r="B419" s="57" t="s">
        <v>97</v>
      </c>
      <c r="C419" s="2"/>
      <c r="D419" s="2"/>
      <c r="E419" s="63">
        <v>450</v>
      </c>
      <c r="G419" s="57" t="s">
        <v>97</v>
      </c>
      <c r="H419" s="2"/>
      <c r="I419" s="2"/>
      <c r="J419" s="63">
        <v>470</v>
      </c>
      <c r="L419" s="57" t="s">
        <v>97</v>
      </c>
      <c r="M419" s="2"/>
      <c r="N419" s="2"/>
      <c r="O419" s="63">
        <v>487.5</v>
      </c>
    </row>
    <row r="420" spans="2:15" x14ac:dyDescent="0.3">
      <c r="B420" s="57" t="s">
        <v>315</v>
      </c>
      <c r="C420" s="2"/>
      <c r="D420" s="2"/>
      <c r="E420" s="64">
        <v>4145.49</v>
      </c>
      <c r="G420" s="57" t="s">
        <v>315</v>
      </c>
      <c r="H420" s="2"/>
      <c r="I420" s="2"/>
      <c r="J420" s="64">
        <v>4185.29</v>
      </c>
      <c r="L420" s="57" t="s">
        <v>315</v>
      </c>
      <c r="M420" s="2"/>
      <c r="N420" s="2"/>
      <c r="O420" s="64">
        <v>4291.29</v>
      </c>
    </row>
    <row r="421" spans="2:15" ht="15" thickBot="1" x14ac:dyDescent="0.35">
      <c r="B421" s="57" t="s">
        <v>94</v>
      </c>
      <c r="C421" s="2"/>
      <c r="D421" s="126"/>
      <c r="E421" s="176">
        <v>1803.75</v>
      </c>
      <c r="G421" s="57" t="s">
        <v>94</v>
      </c>
      <c r="H421" s="2"/>
      <c r="I421" s="126"/>
      <c r="J421" s="176">
        <v>2884.19</v>
      </c>
      <c r="L421" s="57" t="s">
        <v>94</v>
      </c>
      <c r="M421" s="2"/>
      <c r="N421" s="126"/>
      <c r="O421" s="176">
        <v>1782.63</v>
      </c>
    </row>
    <row r="422" spans="2:15" ht="15.6" thickTop="1" thickBot="1" x14ac:dyDescent="0.35">
      <c r="B422" s="61" t="s">
        <v>92</v>
      </c>
      <c r="C422" s="62"/>
      <c r="D422" s="128"/>
      <c r="E422" s="129">
        <v>11345.49</v>
      </c>
      <c r="G422" s="61" t="s">
        <v>92</v>
      </c>
      <c r="H422" s="62"/>
      <c r="I422" s="128"/>
      <c r="J422" s="129">
        <v>11705.29</v>
      </c>
      <c r="L422" s="61" t="s">
        <v>92</v>
      </c>
      <c r="M422" s="62"/>
      <c r="N422" s="128"/>
      <c r="O422" s="129">
        <v>12091.29</v>
      </c>
    </row>
    <row r="423" spans="2:15" ht="15.6" thickTop="1" thickBot="1" x14ac:dyDescent="0.35">
      <c r="B423" s="61" t="s">
        <v>96</v>
      </c>
      <c r="C423" s="62"/>
      <c r="D423" s="128"/>
      <c r="E423" s="140">
        <v>11345.49000000002</v>
      </c>
      <c r="G423" s="61" t="s">
        <v>96</v>
      </c>
      <c r="H423" s="62"/>
      <c r="I423" s="128"/>
      <c r="J423" s="140">
        <v>11705.290000000019</v>
      </c>
      <c r="L423" s="61" t="s">
        <v>96</v>
      </c>
      <c r="M423" s="62"/>
      <c r="N423" s="128"/>
      <c r="O423" s="140">
        <v>12091.290000000015</v>
      </c>
    </row>
    <row r="424" spans="2:15" ht="15" thickTop="1" x14ac:dyDescent="0.3"/>
    <row r="426" spans="2:15" x14ac:dyDescent="0.3">
      <c r="J426" s="12"/>
    </row>
  </sheetData>
  <mergeCells count="46">
    <mergeCell ref="L341:M343"/>
    <mergeCell ref="G369:H371"/>
    <mergeCell ref="L369:M371"/>
    <mergeCell ref="B88:C90"/>
    <mergeCell ref="G88:H90"/>
    <mergeCell ref="L88:M90"/>
    <mergeCell ref="B229:C231"/>
    <mergeCell ref="G229:H231"/>
    <mergeCell ref="B173:C175"/>
    <mergeCell ref="G173:H175"/>
    <mergeCell ref="L173:M175"/>
    <mergeCell ref="B201:C203"/>
    <mergeCell ref="G201:H203"/>
    <mergeCell ref="L201:M203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  <mergeCell ref="G60:H62"/>
    <mergeCell ref="L60:M62"/>
    <mergeCell ref="L397:M399"/>
    <mergeCell ref="G397:H399"/>
    <mergeCell ref="B397:C399"/>
    <mergeCell ref="L229:M231"/>
    <mergeCell ref="L257:M259"/>
    <mergeCell ref="B257:C259"/>
    <mergeCell ref="G257:H259"/>
    <mergeCell ref="B285:C287"/>
    <mergeCell ref="G285:H287"/>
    <mergeCell ref="B369:C371"/>
    <mergeCell ref="B341:C343"/>
    <mergeCell ref="L285:M287"/>
    <mergeCell ref="B313:C315"/>
    <mergeCell ref="G313:H315"/>
    <mergeCell ref="L313:M315"/>
    <mergeCell ref="G341:H343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workbookViewId="0"/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397" t="s">
        <v>261</v>
      </c>
      <c r="C2" s="397"/>
      <c r="D2" s="397"/>
      <c r="E2" s="397"/>
      <c r="F2" s="397"/>
      <c r="G2" s="397"/>
      <c r="H2" s="397"/>
      <c r="I2" s="397"/>
      <c r="J2" s="397"/>
      <c r="K2" s="397"/>
      <c r="L2" s="397"/>
      <c r="M2" s="397"/>
      <c r="N2" s="397"/>
      <c r="O2" s="397"/>
    </row>
    <row r="3" spans="2:17" x14ac:dyDescent="0.3">
      <c r="B3" s="397"/>
      <c r="C3" s="397"/>
      <c r="D3" s="397"/>
      <c r="E3" s="397"/>
      <c r="F3" s="397"/>
      <c r="G3" s="397"/>
      <c r="H3" s="397"/>
      <c r="I3" s="397"/>
      <c r="J3" s="397"/>
      <c r="K3" s="397"/>
      <c r="L3" s="397"/>
      <c r="M3" s="397"/>
      <c r="N3" s="397"/>
      <c r="O3" s="397"/>
      <c r="Q3" s="24"/>
    </row>
    <row r="4" spans="2:17" x14ac:dyDescent="0.3">
      <c r="B4" s="397"/>
      <c r="C4" s="397"/>
      <c r="D4" s="397"/>
      <c r="E4" s="397"/>
      <c r="F4" s="397"/>
      <c r="G4" s="397"/>
      <c r="H4" s="397"/>
      <c r="I4" s="397"/>
      <c r="J4" s="397"/>
      <c r="K4" s="397"/>
      <c r="L4" s="397"/>
      <c r="M4" s="397"/>
      <c r="N4" s="397"/>
      <c r="O4" s="397"/>
      <c r="Q4" s="24"/>
    </row>
    <row r="5" spans="2:17" ht="15" thickBot="1" x14ac:dyDescent="0.35">
      <c r="Q5" s="24"/>
    </row>
    <row r="6" spans="2:17" ht="15.6" thickTop="1" thickBot="1" x14ac:dyDescent="0.35">
      <c r="B6" s="371" t="s">
        <v>90</v>
      </c>
      <c r="C6" s="398"/>
      <c r="D6" s="372"/>
      <c r="E6" s="72">
        <v>44788</v>
      </c>
      <c r="G6" s="371" t="s">
        <v>90</v>
      </c>
      <c r="H6" s="398"/>
      <c r="I6" s="372"/>
      <c r="J6" s="72">
        <v>44788</v>
      </c>
      <c r="L6" s="371" t="s">
        <v>90</v>
      </c>
      <c r="M6" s="398"/>
      <c r="N6" s="372"/>
      <c r="O6" s="72">
        <v>44788</v>
      </c>
      <c r="Q6" s="24"/>
    </row>
    <row r="7" spans="2:17" ht="15.6" thickTop="1" thickBot="1" x14ac:dyDescent="0.35">
      <c r="B7" s="375"/>
      <c r="C7" s="399"/>
      <c r="D7" s="376"/>
      <c r="E7" s="72">
        <v>44788</v>
      </c>
      <c r="G7" s="375"/>
      <c r="H7" s="399"/>
      <c r="I7" s="376"/>
      <c r="J7" s="72">
        <v>44819</v>
      </c>
      <c r="L7" s="375"/>
      <c r="M7" s="399"/>
      <c r="N7" s="376"/>
      <c r="O7" s="72">
        <v>44849</v>
      </c>
      <c r="Q7" s="24"/>
    </row>
    <row r="8" spans="2:17" ht="15.6" thickTop="1" thickBot="1" x14ac:dyDescent="0.35">
      <c r="B8" s="57" t="s">
        <v>89</v>
      </c>
      <c r="C8" s="2"/>
      <c r="D8" s="2"/>
      <c r="E8" s="114">
        <v>130</v>
      </c>
      <c r="G8" s="57" t="s">
        <v>89</v>
      </c>
      <c r="H8" s="2"/>
      <c r="I8" s="2"/>
      <c r="J8" s="114">
        <v>260</v>
      </c>
      <c r="L8" s="57" t="s">
        <v>89</v>
      </c>
      <c r="M8" s="2"/>
      <c r="N8" s="2"/>
      <c r="O8" s="114">
        <v>390</v>
      </c>
      <c r="Q8" s="24"/>
    </row>
    <row r="9" spans="2:17" ht="15.6" thickTop="1" thickBot="1" x14ac:dyDescent="0.35">
      <c r="B9" s="58" t="s">
        <v>162</v>
      </c>
      <c r="C9" s="59"/>
      <c r="D9" s="59"/>
      <c r="E9" s="120"/>
      <c r="G9" s="58" t="s">
        <v>162</v>
      </c>
      <c r="H9" s="59"/>
      <c r="I9" s="59"/>
      <c r="J9" s="120"/>
      <c r="L9" s="58" t="s">
        <v>162</v>
      </c>
      <c r="M9" s="59"/>
      <c r="N9" s="59"/>
      <c r="O9" s="120"/>
      <c r="Q9" s="24"/>
    </row>
    <row r="10" spans="2:17" ht="15" thickTop="1" x14ac:dyDescent="0.3">
      <c r="B10" s="118" t="s">
        <v>207</v>
      </c>
      <c r="C10" s="2"/>
      <c r="D10" s="2"/>
      <c r="E10" s="113">
        <v>0</v>
      </c>
      <c r="G10" s="118" t="s">
        <v>207</v>
      </c>
      <c r="H10" s="2"/>
      <c r="I10" s="2"/>
      <c r="J10" s="113">
        <v>160</v>
      </c>
      <c r="L10" s="118" t="s">
        <v>207</v>
      </c>
      <c r="M10" s="2"/>
      <c r="N10" s="2"/>
      <c r="O10" s="113">
        <v>360</v>
      </c>
      <c r="Q10" s="24"/>
    </row>
    <row r="11" spans="2:17" x14ac:dyDescent="0.3">
      <c r="B11" s="119" t="s">
        <v>208</v>
      </c>
      <c r="C11" s="2"/>
      <c r="D11" s="2"/>
      <c r="E11" s="65">
        <v>0</v>
      </c>
      <c r="G11" s="119" t="s">
        <v>208</v>
      </c>
      <c r="H11" s="2"/>
      <c r="I11" s="2"/>
      <c r="J11" s="65">
        <v>100</v>
      </c>
      <c r="L11" s="119" t="s">
        <v>208</v>
      </c>
      <c r="M11" s="2"/>
      <c r="N11" s="2"/>
      <c r="O11" s="65">
        <v>100</v>
      </c>
    </row>
    <row r="12" spans="2:17" x14ac:dyDescent="0.3">
      <c r="B12" s="57" t="s">
        <v>100</v>
      </c>
      <c r="C12" s="2"/>
      <c r="D12" s="2"/>
      <c r="E12" s="66">
        <v>0</v>
      </c>
      <c r="G12" s="57" t="s">
        <v>100</v>
      </c>
      <c r="H12" s="2"/>
      <c r="I12" s="2"/>
      <c r="J12" s="66">
        <v>160</v>
      </c>
      <c r="L12" s="57" t="s">
        <v>100</v>
      </c>
      <c r="M12" s="2"/>
      <c r="N12" s="2"/>
      <c r="O12" s="66">
        <v>200</v>
      </c>
    </row>
    <row r="13" spans="2:17" x14ac:dyDescent="0.3">
      <c r="B13" s="119" t="s">
        <v>209</v>
      </c>
      <c r="C13" s="2"/>
      <c r="D13" s="2"/>
      <c r="E13" s="121">
        <v>0</v>
      </c>
      <c r="G13" s="119" t="s">
        <v>209</v>
      </c>
      <c r="H13" s="2"/>
      <c r="I13" s="2"/>
      <c r="J13" s="121">
        <v>6.4</v>
      </c>
      <c r="L13" s="119" t="s">
        <v>209</v>
      </c>
      <c r="M13" s="2"/>
      <c r="N13" s="2"/>
      <c r="O13" s="121">
        <v>10.4</v>
      </c>
    </row>
    <row r="14" spans="2:17" ht="15" thickBot="1" x14ac:dyDescent="0.35">
      <c r="B14" s="57" t="s">
        <v>102</v>
      </c>
      <c r="C14" s="2"/>
      <c r="D14" s="2"/>
      <c r="E14" s="66">
        <v>0</v>
      </c>
      <c r="G14" s="57" t="s">
        <v>102</v>
      </c>
      <c r="H14" s="2"/>
      <c r="I14" s="2"/>
      <c r="J14" s="66">
        <v>6.4</v>
      </c>
      <c r="L14" s="57" t="s">
        <v>102</v>
      </c>
      <c r="M14" s="2"/>
      <c r="N14" s="2"/>
      <c r="O14" s="66">
        <v>4</v>
      </c>
    </row>
    <row r="15" spans="2:17" ht="15.6" thickTop="1" thickBot="1" x14ac:dyDescent="0.35">
      <c r="B15" s="122" t="s">
        <v>39</v>
      </c>
      <c r="C15" s="59"/>
      <c r="D15" s="59"/>
      <c r="E15" s="120"/>
      <c r="G15" s="122" t="s">
        <v>39</v>
      </c>
      <c r="H15" s="59"/>
      <c r="I15" s="59"/>
      <c r="J15" s="120"/>
      <c r="L15" s="122" t="s">
        <v>39</v>
      </c>
      <c r="M15" s="59"/>
      <c r="N15" s="59"/>
      <c r="O15" s="120"/>
    </row>
    <row r="16" spans="2:17" ht="15" thickTop="1" x14ac:dyDescent="0.3">
      <c r="B16" s="57" t="s">
        <v>98</v>
      </c>
      <c r="C16" s="2"/>
      <c r="D16" s="2"/>
      <c r="E16" s="65">
        <v>0</v>
      </c>
      <c r="G16" s="57" t="s">
        <v>98</v>
      </c>
      <c r="H16" s="2"/>
      <c r="I16" s="2"/>
      <c r="J16" s="65">
        <v>0</v>
      </c>
      <c r="L16" s="57" t="s">
        <v>98</v>
      </c>
      <c r="M16" s="2"/>
      <c r="N16" s="2"/>
      <c r="O16" s="65">
        <v>160</v>
      </c>
    </row>
    <row r="17" spans="2:15" x14ac:dyDescent="0.3">
      <c r="B17" s="57" t="s">
        <v>101</v>
      </c>
      <c r="C17" s="2"/>
      <c r="D17" s="2"/>
      <c r="E17" s="66">
        <v>0</v>
      </c>
      <c r="G17" s="57" t="s">
        <v>101</v>
      </c>
      <c r="H17" s="2"/>
      <c r="I17" s="2"/>
      <c r="J17" s="66">
        <v>0</v>
      </c>
      <c r="L17" s="57" t="s">
        <v>101</v>
      </c>
      <c r="M17" s="2"/>
      <c r="N17" s="2"/>
      <c r="O17" s="66">
        <v>160</v>
      </c>
    </row>
    <row r="18" spans="2:15" ht="15" thickBot="1" x14ac:dyDescent="0.35">
      <c r="B18" s="70" t="s">
        <v>93</v>
      </c>
      <c r="C18" s="69"/>
      <c r="D18" s="60"/>
      <c r="E18" s="68">
        <v>0</v>
      </c>
      <c r="G18" s="70" t="s">
        <v>93</v>
      </c>
      <c r="H18" s="69"/>
      <c r="I18" s="60"/>
      <c r="J18" s="68">
        <v>160</v>
      </c>
      <c r="L18" s="70" t="s">
        <v>93</v>
      </c>
      <c r="M18" s="69"/>
      <c r="N18" s="60"/>
      <c r="O18" s="68">
        <v>200</v>
      </c>
    </row>
    <row r="19" spans="2:15" ht="15" thickTop="1" x14ac:dyDescent="0.3">
      <c r="B19" s="57" t="s">
        <v>99</v>
      </c>
      <c r="C19" s="2"/>
      <c r="D19" s="2"/>
      <c r="E19" s="65">
        <v>0</v>
      </c>
      <c r="G19" s="57" t="s">
        <v>99</v>
      </c>
      <c r="H19" s="2"/>
      <c r="I19" s="2"/>
      <c r="J19" s="65">
        <v>0</v>
      </c>
      <c r="L19" s="57" t="s">
        <v>99</v>
      </c>
      <c r="M19" s="2"/>
      <c r="N19" s="2"/>
      <c r="O19" s="65">
        <v>6.4</v>
      </c>
    </row>
    <row r="20" spans="2:15" x14ac:dyDescent="0.3">
      <c r="B20" s="57" t="s">
        <v>103</v>
      </c>
      <c r="C20" s="2"/>
      <c r="D20" s="2"/>
      <c r="E20" s="66">
        <v>0</v>
      </c>
      <c r="G20" s="57" t="s">
        <v>103</v>
      </c>
      <c r="H20" s="2"/>
      <c r="I20" s="2"/>
      <c r="J20" s="66">
        <v>0</v>
      </c>
      <c r="L20" s="57" t="s">
        <v>103</v>
      </c>
      <c r="M20" s="2"/>
      <c r="N20" s="2"/>
      <c r="O20" s="66">
        <v>6.4</v>
      </c>
    </row>
    <row r="21" spans="2:15" ht="15" thickBot="1" x14ac:dyDescent="0.35">
      <c r="B21" s="70" t="s">
        <v>95</v>
      </c>
      <c r="C21" s="60"/>
      <c r="D21" s="60"/>
      <c r="E21" s="68">
        <v>0</v>
      </c>
      <c r="G21" s="70" t="s">
        <v>95</v>
      </c>
      <c r="H21" s="60"/>
      <c r="I21" s="60"/>
      <c r="J21" s="68">
        <v>6.4</v>
      </c>
      <c r="L21" s="70" t="s">
        <v>95</v>
      </c>
      <c r="M21" s="60"/>
      <c r="N21" s="60"/>
      <c r="O21" s="68">
        <v>4</v>
      </c>
    </row>
    <row r="22" spans="2:15" ht="15.6" thickTop="1" thickBot="1" x14ac:dyDescent="0.35">
      <c r="B22" s="58" t="s">
        <v>210</v>
      </c>
      <c r="C22" s="123"/>
      <c r="D22" s="59"/>
      <c r="E22" s="127"/>
      <c r="G22" s="58" t="s">
        <v>210</v>
      </c>
      <c r="H22" s="123"/>
      <c r="I22" s="59"/>
      <c r="J22" s="127"/>
      <c r="L22" s="58" t="s">
        <v>210</v>
      </c>
      <c r="M22" s="123"/>
      <c r="N22" s="59"/>
      <c r="O22" s="127"/>
    </row>
    <row r="23" spans="2:15" ht="15" thickTop="1" x14ac:dyDescent="0.3">
      <c r="B23" s="57" t="s">
        <v>211</v>
      </c>
      <c r="C23" s="115"/>
      <c r="D23" s="2"/>
      <c r="E23" s="67">
        <v>0</v>
      </c>
      <c r="G23" s="57" t="s">
        <v>211</v>
      </c>
      <c r="H23" s="115"/>
      <c r="I23" s="2"/>
      <c r="J23" s="67">
        <v>0</v>
      </c>
      <c r="L23" s="57" t="s">
        <v>211</v>
      </c>
      <c r="M23" s="115"/>
      <c r="N23" s="2"/>
      <c r="O23" s="67">
        <v>0</v>
      </c>
    </row>
    <row r="24" spans="2:15" x14ac:dyDescent="0.3">
      <c r="B24" s="57" t="s">
        <v>228</v>
      </c>
      <c r="C24" s="124"/>
      <c r="D24" s="125"/>
      <c r="E24" s="65">
        <v>0</v>
      </c>
      <c r="G24" s="57" t="s">
        <v>228</v>
      </c>
      <c r="H24" s="124"/>
      <c r="I24" s="125"/>
      <c r="J24" s="65">
        <v>0</v>
      </c>
      <c r="L24" s="57" t="s">
        <v>228</v>
      </c>
      <c r="M24" s="124"/>
      <c r="N24" s="125"/>
      <c r="O24" s="65">
        <v>0</v>
      </c>
    </row>
    <row r="25" spans="2:15" x14ac:dyDescent="0.3">
      <c r="B25" s="57" t="s">
        <v>227</v>
      </c>
      <c r="C25" s="124"/>
      <c r="D25" s="125"/>
      <c r="E25" s="65">
        <v>0</v>
      </c>
      <c r="G25" s="57" t="s">
        <v>227</v>
      </c>
      <c r="H25" s="124"/>
      <c r="I25" s="125"/>
      <c r="J25" s="65">
        <v>0</v>
      </c>
      <c r="L25" s="57" t="s">
        <v>227</v>
      </c>
      <c r="M25" s="124"/>
      <c r="N25" s="125"/>
      <c r="O25" s="65">
        <v>0</v>
      </c>
    </row>
    <row r="26" spans="2:15" x14ac:dyDescent="0.3">
      <c r="B26" s="57" t="s">
        <v>91</v>
      </c>
      <c r="C26" s="2"/>
      <c r="D26" s="2"/>
      <c r="E26" s="64">
        <v>130</v>
      </c>
      <c r="G26" s="57" t="s">
        <v>91</v>
      </c>
      <c r="H26" s="2"/>
      <c r="I26" s="2"/>
      <c r="J26" s="64">
        <v>160</v>
      </c>
      <c r="L26" s="57" t="s">
        <v>91</v>
      </c>
      <c r="M26" s="2"/>
      <c r="N26" s="2"/>
      <c r="O26" s="64">
        <v>290</v>
      </c>
    </row>
    <row r="27" spans="2:15" x14ac:dyDescent="0.3">
      <c r="B27" s="57" t="s">
        <v>97</v>
      </c>
      <c r="C27" s="2"/>
      <c r="D27" s="2"/>
      <c r="E27" s="63">
        <v>10</v>
      </c>
      <c r="G27" s="57" t="s">
        <v>97</v>
      </c>
      <c r="H27" s="2"/>
      <c r="I27" s="2"/>
      <c r="J27" s="63">
        <v>12.307692307692308</v>
      </c>
      <c r="L27" s="57" t="s">
        <v>97</v>
      </c>
      <c r="M27" s="2"/>
      <c r="N27" s="2"/>
      <c r="O27" s="63">
        <v>22.307692307692307</v>
      </c>
    </row>
    <row r="28" spans="2:15" x14ac:dyDescent="0.3">
      <c r="B28" s="57" t="s">
        <v>218</v>
      </c>
      <c r="C28" s="2"/>
      <c r="D28" s="2"/>
      <c r="E28" s="64">
        <v>0</v>
      </c>
      <c r="G28" s="57" t="s">
        <v>218</v>
      </c>
      <c r="H28" s="2"/>
      <c r="I28" s="2"/>
      <c r="J28" s="64">
        <v>6.4</v>
      </c>
      <c r="L28" s="57" t="s">
        <v>218</v>
      </c>
      <c r="M28" s="2"/>
      <c r="N28" s="2"/>
      <c r="O28" s="64">
        <v>10.4</v>
      </c>
    </row>
    <row r="29" spans="2:15" ht="15" thickBot="1" x14ac:dyDescent="0.35">
      <c r="B29" s="57" t="s">
        <v>94</v>
      </c>
      <c r="C29" s="2"/>
      <c r="D29" s="126"/>
      <c r="E29" s="131">
        <v>0</v>
      </c>
      <c r="G29" s="57" t="s">
        <v>94</v>
      </c>
      <c r="H29" s="2"/>
      <c r="I29" s="126"/>
      <c r="J29" s="131">
        <v>0</v>
      </c>
      <c r="L29" s="57" t="s">
        <v>94</v>
      </c>
      <c r="M29" s="2"/>
      <c r="N29" s="126"/>
      <c r="O29" s="131">
        <v>0</v>
      </c>
    </row>
    <row r="30" spans="2:15" ht="15.6" thickTop="1" thickBot="1" x14ac:dyDescent="0.35">
      <c r="B30" s="61" t="s">
        <v>92</v>
      </c>
      <c r="C30" s="62"/>
      <c r="D30" s="128"/>
      <c r="E30" s="129">
        <v>130</v>
      </c>
      <c r="G30" s="61" t="s">
        <v>92</v>
      </c>
      <c r="H30" s="62"/>
      <c r="I30" s="128"/>
      <c r="J30" s="129">
        <v>166.4</v>
      </c>
      <c r="L30" s="61" t="s">
        <v>92</v>
      </c>
      <c r="M30" s="62"/>
      <c r="N30" s="128"/>
      <c r="O30" s="129">
        <v>300.39999999999998</v>
      </c>
    </row>
    <row r="31" spans="2:15" ht="15.6" thickTop="1" thickBot="1" x14ac:dyDescent="0.35">
      <c r="B31" s="61" t="s">
        <v>96</v>
      </c>
      <c r="C31" s="62"/>
      <c r="D31" s="128"/>
      <c r="E31" s="140">
        <v>0</v>
      </c>
      <c r="G31" s="61" t="s">
        <v>96</v>
      </c>
      <c r="H31" s="62"/>
      <c r="I31" s="128"/>
      <c r="J31" s="140">
        <v>166.4</v>
      </c>
      <c r="L31" s="61" t="s">
        <v>96</v>
      </c>
      <c r="M31" s="62"/>
      <c r="N31" s="128"/>
      <c r="O31" s="140">
        <v>204</v>
      </c>
    </row>
    <row r="32" spans="2:15" ht="15.6" thickTop="1" thickBot="1" x14ac:dyDescent="0.35"/>
    <row r="33" spans="2:15" ht="15.6" thickTop="1" thickBot="1" x14ac:dyDescent="0.35">
      <c r="B33" s="371" t="s">
        <v>90</v>
      </c>
      <c r="C33" s="398"/>
      <c r="D33" s="372"/>
      <c r="E33" s="72">
        <v>44788</v>
      </c>
      <c r="G33" s="371" t="s">
        <v>90</v>
      </c>
      <c r="H33" s="398"/>
      <c r="I33" s="372"/>
      <c r="J33" s="72">
        <v>44788</v>
      </c>
      <c r="L33" s="371" t="s">
        <v>90</v>
      </c>
      <c r="M33" s="398"/>
      <c r="N33" s="372"/>
      <c r="O33" s="72">
        <v>44788</v>
      </c>
    </row>
    <row r="34" spans="2:15" ht="15.6" thickTop="1" thickBot="1" x14ac:dyDescent="0.35">
      <c r="B34" s="375"/>
      <c r="C34" s="399"/>
      <c r="D34" s="376"/>
      <c r="E34" s="72">
        <v>44880</v>
      </c>
      <c r="G34" s="375"/>
      <c r="H34" s="399"/>
      <c r="I34" s="376"/>
      <c r="J34" s="72">
        <v>44910</v>
      </c>
      <c r="L34" s="375"/>
      <c r="M34" s="399"/>
      <c r="N34" s="376"/>
      <c r="O34" s="72">
        <v>44941</v>
      </c>
    </row>
    <row r="35" spans="2:15" ht="15.6" thickTop="1" thickBot="1" x14ac:dyDescent="0.35">
      <c r="B35" s="57" t="s">
        <v>89</v>
      </c>
      <c r="C35" s="2"/>
      <c r="D35" s="2"/>
      <c r="E35" s="114">
        <v>520</v>
      </c>
      <c r="G35" s="57" t="s">
        <v>89</v>
      </c>
      <c r="H35" s="2"/>
      <c r="I35" s="2"/>
      <c r="J35" s="114">
        <v>650</v>
      </c>
      <c r="L35" s="57" t="s">
        <v>89</v>
      </c>
      <c r="M35" s="2"/>
      <c r="N35" s="2"/>
      <c r="O35" s="114">
        <v>780</v>
      </c>
    </row>
    <row r="36" spans="2:15" ht="15.6" thickTop="1" thickBot="1" x14ac:dyDescent="0.35">
      <c r="B36" s="58" t="s">
        <v>162</v>
      </c>
      <c r="C36" s="59"/>
      <c r="D36" s="59"/>
      <c r="E36" s="120"/>
      <c r="G36" s="58" t="s">
        <v>162</v>
      </c>
      <c r="H36" s="59"/>
      <c r="I36" s="59"/>
      <c r="J36" s="120"/>
      <c r="L36" s="58" t="s">
        <v>162</v>
      </c>
      <c r="M36" s="59"/>
      <c r="N36" s="59"/>
      <c r="O36" s="120"/>
    </row>
    <row r="37" spans="2:15" ht="15" thickTop="1" x14ac:dyDescent="0.3">
      <c r="B37" s="118" t="s">
        <v>207</v>
      </c>
      <c r="C37" s="2"/>
      <c r="D37" s="2"/>
      <c r="E37" s="113">
        <v>760</v>
      </c>
      <c r="G37" s="118" t="s">
        <v>207</v>
      </c>
      <c r="H37" s="2"/>
      <c r="I37" s="2"/>
      <c r="J37" s="113">
        <v>1130</v>
      </c>
      <c r="L37" s="118" t="s">
        <v>207</v>
      </c>
      <c r="M37" s="2"/>
      <c r="N37" s="2"/>
      <c r="O37" s="113">
        <v>1480</v>
      </c>
    </row>
    <row r="38" spans="2:15" x14ac:dyDescent="0.3">
      <c r="B38" s="119" t="s">
        <v>208</v>
      </c>
      <c r="C38" s="2"/>
      <c r="D38" s="2"/>
      <c r="E38" s="65">
        <v>100</v>
      </c>
      <c r="G38" s="119" t="s">
        <v>208</v>
      </c>
      <c r="H38" s="2"/>
      <c r="I38" s="2"/>
      <c r="J38" s="65">
        <v>100</v>
      </c>
      <c r="L38" s="119" t="s">
        <v>208</v>
      </c>
      <c r="M38" s="2"/>
      <c r="N38" s="2"/>
      <c r="O38" s="65">
        <v>100</v>
      </c>
    </row>
    <row r="39" spans="2:15" x14ac:dyDescent="0.3">
      <c r="B39" s="57" t="s">
        <v>100</v>
      </c>
      <c r="C39" s="2"/>
      <c r="D39" s="2"/>
      <c r="E39" s="66">
        <v>400</v>
      </c>
      <c r="G39" s="57" t="s">
        <v>100</v>
      </c>
      <c r="H39" s="2"/>
      <c r="I39" s="2"/>
      <c r="J39" s="66">
        <v>370</v>
      </c>
      <c r="L39" s="57" t="s">
        <v>100</v>
      </c>
      <c r="M39" s="2"/>
      <c r="N39" s="2"/>
      <c r="O39" s="66">
        <v>720</v>
      </c>
    </row>
    <row r="40" spans="2:15" x14ac:dyDescent="0.3">
      <c r="B40" s="119" t="s">
        <v>209</v>
      </c>
      <c r="C40" s="2"/>
      <c r="D40" s="2"/>
      <c r="E40" s="121">
        <v>22.4</v>
      </c>
      <c r="G40" s="119" t="s">
        <v>209</v>
      </c>
      <c r="H40" s="2"/>
      <c r="I40" s="2"/>
      <c r="J40" s="121">
        <v>55.4</v>
      </c>
      <c r="L40" s="119" t="s">
        <v>209</v>
      </c>
      <c r="M40" s="2"/>
      <c r="N40" s="2"/>
      <c r="O40" s="121">
        <v>78.400000000000006</v>
      </c>
    </row>
    <row r="41" spans="2:15" ht="15" thickBot="1" x14ac:dyDescent="0.35">
      <c r="B41" s="57" t="s">
        <v>102</v>
      </c>
      <c r="C41" s="2"/>
      <c r="D41" s="2"/>
      <c r="E41" s="66">
        <v>12</v>
      </c>
      <c r="G41" s="57" t="s">
        <v>102</v>
      </c>
      <c r="H41" s="2"/>
      <c r="I41" s="2"/>
      <c r="J41" s="66">
        <v>33</v>
      </c>
      <c r="L41" s="57" t="s">
        <v>102</v>
      </c>
      <c r="M41" s="2"/>
      <c r="N41" s="2"/>
      <c r="O41" s="66">
        <v>56</v>
      </c>
    </row>
    <row r="42" spans="2:15" ht="15.6" thickTop="1" thickBot="1" x14ac:dyDescent="0.35">
      <c r="B42" s="122" t="s">
        <v>39</v>
      </c>
      <c r="C42" s="59"/>
      <c r="D42" s="59"/>
      <c r="E42" s="120"/>
      <c r="G42" s="122" t="s">
        <v>39</v>
      </c>
      <c r="H42" s="59"/>
      <c r="I42" s="59"/>
      <c r="J42" s="120"/>
      <c r="L42" s="122" t="s">
        <v>39</v>
      </c>
      <c r="M42" s="59"/>
      <c r="N42" s="59"/>
      <c r="O42" s="120"/>
    </row>
    <row r="43" spans="2:15" ht="15" thickTop="1" x14ac:dyDescent="0.3">
      <c r="B43" s="57" t="s">
        <v>98</v>
      </c>
      <c r="C43" s="2"/>
      <c r="D43" s="2"/>
      <c r="E43" s="65">
        <v>360</v>
      </c>
      <c r="G43" s="57" t="s">
        <v>98</v>
      </c>
      <c r="H43" s="2"/>
      <c r="I43" s="2"/>
      <c r="J43" s="65">
        <v>360</v>
      </c>
      <c r="L43" s="57" t="s">
        <v>98</v>
      </c>
      <c r="M43" s="2"/>
      <c r="N43" s="2"/>
      <c r="O43" s="65">
        <v>594</v>
      </c>
    </row>
    <row r="44" spans="2:15" x14ac:dyDescent="0.3">
      <c r="B44" s="57" t="s">
        <v>101</v>
      </c>
      <c r="C44" s="2"/>
      <c r="D44" s="2"/>
      <c r="E44" s="66">
        <v>200</v>
      </c>
      <c r="G44" s="57" t="s">
        <v>101</v>
      </c>
      <c r="H44" s="2"/>
      <c r="I44" s="2"/>
      <c r="J44" s="66">
        <v>0</v>
      </c>
      <c r="L44" s="57" t="s">
        <v>101</v>
      </c>
      <c r="M44" s="2"/>
      <c r="N44" s="2"/>
      <c r="O44" s="66">
        <v>234</v>
      </c>
    </row>
    <row r="45" spans="2:15" ht="15" thickBot="1" x14ac:dyDescent="0.35">
      <c r="B45" s="70" t="s">
        <v>93</v>
      </c>
      <c r="C45" s="69"/>
      <c r="D45" s="60"/>
      <c r="E45" s="68">
        <v>400</v>
      </c>
      <c r="G45" s="70" t="s">
        <v>93</v>
      </c>
      <c r="H45" s="69"/>
      <c r="I45" s="60"/>
      <c r="J45" s="68">
        <v>770</v>
      </c>
      <c r="L45" s="70" t="s">
        <v>93</v>
      </c>
      <c r="M45" s="69"/>
      <c r="N45" s="60"/>
      <c r="O45" s="68">
        <v>886</v>
      </c>
    </row>
    <row r="46" spans="2:15" ht="15" thickTop="1" x14ac:dyDescent="0.3">
      <c r="B46" s="57" t="s">
        <v>99</v>
      </c>
      <c r="C46" s="2"/>
      <c r="D46" s="2"/>
      <c r="E46" s="65">
        <v>10.4</v>
      </c>
      <c r="G46" s="57" t="s">
        <v>99</v>
      </c>
      <c r="H46" s="2"/>
      <c r="I46" s="2"/>
      <c r="J46" s="65">
        <v>10.4</v>
      </c>
      <c r="L46" s="57" t="s">
        <v>99</v>
      </c>
      <c r="M46" s="2"/>
      <c r="N46" s="2"/>
      <c r="O46" s="65">
        <v>13.8</v>
      </c>
    </row>
    <row r="47" spans="2:15" x14ac:dyDescent="0.3">
      <c r="B47" s="57" t="s">
        <v>103</v>
      </c>
      <c r="C47" s="2"/>
      <c r="D47" s="2"/>
      <c r="E47" s="66">
        <v>4</v>
      </c>
      <c r="G47" s="57" t="s">
        <v>103</v>
      </c>
      <c r="H47" s="2"/>
      <c r="I47" s="2"/>
      <c r="J47" s="66">
        <v>0</v>
      </c>
      <c r="L47" s="57" t="s">
        <v>103</v>
      </c>
      <c r="M47" s="2"/>
      <c r="N47" s="2"/>
      <c r="O47" s="66">
        <v>3.4</v>
      </c>
    </row>
    <row r="48" spans="2:15" ht="15" thickBot="1" x14ac:dyDescent="0.35">
      <c r="B48" s="70" t="s">
        <v>95</v>
      </c>
      <c r="C48" s="60"/>
      <c r="D48" s="60"/>
      <c r="E48" s="68">
        <v>11.999999999999998</v>
      </c>
      <c r="G48" s="70" t="s">
        <v>95</v>
      </c>
      <c r="H48" s="60"/>
      <c r="I48" s="60"/>
      <c r="J48" s="68">
        <v>45</v>
      </c>
      <c r="L48" s="70" t="s">
        <v>95</v>
      </c>
      <c r="M48" s="60"/>
      <c r="N48" s="60"/>
      <c r="O48" s="68">
        <v>64.600000000000009</v>
      </c>
    </row>
    <row r="49" spans="2:15" ht="15.6" thickTop="1" thickBot="1" x14ac:dyDescent="0.35">
      <c r="B49" s="58" t="s">
        <v>210</v>
      </c>
      <c r="C49" s="123"/>
      <c r="D49" s="59"/>
      <c r="E49" s="127"/>
      <c r="G49" s="58" t="s">
        <v>210</v>
      </c>
      <c r="H49" s="123"/>
      <c r="I49" s="59"/>
      <c r="J49" s="127"/>
      <c r="L49" s="58" t="s">
        <v>210</v>
      </c>
      <c r="M49" s="123"/>
      <c r="N49" s="59"/>
      <c r="O49" s="127"/>
    </row>
    <row r="50" spans="2:15" ht="15" thickTop="1" x14ac:dyDescent="0.3">
      <c r="B50" s="57" t="s">
        <v>211</v>
      </c>
      <c r="C50" s="115"/>
      <c r="D50" s="2"/>
      <c r="E50" s="67">
        <v>0</v>
      </c>
      <c r="G50" s="57" t="s">
        <v>211</v>
      </c>
      <c r="H50" s="115"/>
      <c r="I50" s="2"/>
      <c r="J50" s="67">
        <v>0</v>
      </c>
      <c r="L50" s="57" t="s">
        <v>211</v>
      </c>
      <c r="M50" s="115"/>
      <c r="N50" s="2"/>
      <c r="O50" s="67">
        <v>10</v>
      </c>
    </row>
    <row r="51" spans="2:15" x14ac:dyDescent="0.3">
      <c r="B51" s="57" t="s">
        <v>228</v>
      </c>
      <c r="C51" s="124"/>
      <c r="D51" s="125"/>
      <c r="E51" s="65">
        <v>0</v>
      </c>
      <c r="G51" s="57" t="s">
        <v>228</v>
      </c>
      <c r="H51" s="124"/>
      <c r="I51" s="125"/>
      <c r="J51" s="65">
        <v>0</v>
      </c>
      <c r="L51" s="57" t="s">
        <v>228</v>
      </c>
      <c r="M51" s="124"/>
      <c r="N51" s="125"/>
      <c r="O51" s="65">
        <v>0</v>
      </c>
    </row>
    <row r="52" spans="2:15" x14ac:dyDescent="0.3">
      <c r="B52" s="57" t="s">
        <v>227</v>
      </c>
      <c r="C52" s="124"/>
      <c r="D52" s="125"/>
      <c r="E52" s="65">
        <v>0</v>
      </c>
      <c r="G52" s="57" t="s">
        <v>227</v>
      </c>
      <c r="H52" s="124"/>
      <c r="I52" s="125"/>
      <c r="J52" s="65">
        <v>0</v>
      </c>
      <c r="L52" s="57" t="s">
        <v>227</v>
      </c>
      <c r="M52" s="124"/>
      <c r="N52" s="125"/>
      <c r="O52" s="65">
        <v>0</v>
      </c>
    </row>
    <row r="53" spans="2:15" x14ac:dyDescent="0.3">
      <c r="B53" s="57" t="s">
        <v>91</v>
      </c>
      <c r="C53" s="2"/>
      <c r="D53" s="2"/>
      <c r="E53" s="64">
        <v>420</v>
      </c>
      <c r="G53" s="57" t="s">
        <v>91</v>
      </c>
      <c r="H53" s="2"/>
      <c r="I53" s="2"/>
      <c r="J53" s="64">
        <v>550</v>
      </c>
      <c r="L53" s="57" t="s">
        <v>91</v>
      </c>
      <c r="M53" s="2"/>
      <c r="N53" s="2"/>
      <c r="O53" s="64">
        <v>680</v>
      </c>
    </row>
    <row r="54" spans="2:15" x14ac:dyDescent="0.3">
      <c r="B54" s="57" t="s">
        <v>97</v>
      </c>
      <c r="C54" s="2"/>
      <c r="D54" s="2"/>
      <c r="E54" s="63">
        <v>32.307692307692307</v>
      </c>
      <c r="G54" s="57" t="s">
        <v>97</v>
      </c>
      <c r="H54" s="2"/>
      <c r="I54" s="2"/>
      <c r="J54" s="63">
        <v>42.307692307692307</v>
      </c>
      <c r="L54" s="57" t="s">
        <v>97</v>
      </c>
      <c r="M54" s="2"/>
      <c r="N54" s="2"/>
      <c r="O54" s="63">
        <v>52.307692307692307</v>
      </c>
    </row>
    <row r="55" spans="2:15" x14ac:dyDescent="0.3">
      <c r="B55" s="57" t="s">
        <v>218</v>
      </c>
      <c r="C55" s="2"/>
      <c r="D55" s="2"/>
      <c r="E55" s="64">
        <v>22.4</v>
      </c>
      <c r="G55" s="57" t="s">
        <v>218</v>
      </c>
      <c r="H55" s="2"/>
      <c r="I55" s="2"/>
      <c r="J55" s="64">
        <v>55.4</v>
      </c>
      <c r="L55" s="57" t="s">
        <v>218</v>
      </c>
      <c r="M55" s="2"/>
      <c r="N55" s="2"/>
      <c r="O55" s="64">
        <v>88.4</v>
      </c>
    </row>
    <row r="56" spans="2:15" ht="15" thickBot="1" x14ac:dyDescent="0.35">
      <c r="B56" s="57" t="s">
        <v>94</v>
      </c>
      <c r="C56" s="2"/>
      <c r="D56" s="126"/>
      <c r="E56" s="131">
        <v>0</v>
      </c>
      <c r="G56" s="57" t="s">
        <v>94</v>
      </c>
      <c r="H56" s="2"/>
      <c r="I56" s="126"/>
      <c r="J56" s="131">
        <v>0</v>
      </c>
      <c r="L56" s="57" t="s">
        <v>94</v>
      </c>
      <c r="M56" s="2"/>
      <c r="N56" s="126"/>
      <c r="O56" s="131">
        <v>0</v>
      </c>
    </row>
    <row r="57" spans="2:15" ht="15.6" thickTop="1" thickBot="1" x14ac:dyDescent="0.35">
      <c r="B57" s="61" t="s">
        <v>92</v>
      </c>
      <c r="C57" s="62"/>
      <c r="D57" s="128"/>
      <c r="E57" s="129">
        <v>442.4</v>
      </c>
      <c r="G57" s="61" t="s">
        <v>92</v>
      </c>
      <c r="H57" s="62"/>
      <c r="I57" s="128"/>
      <c r="J57" s="129">
        <v>605.4</v>
      </c>
      <c r="L57" s="61" t="s">
        <v>92</v>
      </c>
      <c r="M57" s="62"/>
      <c r="N57" s="128"/>
      <c r="O57" s="129">
        <v>768.4</v>
      </c>
    </row>
    <row r="58" spans="2:15" ht="15.6" thickTop="1" thickBot="1" x14ac:dyDescent="0.35">
      <c r="B58" s="61" t="s">
        <v>96</v>
      </c>
      <c r="C58" s="62"/>
      <c r="D58" s="128"/>
      <c r="E58" s="140">
        <v>412</v>
      </c>
      <c r="G58" s="61" t="s">
        <v>96</v>
      </c>
      <c r="H58" s="62"/>
      <c r="I58" s="128"/>
      <c r="J58" s="140">
        <v>815</v>
      </c>
      <c r="L58" s="61" t="s">
        <v>96</v>
      </c>
      <c r="M58" s="62"/>
      <c r="N58" s="128"/>
      <c r="O58" s="140">
        <v>950.6</v>
      </c>
    </row>
    <row r="59" spans="2:15" ht="15.6" thickTop="1" thickBot="1" x14ac:dyDescent="0.35"/>
    <row r="60" spans="2:15" ht="15.6" thickTop="1" thickBot="1" x14ac:dyDescent="0.35">
      <c r="B60" s="371" t="s">
        <v>90</v>
      </c>
      <c r="C60" s="398"/>
      <c r="D60" s="372"/>
      <c r="E60" s="72">
        <v>44788</v>
      </c>
      <c r="G60" s="371" t="s">
        <v>90</v>
      </c>
      <c r="H60" s="398"/>
      <c r="I60" s="372"/>
      <c r="J60" s="72">
        <v>44788</v>
      </c>
      <c r="L60" s="371" t="s">
        <v>90</v>
      </c>
      <c r="M60" s="398"/>
      <c r="N60" s="372"/>
      <c r="O60" s="72">
        <v>44788</v>
      </c>
    </row>
    <row r="61" spans="2:15" ht="15.6" thickTop="1" thickBot="1" x14ac:dyDescent="0.35">
      <c r="B61" s="375"/>
      <c r="C61" s="399"/>
      <c r="D61" s="376"/>
      <c r="E61" s="72">
        <v>44972</v>
      </c>
      <c r="G61" s="375"/>
      <c r="H61" s="399"/>
      <c r="I61" s="376"/>
      <c r="J61" s="72">
        <v>45000</v>
      </c>
      <c r="L61" s="375"/>
      <c r="M61" s="399"/>
      <c r="N61" s="376"/>
      <c r="O61" s="72">
        <v>45031</v>
      </c>
    </row>
    <row r="62" spans="2:15" ht="15.6" thickTop="1" thickBot="1" x14ac:dyDescent="0.35">
      <c r="B62" s="57" t="s">
        <v>89</v>
      </c>
      <c r="C62" s="2"/>
      <c r="D62" s="2"/>
      <c r="E62" s="114">
        <v>910</v>
      </c>
      <c r="G62" s="57" t="s">
        <v>89</v>
      </c>
      <c r="H62" s="2"/>
      <c r="I62" s="2"/>
      <c r="J62" s="114">
        <v>1040</v>
      </c>
      <c r="L62" s="57" t="s">
        <v>89</v>
      </c>
      <c r="M62" s="2"/>
      <c r="N62" s="2"/>
      <c r="O62" s="114">
        <v>1170</v>
      </c>
    </row>
    <row r="63" spans="2:15" ht="15.6" thickTop="1" thickBot="1" x14ac:dyDescent="0.35">
      <c r="B63" s="58" t="s">
        <v>162</v>
      </c>
      <c r="C63" s="59"/>
      <c r="D63" s="59"/>
      <c r="E63" s="120"/>
      <c r="G63" s="58" t="s">
        <v>162</v>
      </c>
      <c r="H63" s="59"/>
      <c r="I63" s="59"/>
      <c r="J63" s="120"/>
      <c r="L63" s="58" t="s">
        <v>162</v>
      </c>
      <c r="M63" s="59"/>
      <c r="N63" s="59"/>
      <c r="O63" s="120"/>
    </row>
    <row r="64" spans="2:15" ht="15" thickTop="1" x14ac:dyDescent="0.3">
      <c r="B64" s="118" t="s">
        <v>207</v>
      </c>
      <c r="C64" s="2"/>
      <c r="D64" s="2"/>
      <c r="E64" s="113">
        <v>1880</v>
      </c>
      <c r="G64" s="118" t="s">
        <v>207</v>
      </c>
      <c r="H64" s="2"/>
      <c r="I64" s="2"/>
      <c r="J64" s="113">
        <v>2360</v>
      </c>
      <c r="L64" s="118" t="s">
        <v>207</v>
      </c>
      <c r="M64" s="2"/>
      <c r="N64" s="2"/>
      <c r="O64" s="113">
        <v>2660</v>
      </c>
    </row>
    <row r="65" spans="2:15" x14ac:dyDescent="0.3">
      <c r="B65" s="119" t="s">
        <v>208</v>
      </c>
      <c r="C65" s="2"/>
      <c r="D65" s="2"/>
      <c r="E65" s="65">
        <v>100</v>
      </c>
      <c r="G65" s="119" t="s">
        <v>208</v>
      </c>
      <c r="H65" s="2"/>
      <c r="I65" s="2"/>
      <c r="J65" s="65">
        <v>100</v>
      </c>
      <c r="L65" s="119" t="s">
        <v>208</v>
      </c>
      <c r="M65" s="2"/>
      <c r="N65" s="2"/>
      <c r="O65" s="65">
        <v>100</v>
      </c>
    </row>
    <row r="66" spans="2:15" x14ac:dyDescent="0.3">
      <c r="B66" s="57" t="s">
        <v>100</v>
      </c>
      <c r="C66" s="2"/>
      <c r="D66" s="2"/>
      <c r="E66" s="66">
        <v>400</v>
      </c>
      <c r="G66" s="57" t="s">
        <v>100</v>
      </c>
      <c r="H66" s="2"/>
      <c r="I66" s="2"/>
      <c r="J66" s="66">
        <v>480</v>
      </c>
      <c r="L66" s="57" t="s">
        <v>100</v>
      </c>
      <c r="M66" s="2"/>
      <c r="N66" s="2"/>
      <c r="O66" s="66">
        <v>300</v>
      </c>
    </row>
    <row r="67" spans="2:15" x14ac:dyDescent="0.3">
      <c r="B67" s="119" t="s">
        <v>209</v>
      </c>
      <c r="C67" s="2"/>
      <c r="D67" s="2"/>
      <c r="E67" s="121">
        <v>104.4</v>
      </c>
      <c r="G67" s="119" t="s">
        <v>209</v>
      </c>
      <c r="H67" s="2"/>
      <c r="I67" s="2"/>
      <c r="J67" s="121">
        <v>138</v>
      </c>
      <c r="L67" s="119" t="s">
        <v>209</v>
      </c>
      <c r="M67" s="2"/>
      <c r="N67" s="2"/>
      <c r="O67" s="121">
        <v>162</v>
      </c>
    </row>
    <row r="68" spans="2:15" ht="15" thickBot="1" x14ac:dyDescent="0.35">
      <c r="B68" s="57" t="s">
        <v>102</v>
      </c>
      <c r="C68" s="2"/>
      <c r="D68" s="2"/>
      <c r="E68" s="66">
        <v>26</v>
      </c>
      <c r="G68" s="57" t="s">
        <v>102</v>
      </c>
      <c r="H68" s="2"/>
      <c r="I68" s="2"/>
      <c r="J68" s="66">
        <v>33.6</v>
      </c>
      <c r="L68" s="57" t="s">
        <v>102</v>
      </c>
      <c r="M68" s="2"/>
      <c r="N68" s="2"/>
      <c r="O68" s="66">
        <v>24</v>
      </c>
    </row>
    <row r="69" spans="2:15" ht="15.6" thickTop="1" thickBot="1" x14ac:dyDescent="0.35">
      <c r="B69" s="122" t="s">
        <v>39</v>
      </c>
      <c r="C69" s="59"/>
      <c r="D69" s="59"/>
      <c r="E69" s="120"/>
      <c r="G69" s="122" t="s">
        <v>39</v>
      </c>
      <c r="H69" s="59"/>
      <c r="I69" s="59"/>
      <c r="J69" s="120"/>
      <c r="L69" s="122" t="s">
        <v>39</v>
      </c>
      <c r="M69" s="59"/>
      <c r="N69" s="59"/>
      <c r="O69" s="120"/>
    </row>
    <row r="70" spans="2:15" ht="15" thickTop="1" x14ac:dyDescent="0.3">
      <c r="B70" s="57" t="s">
        <v>98</v>
      </c>
      <c r="C70" s="2"/>
      <c r="D70" s="2"/>
      <c r="E70" s="65">
        <v>936.33</v>
      </c>
      <c r="G70" s="57" t="s">
        <v>98</v>
      </c>
      <c r="H70" s="2"/>
      <c r="I70" s="2"/>
      <c r="J70" s="65">
        <v>1203.6599999999999</v>
      </c>
      <c r="L70" s="57" t="s">
        <v>98</v>
      </c>
      <c r="M70" s="2"/>
      <c r="N70" s="2"/>
      <c r="O70" s="65">
        <v>1850.9899999999998</v>
      </c>
    </row>
    <row r="71" spans="2:15" x14ac:dyDescent="0.3">
      <c r="B71" s="57" t="s">
        <v>101</v>
      </c>
      <c r="C71" s="2"/>
      <c r="D71" s="2"/>
      <c r="E71" s="66">
        <v>342.33</v>
      </c>
      <c r="G71" s="57" t="s">
        <v>101</v>
      </c>
      <c r="H71" s="2"/>
      <c r="I71" s="2"/>
      <c r="J71" s="66">
        <v>267.33</v>
      </c>
      <c r="L71" s="57" t="s">
        <v>101</v>
      </c>
      <c r="M71" s="2"/>
      <c r="N71" s="2"/>
      <c r="O71" s="66">
        <v>647.32999999999993</v>
      </c>
    </row>
    <row r="72" spans="2:15" ht="15" thickBot="1" x14ac:dyDescent="0.35">
      <c r="B72" s="70" t="s">
        <v>93</v>
      </c>
      <c r="C72" s="69"/>
      <c r="D72" s="60"/>
      <c r="E72" s="68">
        <v>943.67</v>
      </c>
      <c r="G72" s="70" t="s">
        <v>93</v>
      </c>
      <c r="H72" s="69"/>
      <c r="I72" s="60"/>
      <c r="J72" s="68">
        <v>1156.3400000000001</v>
      </c>
      <c r="L72" s="70" t="s">
        <v>93</v>
      </c>
      <c r="M72" s="69"/>
      <c r="N72" s="60"/>
      <c r="O72" s="68">
        <v>809.01000000000022</v>
      </c>
    </row>
    <row r="73" spans="2:15" ht="15" thickTop="1" x14ac:dyDescent="0.3">
      <c r="B73" s="57" t="s">
        <v>99</v>
      </c>
      <c r="C73" s="2"/>
      <c r="D73" s="2"/>
      <c r="E73" s="65">
        <v>36.200000000000003</v>
      </c>
      <c r="G73" s="57" t="s">
        <v>99</v>
      </c>
      <c r="H73" s="2"/>
      <c r="I73" s="2"/>
      <c r="J73" s="65">
        <v>54.6</v>
      </c>
      <c r="L73" s="57" t="s">
        <v>99</v>
      </c>
      <c r="M73" s="2"/>
      <c r="N73" s="2"/>
      <c r="O73" s="65">
        <v>98.600000000000009</v>
      </c>
    </row>
    <row r="74" spans="2:15" x14ac:dyDescent="0.3">
      <c r="B74" s="57" t="s">
        <v>103</v>
      </c>
      <c r="C74" s="2"/>
      <c r="D74" s="2"/>
      <c r="E74" s="66">
        <v>22.4</v>
      </c>
      <c r="G74" s="57" t="s">
        <v>103</v>
      </c>
      <c r="H74" s="2"/>
      <c r="I74" s="2"/>
      <c r="J74" s="66">
        <v>18.399999999999999</v>
      </c>
      <c r="L74" s="57" t="s">
        <v>103</v>
      </c>
      <c r="M74" s="2"/>
      <c r="N74" s="2"/>
      <c r="O74" s="66">
        <v>44</v>
      </c>
    </row>
    <row r="75" spans="2:15" ht="15" thickBot="1" x14ac:dyDescent="0.35">
      <c r="B75" s="70" t="s">
        <v>95</v>
      </c>
      <c r="C75" s="60"/>
      <c r="D75" s="60"/>
      <c r="E75" s="68">
        <v>68.2</v>
      </c>
      <c r="G75" s="70" t="s">
        <v>95</v>
      </c>
      <c r="H75" s="60"/>
      <c r="I75" s="60"/>
      <c r="J75" s="68">
        <v>83.4</v>
      </c>
      <c r="L75" s="70" t="s">
        <v>95</v>
      </c>
      <c r="M75" s="60"/>
      <c r="N75" s="60"/>
      <c r="O75" s="68">
        <v>63.399999999999991</v>
      </c>
    </row>
    <row r="76" spans="2:15" ht="15.6" thickTop="1" thickBot="1" x14ac:dyDescent="0.35">
      <c r="B76" s="58" t="s">
        <v>210</v>
      </c>
      <c r="C76" s="123"/>
      <c r="D76" s="59"/>
      <c r="E76" s="127"/>
      <c r="G76" s="58" t="s">
        <v>210</v>
      </c>
      <c r="H76" s="123"/>
      <c r="I76" s="59"/>
      <c r="J76" s="127"/>
      <c r="L76" s="58" t="s">
        <v>210</v>
      </c>
      <c r="M76" s="123"/>
      <c r="N76" s="59"/>
      <c r="O76" s="127"/>
    </row>
    <row r="77" spans="2:15" ht="15" thickTop="1" x14ac:dyDescent="0.3">
      <c r="B77" s="57" t="s">
        <v>211</v>
      </c>
      <c r="C77" s="115"/>
      <c r="D77" s="2"/>
      <c r="E77" s="67">
        <v>10</v>
      </c>
      <c r="G77" s="57" t="s">
        <v>211</v>
      </c>
      <c r="H77" s="115"/>
      <c r="I77" s="2"/>
      <c r="J77" s="67">
        <v>10</v>
      </c>
      <c r="L77" s="57" t="s">
        <v>211</v>
      </c>
      <c r="M77" s="115"/>
      <c r="N77" s="2"/>
      <c r="O77" s="67">
        <v>10</v>
      </c>
    </row>
    <row r="78" spans="2:15" x14ac:dyDescent="0.3">
      <c r="B78" s="57" t="s">
        <v>228</v>
      </c>
      <c r="C78" s="124"/>
      <c r="D78" s="125"/>
      <c r="E78" s="65">
        <v>0</v>
      </c>
      <c r="G78" s="57" t="s">
        <v>228</v>
      </c>
      <c r="H78" s="124"/>
      <c r="I78" s="125"/>
      <c r="J78" s="65">
        <v>0</v>
      </c>
      <c r="L78" s="57" t="s">
        <v>228</v>
      </c>
      <c r="M78" s="124"/>
      <c r="N78" s="125"/>
      <c r="O78" s="65">
        <v>0</v>
      </c>
    </row>
    <row r="79" spans="2:15" x14ac:dyDescent="0.3">
      <c r="B79" s="57" t="s">
        <v>227</v>
      </c>
      <c r="C79" s="124"/>
      <c r="D79" s="125"/>
      <c r="E79" s="65">
        <v>0</v>
      </c>
      <c r="G79" s="57" t="s">
        <v>227</v>
      </c>
      <c r="H79" s="124"/>
      <c r="I79" s="125"/>
      <c r="J79" s="65">
        <v>0</v>
      </c>
      <c r="L79" s="57" t="s">
        <v>227</v>
      </c>
      <c r="M79" s="124"/>
      <c r="N79" s="125"/>
      <c r="O79" s="65">
        <v>0</v>
      </c>
    </row>
    <row r="80" spans="2:15" x14ac:dyDescent="0.3">
      <c r="B80" s="57" t="s">
        <v>91</v>
      </c>
      <c r="C80" s="2"/>
      <c r="D80" s="2"/>
      <c r="E80" s="64">
        <v>810</v>
      </c>
      <c r="G80" s="57" t="s">
        <v>91</v>
      </c>
      <c r="H80" s="2"/>
      <c r="I80" s="2"/>
      <c r="J80" s="64">
        <v>940</v>
      </c>
      <c r="L80" s="57" t="s">
        <v>91</v>
      </c>
      <c r="M80" s="2"/>
      <c r="N80" s="2"/>
      <c r="O80" s="64">
        <v>1070</v>
      </c>
    </row>
    <row r="81" spans="2:15" x14ac:dyDescent="0.3">
      <c r="B81" s="57" t="s">
        <v>97</v>
      </c>
      <c r="C81" s="2"/>
      <c r="D81" s="2"/>
      <c r="E81" s="63">
        <v>62.307692307692307</v>
      </c>
      <c r="G81" s="57" t="s">
        <v>97</v>
      </c>
      <c r="H81" s="2"/>
      <c r="I81" s="2"/>
      <c r="J81" s="63">
        <v>72.307692307692307</v>
      </c>
      <c r="L81" s="57" t="s">
        <v>97</v>
      </c>
      <c r="M81" s="2"/>
      <c r="N81" s="2"/>
      <c r="O81" s="63">
        <v>82.307692307692307</v>
      </c>
    </row>
    <row r="82" spans="2:15" x14ac:dyDescent="0.3">
      <c r="B82" s="57" t="s">
        <v>218</v>
      </c>
      <c r="C82" s="2"/>
      <c r="D82" s="2"/>
      <c r="E82" s="64">
        <v>114.4</v>
      </c>
      <c r="G82" s="57" t="s">
        <v>218</v>
      </c>
      <c r="H82" s="2"/>
      <c r="I82" s="2"/>
      <c r="J82" s="64">
        <v>148</v>
      </c>
      <c r="L82" s="57" t="s">
        <v>218</v>
      </c>
      <c r="M82" s="2"/>
      <c r="N82" s="2"/>
      <c r="O82" s="64">
        <v>172</v>
      </c>
    </row>
    <row r="83" spans="2:15" ht="15" thickBot="1" x14ac:dyDescent="0.35">
      <c r="B83" s="57" t="s">
        <v>94</v>
      </c>
      <c r="C83" s="2"/>
      <c r="D83" s="126"/>
      <c r="E83" s="131">
        <v>0</v>
      </c>
      <c r="G83" s="57" t="s">
        <v>94</v>
      </c>
      <c r="H83" s="2"/>
      <c r="I83" s="126"/>
      <c r="J83" s="131">
        <v>0</v>
      </c>
      <c r="L83" s="57" t="s">
        <v>94</v>
      </c>
      <c r="M83" s="2"/>
      <c r="N83" s="126"/>
      <c r="O83" s="131">
        <v>0</v>
      </c>
    </row>
    <row r="84" spans="2:15" ht="15.6" thickTop="1" thickBot="1" x14ac:dyDescent="0.35">
      <c r="B84" s="61" t="s">
        <v>92</v>
      </c>
      <c r="C84" s="62"/>
      <c r="D84" s="128"/>
      <c r="E84" s="129">
        <v>924.4</v>
      </c>
      <c r="G84" s="61" t="s">
        <v>92</v>
      </c>
      <c r="H84" s="62"/>
      <c r="I84" s="128"/>
      <c r="J84" s="129">
        <v>1088</v>
      </c>
      <c r="L84" s="61" t="s">
        <v>92</v>
      </c>
      <c r="M84" s="62"/>
      <c r="N84" s="128"/>
      <c r="O84" s="129">
        <v>1242</v>
      </c>
    </row>
    <row r="85" spans="2:15" ht="15.6" thickTop="1" thickBot="1" x14ac:dyDescent="0.35">
      <c r="B85" s="61" t="s">
        <v>96</v>
      </c>
      <c r="C85" s="62"/>
      <c r="D85" s="128"/>
      <c r="E85" s="140">
        <v>1011.87</v>
      </c>
      <c r="G85" s="61" t="s">
        <v>96</v>
      </c>
      <c r="H85" s="62"/>
      <c r="I85" s="128"/>
      <c r="J85" s="140">
        <v>1239.7400000000002</v>
      </c>
      <c r="L85" s="61" t="s">
        <v>96</v>
      </c>
      <c r="M85" s="62"/>
      <c r="N85" s="128"/>
      <c r="O85" s="140">
        <v>872.4100000000002</v>
      </c>
    </row>
    <row r="86" spans="2:15" ht="15.6" thickTop="1" thickBot="1" x14ac:dyDescent="0.35"/>
    <row r="87" spans="2:15" ht="15.6" thickTop="1" thickBot="1" x14ac:dyDescent="0.35">
      <c r="B87" s="371" t="s">
        <v>90</v>
      </c>
      <c r="C87" s="398"/>
      <c r="D87" s="372"/>
      <c r="E87" s="72">
        <v>44788</v>
      </c>
      <c r="G87" s="371" t="s">
        <v>90</v>
      </c>
      <c r="H87" s="398"/>
      <c r="I87" s="372"/>
      <c r="J87" s="72">
        <v>44788</v>
      </c>
      <c r="L87" s="371" t="s">
        <v>90</v>
      </c>
      <c r="M87" s="398"/>
      <c r="N87" s="372"/>
      <c r="O87" s="72">
        <v>44788</v>
      </c>
    </row>
    <row r="88" spans="2:15" ht="15.6" thickTop="1" thickBot="1" x14ac:dyDescent="0.35">
      <c r="B88" s="375"/>
      <c r="C88" s="399"/>
      <c r="D88" s="376"/>
      <c r="E88" s="72">
        <v>45061</v>
      </c>
      <c r="G88" s="375"/>
      <c r="H88" s="399"/>
      <c r="I88" s="376"/>
      <c r="J88" s="72">
        <v>45092</v>
      </c>
      <c r="L88" s="375"/>
      <c r="M88" s="399"/>
      <c r="N88" s="376"/>
      <c r="O88" s="72">
        <v>45122</v>
      </c>
    </row>
    <row r="89" spans="2:15" ht="15.6" thickTop="1" thickBot="1" x14ac:dyDescent="0.35">
      <c r="B89" s="57" t="s">
        <v>89</v>
      </c>
      <c r="C89" s="2"/>
      <c r="D89" s="2"/>
      <c r="E89" s="114">
        <v>1300</v>
      </c>
      <c r="G89" s="57" t="s">
        <v>89</v>
      </c>
      <c r="H89" s="2"/>
      <c r="I89" s="2"/>
      <c r="J89" s="114">
        <v>1430</v>
      </c>
      <c r="L89" s="57" t="s">
        <v>89</v>
      </c>
      <c r="M89" s="2"/>
      <c r="N89" s="2"/>
      <c r="O89" s="114">
        <v>1560</v>
      </c>
    </row>
    <row r="90" spans="2:15" ht="15.6" thickTop="1" thickBot="1" x14ac:dyDescent="0.35">
      <c r="B90" s="58" t="s">
        <v>162</v>
      </c>
      <c r="C90" s="59"/>
      <c r="D90" s="59"/>
      <c r="E90" s="120"/>
      <c r="G90" s="58" t="s">
        <v>162</v>
      </c>
      <c r="H90" s="59"/>
      <c r="I90" s="59"/>
      <c r="J90" s="120"/>
      <c r="L90" s="58" t="s">
        <v>162</v>
      </c>
      <c r="M90" s="59"/>
      <c r="N90" s="59"/>
      <c r="O90" s="120"/>
    </row>
    <row r="91" spans="2:15" ht="15" thickTop="1" x14ac:dyDescent="0.3">
      <c r="B91" s="118" t="s">
        <v>207</v>
      </c>
      <c r="C91" s="2"/>
      <c r="D91" s="2"/>
      <c r="E91" s="113">
        <v>2960</v>
      </c>
      <c r="G91" s="118" t="s">
        <v>207</v>
      </c>
      <c r="H91" s="2"/>
      <c r="I91" s="2"/>
      <c r="J91" s="113">
        <v>3960</v>
      </c>
      <c r="L91" s="118" t="s">
        <v>207</v>
      </c>
      <c r="M91" s="2"/>
      <c r="N91" s="2"/>
      <c r="O91" s="113">
        <v>3960</v>
      </c>
    </row>
    <row r="92" spans="2:15" x14ac:dyDescent="0.3">
      <c r="B92" s="119" t="s">
        <v>208</v>
      </c>
      <c r="C92" s="2"/>
      <c r="D92" s="2"/>
      <c r="E92" s="65">
        <v>100</v>
      </c>
      <c r="G92" s="119" t="s">
        <v>208</v>
      </c>
      <c r="H92" s="2"/>
      <c r="I92" s="2"/>
      <c r="J92" s="65">
        <v>100</v>
      </c>
      <c r="L92" s="119" t="s">
        <v>208</v>
      </c>
      <c r="M92" s="2"/>
      <c r="N92" s="2"/>
      <c r="O92" s="65">
        <v>100</v>
      </c>
    </row>
    <row r="93" spans="2:15" x14ac:dyDescent="0.3">
      <c r="B93" s="57" t="s">
        <v>100</v>
      </c>
      <c r="C93" s="2"/>
      <c r="D93" s="2"/>
      <c r="E93" s="66">
        <v>300</v>
      </c>
      <c r="G93" s="57" t="s">
        <v>100</v>
      </c>
      <c r="H93" s="2"/>
      <c r="I93" s="2"/>
      <c r="J93" s="66">
        <v>1000</v>
      </c>
      <c r="L93" s="57" t="s">
        <v>100</v>
      </c>
      <c r="M93" s="2"/>
      <c r="N93" s="2"/>
      <c r="O93" s="66">
        <v>0</v>
      </c>
    </row>
    <row r="94" spans="2:15" x14ac:dyDescent="0.3">
      <c r="B94" s="119" t="s">
        <v>209</v>
      </c>
      <c r="C94" s="2"/>
      <c r="D94" s="2"/>
      <c r="E94" s="121">
        <v>178</v>
      </c>
      <c r="G94" s="119" t="s">
        <v>209</v>
      </c>
      <c r="H94" s="2"/>
      <c r="I94" s="2"/>
      <c r="J94" s="121">
        <v>258</v>
      </c>
      <c r="L94" s="119" t="s">
        <v>209</v>
      </c>
      <c r="M94" s="2"/>
      <c r="N94" s="2"/>
      <c r="O94" s="121">
        <v>258</v>
      </c>
    </row>
    <row r="95" spans="2:15" ht="15" thickBot="1" x14ac:dyDescent="0.35">
      <c r="B95" s="57" t="s">
        <v>102</v>
      </c>
      <c r="C95" s="2"/>
      <c r="D95" s="2"/>
      <c r="E95" s="66">
        <v>16</v>
      </c>
      <c r="G95" s="57" t="s">
        <v>102</v>
      </c>
      <c r="H95" s="2"/>
      <c r="I95" s="2"/>
      <c r="J95" s="66">
        <v>80</v>
      </c>
      <c r="L95" s="57" t="s">
        <v>102</v>
      </c>
      <c r="M95" s="2"/>
      <c r="N95" s="2"/>
      <c r="O95" s="66">
        <v>0</v>
      </c>
    </row>
    <row r="96" spans="2:15" ht="15.6" thickTop="1" thickBot="1" x14ac:dyDescent="0.35">
      <c r="B96" s="122" t="s">
        <v>39</v>
      </c>
      <c r="C96" s="59"/>
      <c r="D96" s="59"/>
      <c r="E96" s="120"/>
      <c r="G96" s="122" t="s">
        <v>39</v>
      </c>
      <c r="H96" s="59"/>
      <c r="I96" s="59"/>
      <c r="J96" s="120"/>
      <c r="L96" s="122" t="s">
        <v>39</v>
      </c>
      <c r="M96" s="59"/>
      <c r="N96" s="59"/>
      <c r="O96" s="120"/>
    </row>
    <row r="97" spans="2:15" ht="15" thickTop="1" x14ac:dyDescent="0.3">
      <c r="B97" s="57" t="s">
        <v>98</v>
      </c>
      <c r="C97" s="2"/>
      <c r="D97" s="2"/>
      <c r="E97" s="65">
        <v>2209.9899999999998</v>
      </c>
      <c r="G97" s="57" t="s">
        <v>98</v>
      </c>
      <c r="H97" s="2"/>
      <c r="I97" s="2"/>
      <c r="J97" s="65">
        <v>2534.9899999999998</v>
      </c>
      <c r="L97" s="57" t="s">
        <v>98</v>
      </c>
      <c r="M97" s="2"/>
      <c r="N97" s="2"/>
      <c r="O97" s="65">
        <v>2834.99</v>
      </c>
    </row>
    <row r="98" spans="2:15" x14ac:dyDescent="0.3">
      <c r="B98" s="57" t="s">
        <v>101</v>
      </c>
      <c r="C98" s="2"/>
      <c r="D98" s="2"/>
      <c r="E98" s="66">
        <v>359</v>
      </c>
      <c r="G98" s="57" t="s">
        <v>101</v>
      </c>
      <c r="H98" s="2"/>
      <c r="I98" s="2"/>
      <c r="J98" s="66">
        <v>325</v>
      </c>
      <c r="L98" s="57" t="s">
        <v>101</v>
      </c>
      <c r="M98" s="2"/>
      <c r="N98" s="2"/>
      <c r="O98" s="66">
        <v>300</v>
      </c>
    </row>
    <row r="99" spans="2:15" ht="15" thickBot="1" x14ac:dyDescent="0.35">
      <c r="B99" s="70" t="s">
        <v>93</v>
      </c>
      <c r="C99" s="69"/>
      <c r="D99" s="60"/>
      <c r="E99" s="68">
        <v>750.01000000000022</v>
      </c>
      <c r="G99" s="70" t="s">
        <v>93</v>
      </c>
      <c r="H99" s="69"/>
      <c r="I99" s="60"/>
      <c r="J99" s="68">
        <v>1425.0100000000002</v>
      </c>
      <c r="L99" s="70" t="s">
        <v>93</v>
      </c>
      <c r="M99" s="69"/>
      <c r="N99" s="60"/>
      <c r="O99" s="68">
        <v>1125.0100000000002</v>
      </c>
    </row>
    <row r="100" spans="2:15" ht="15" thickTop="1" x14ac:dyDescent="0.3">
      <c r="B100" s="57" t="s">
        <v>99</v>
      </c>
      <c r="C100" s="2"/>
      <c r="D100" s="2"/>
      <c r="E100" s="65">
        <v>126.00000000000001</v>
      </c>
      <c r="G100" s="57" t="s">
        <v>99</v>
      </c>
      <c r="H100" s="2"/>
      <c r="I100" s="2"/>
      <c r="J100" s="65">
        <v>148</v>
      </c>
      <c r="L100" s="57" t="s">
        <v>99</v>
      </c>
      <c r="M100" s="2"/>
      <c r="N100" s="2"/>
      <c r="O100" s="65">
        <v>188</v>
      </c>
    </row>
    <row r="101" spans="2:15" x14ac:dyDescent="0.3">
      <c r="B101" s="57" t="s">
        <v>103</v>
      </c>
      <c r="C101" s="2"/>
      <c r="D101" s="2"/>
      <c r="E101" s="66">
        <v>27.4</v>
      </c>
      <c r="G101" s="57" t="s">
        <v>103</v>
      </c>
      <c r="H101" s="2"/>
      <c r="I101" s="2"/>
      <c r="J101" s="66">
        <v>22</v>
      </c>
      <c r="L101" s="57" t="s">
        <v>103</v>
      </c>
      <c r="M101" s="2"/>
      <c r="N101" s="2"/>
      <c r="O101" s="66">
        <v>40</v>
      </c>
    </row>
    <row r="102" spans="2:15" ht="15" thickBot="1" x14ac:dyDescent="0.35">
      <c r="B102" s="70" t="s">
        <v>95</v>
      </c>
      <c r="C102" s="60"/>
      <c r="D102" s="60"/>
      <c r="E102" s="68">
        <v>51.999999999999986</v>
      </c>
      <c r="G102" s="70" t="s">
        <v>95</v>
      </c>
      <c r="H102" s="60"/>
      <c r="I102" s="60"/>
      <c r="J102" s="68">
        <v>110</v>
      </c>
      <c r="L102" s="70" t="s">
        <v>95</v>
      </c>
      <c r="M102" s="60"/>
      <c r="N102" s="60"/>
      <c r="O102" s="68">
        <v>70</v>
      </c>
    </row>
    <row r="103" spans="2:15" ht="15.6" thickTop="1" thickBot="1" x14ac:dyDescent="0.35">
      <c r="B103" s="58" t="s">
        <v>210</v>
      </c>
      <c r="C103" s="123"/>
      <c r="D103" s="59"/>
      <c r="E103" s="127"/>
      <c r="G103" s="58" t="s">
        <v>210</v>
      </c>
      <c r="H103" s="123"/>
      <c r="I103" s="59"/>
      <c r="J103" s="127"/>
      <c r="L103" s="58" t="s">
        <v>210</v>
      </c>
      <c r="M103" s="123"/>
      <c r="N103" s="59"/>
      <c r="O103" s="127"/>
    </row>
    <row r="104" spans="2:15" ht="15" thickTop="1" x14ac:dyDescent="0.3">
      <c r="B104" s="57" t="s">
        <v>211</v>
      </c>
      <c r="C104" s="115"/>
      <c r="D104" s="2"/>
      <c r="E104" s="67">
        <v>10</v>
      </c>
      <c r="G104" s="57" t="s">
        <v>211</v>
      </c>
      <c r="H104" s="115"/>
      <c r="I104" s="2"/>
      <c r="J104" s="67">
        <v>10</v>
      </c>
      <c r="L104" s="57" t="s">
        <v>211</v>
      </c>
      <c r="M104" s="115"/>
      <c r="N104" s="2"/>
      <c r="O104" s="67">
        <v>10</v>
      </c>
    </row>
    <row r="105" spans="2:15" x14ac:dyDescent="0.3">
      <c r="B105" s="57" t="s">
        <v>228</v>
      </c>
      <c r="C105" s="124"/>
      <c r="D105" s="125"/>
      <c r="E105" s="65">
        <v>0</v>
      </c>
      <c r="G105" s="57" t="s">
        <v>228</v>
      </c>
      <c r="H105" s="124"/>
      <c r="I105" s="125"/>
      <c r="J105" s="65">
        <v>0</v>
      </c>
      <c r="L105" s="57" t="s">
        <v>228</v>
      </c>
      <c r="M105" s="124"/>
      <c r="N105" s="125"/>
      <c r="O105" s="65">
        <v>0</v>
      </c>
    </row>
    <row r="106" spans="2:15" x14ac:dyDescent="0.3">
      <c r="B106" s="57" t="s">
        <v>227</v>
      </c>
      <c r="C106" s="124"/>
      <c r="D106" s="125"/>
      <c r="E106" s="65">
        <v>0</v>
      </c>
      <c r="G106" s="57" t="s">
        <v>227</v>
      </c>
      <c r="H106" s="124"/>
      <c r="I106" s="125"/>
      <c r="J106" s="65">
        <v>0</v>
      </c>
      <c r="L106" s="57" t="s">
        <v>227</v>
      </c>
      <c r="M106" s="124"/>
      <c r="N106" s="125"/>
      <c r="O106" s="65">
        <v>0</v>
      </c>
    </row>
    <row r="107" spans="2:15" x14ac:dyDescent="0.3">
      <c r="B107" s="57" t="s">
        <v>91</v>
      </c>
      <c r="C107" s="2"/>
      <c r="D107" s="2"/>
      <c r="E107" s="64">
        <v>1200</v>
      </c>
      <c r="G107" s="57" t="s">
        <v>91</v>
      </c>
      <c r="H107" s="2"/>
      <c r="I107" s="2"/>
      <c r="J107" s="64">
        <v>1330</v>
      </c>
      <c r="L107" s="57" t="s">
        <v>91</v>
      </c>
      <c r="M107" s="2"/>
      <c r="N107" s="2"/>
      <c r="O107" s="64">
        <v>1460</v>
      </c>
    </row>
    <row r="108" spans="2:15" x14ac:dyDescent="0.3">
      <c r="B108" s="57" t="s">
        <v>97</v>
      </c>
      <c r="C108" s="2"/>
      <c r="D108" s="2"/>
      <c r="E108" s="63">
        <v>92.307692307692307</v>
      </c>
      <c r="G108" s="57" t="s">
        <v>97</v>
      </c>
      <c r="H108" s="2"/>
      <c r="I108" s="2"/>
      <c r="J108" s="63">
        <v>102.30769230769231</v>
      </c>
      <c r="L108" s="57" t="s">
        <v>97</v>
      </c>
      <c r="M108" s="2"/>
      <c r="N108" s="2"/>
      <c r="O108" s="63">
        <v>112.30769230769231</v>
      </c>
    </row>
    <row r="109" spans="2:15" x14ac:dyDescent="0.3">
      <c r="B109" s="57" t="s">
        <v>218</v>
      </c>
      <c r="C109" s="2"/>
      <c r="D109" s="2"/>
      <c r="E109" s="64">
        <v>188</v>
      </c>
      <c r="G109" s="57" t="s">
        <v>218</v>
      </c>
      <c r="H109" s="2"/>
      <c r="I109" s="2"/>
      <c r="J109" s="64">
        <v>268</v>
      </c>
      <c r="L109" s="57" t="s">
        <v>218</v>
      </c>
      <c r="M109" s="2"/>
      <c r="N109" s="2"/>
      <c r="O109" s="64">
        <v>268</v>
      </c>
    </row>
    <row r="110" spans="2:15" ht="15" thickBot="1" x14ac:dyDescent="0.35">
      <c r="B110" s="57" t="s">
        <v>94</v>
      </c>
      <c r="C110" s="2"/>
      <c r="D110" s="126"/>
      <c r="E110" s="131">
        <v>0</v>
      </c>
      <c r="G110" s="57" t="s">
        <v>94</v>
      </c>
      <c r="H110" s="2"/>
      <c r="I110" s="126"/>
      <c r="J110" s="131">
        <v>0</v>
      </c>
      <c r="L110" s="57" t="s">
        <v>94</v>
      </c>
      <c r="M110" s="2"/>
      <c r="N110" s="126"/>
      <c r="O110" s="131">
        <v>0</v>
      </c>
    </row>
    <row r="111" spans="2:15" ht="15.6" thickTop="1" thickBot="1" x14ac:dyDescent="0.35">
      <c r="B111" s="61" t="s">
        <v>92</v>
      </c>
      <c r="C111" s="62"/>
      <c r="D111" s="128"/>
      <c r="E111" s="129">
        <v>1388</v>
      </c>
      <c r="G111" s="61" t="s">
        <v>92</v>
      </c>
      <c r="H111" s="62"/>
      <c r="I111" s="128"/>
      <c r="J111" s="129">
        <v>1598</v>
      </c>
      <c r="L111" s="61" t="s">
        <v>92</v>
      </c>
      <c r="M111" s="62"/>
      <c r="N111" s="128"/>
      <c r="O111" s="129">
        <v>1728</v>
      </c>
    </row>
    <row r="112" spans="2:15" ht="15.6" thickTop="1" thickBot="1" x14ac:dyDescent="0.35">
      <c r="B112" s="61" t="s">
        <v>96</v>
      </c>
      <c r="C112" s="62"/>
      <c r="D112" s="128"/>
      <c r="E112" s="140">
        <v>802.01000000000022</v>
      </c>
      <c r="G112" s="61" t="s">
        <v>96</v>
      </c>
      <c r="H112" s="62"/>
      <c r="I112" s="128"/>
      <c r="J112" s="140">
        <v>1535.0100000000002</v>
      </c>
      <c r="L112" s="61" t="s">
        <v>96</v>
      </c>
      <c r="M112" s="62"/>
      <c r="N112" s="128"/>
      <c r="O112" s="140">
        <v>1195.0100000000002</v>
      </c>
    </row>
    <row r="113" spans="2:15" ht="15.6" thickTop="1" thickBot="1" x14ac:dyDescent="0.35"/>
    <row r="114" spans="2:15" ht="15.6" thickTop="1" thickBot="1" x14ac:dyDescent="0.35">
      <c r="B114" s="371" t="s">
        <v>90</v>
      </c>
      <c r="C114" s="398"/>
      <c r="D114" s="372"/>
      <c r="E114" s="72">
        <v>44788</v>
      </c>
      <c r="G114" s="371" t="s">
        <v>90</v>
      </c>
      <c r="H114" s="398"/>
      <c r="I114" s="372"/>
      <c r="J114" s="72">
        <v>44788</v>
      </c>
      <c r="L114" s="371" t="s">
        <v>90</v>
      </c>
      <c r="M114" s="398"/>
      <c r="N114" s="372"/>
      <c r="O114" s="72">
        <v>44788</v>
      </c>
    </row>
    <row r="115" spans="2:15" ht="15.6" thickTop="1" thickBot="1" x14ac:dyDescent="0.35">
      <c r="B115" s="375"/>
      <c r="C115" s="399"/>
      <c r="D115" s="376"/>
      <c r="E115" s="72">
        <v>45153</v>
      </c>
      <c r="G115" s="375"/>
      <c r="H115" s="399"/>
      <c r="I115" s="376"/>
      <c r="J115" s="72">
        <v>45184</v>
      </c>
      <c r="L115" s="375"/>
      <c r="M115" s="399"/>
      <c r="N115" s="376"/>
      <c r="O115" s="72">
        <v>45214</v>
      </c>
    </row>
    <row r="116" spans="2:15" ht="15.6" thickTop="1" thickBot="1" x14ac:dyDescent="0.35">
      <c r="B116" s="57" t="s">
        <v>89</v>
      </c>
      <c r="C116" s="2"/>
      <c r="D116" s="2"/>
      <c r="E116" s="114">
        <v>1690</v>
      </c>
      <c r="G116" s="57" t="s">
        <v>89</v>
      </c>
      <c r="H116" s="2"/>
      <c r="I116" s="2"/>
      <c r="J116" s="114">
        <v>1820</v>
      </c>
      <c r="L116" s="57" t="s">
        <v>89</v>
      </c>
      <c r="M116" s="2"/>
      <c r="N116" s="2"/>
      <c r="O116" s="114">
        <v>1950</v>
      </c>
    </row>
    <row r="117" spans="2:15" ht="15.6" thickTop="1" thickBot="1" x14ac:dyDescent="0.35">
      <c r="B117" s="58" t="s">
        <v>162</v>
      </c>
      <c r="C117" s="59"/>
      <c r="D117" s="59"/>
      <c r="E117" s="120"/>
      <c r="G117" s="58" t="s">
        <v>162</v>
      </c>
      <c r="H117" s="59"/>
      <c r="I117" s="59"/>
      <c r="J117" s="120"/>
      <c r="L117" s="58" t="s">
        <v>162</v>
      </c>
      <c r="M117" s="59"/>
      <c r="N117" s="59"/>
      <c r="O117" s="120"/>
    </row>
    <row r="118" spans="2:15" ht="15" thickTop="1" x14ac:dyDescent="0.3">
      <c r="B118" s="118" t="s">
        <v>207</v>
      </c>
      <c r="C118" s="2"/>
      <c r="D118" s="2"/>
      <c r="E118" s="113">
        <v>4460</v>
      </c>
      <c r="G118" s="118" t="s">
        <v>207</v>
      </c>
      <c r="H118" s="2"/>
      <c r="I118" s="2"/>
      <c r="J118" s="113">
        <v>5160</v>
      </c>
      <c r="L118" s="118" t="s">
        <v>207</v>
      </c>
      <c r="M118" s="2"/>
      <c r="N118" s="2"/>
      <c r="O118" s="113">
        <v>6360</v>
      </c>
    </row>
    <row r="119" spans="2:15" x14ac:dyDescent="0.3">
      <c r="B119" s="119" t="s">
        <v>208</v>
      </c>
      <c r="C119" s="2"/>
      <c r="D119" s="2"/>
      <c r="E119" s="65">
        <v>100</v>
      </c>
      <c r="G119" s="119" t="s">
        <v>208</v>
      </c>
      <c r="H119" s="2"/>
      <c r="I119" s="2"/>
      <c r="J119" s="65">
        <v>100</v>
      </c>
      <c r="L119" s="119" t="s">
        <v>208</v>
      </c>
      <c r="M119" s="2"/>
      <c r="N119" s="2"/>
      <c r="O119" s="65">
        <v>100</v>
      </c>
    </row>
    <row r="120" spans="2:15" x14ac:dyDescent="0.3">
      <c r="B120" s="57" t="s">
        <v>100</v>
      </c>
      <c r="C120" s="2"/>
      <c r="D120" s="2"/>
      <c r="E120" s="66">
        <v>200</v>
      </c>
      <c r="G120" s="57" t="s">
        <v>100</v>
      </c>
      <c r="H120" s="2"/>
      <c r="I120" s="2"/>
      <c r="J120" s="66">
        <v>700</v>
      </c>
      <c r="L120" s="57" t="s">
        <v>100</v>
      </c>
      <c r="M120" s="2"/>
      <c r="N120" s="2"/>
      <c r="O120" s="66">
        <v>1200</v>
      </c>
    </row>
    <row r="121" spans="2:15" x14ac:dyDescent="0.3">
      <c r="B121" s="119" t="s">
        <v>209</v>
      </c>
      <c r="C121" s="2"/>
      <c r="D121" s="2"/>
      <c r="E121" s="121">
        <v>268</v>
      </c>
      <c r="G121" s="119" t="s">
        <v>209</v>
      </c>
      <c r="H121" s="2"/>
      <c r="I121" s="2"/>
      <c r="J121" s="121">
        <v>338</v>
      </c>
      <c r="L121" s="119" t="s">
        <v>209</v>
      </c>
      <c r="M121" s="2"/>
      <c r="N121" s="2"/>
      <c r="O121" s="121">
        <v>458</v>
      </c>
    </row>
    <row r="122" spans="2:15" ht="15" thickBot="1" x14ac:dyDescent="0.35">
      <c r="B122" s="57" t="s">
        <v>102</v>
      </c>
      <c r="C122" s="2"/>
      <c r="D122" s="2"/>
      <c r="E122" s="66">
        <v>4</v>
      </c>
      <c r="G122" s="57" t="s">
        <v>102</v>
      </c>
      <c r="H122" s="2"/>
      <c r="I122" s="2"/>
      <c r="J122" s="66">
        <v>70</v>
      </c>
      <c r="L122" s="57" t="s">
        <v>102</v>
      </c>
      <c r="M122" s="2"/>
      <c r="N122" s="2"/>
      <c r="O122" s="66">
        <v>120</v>
      </c>
    </row>
    <row r="123" spans="2:15" ht="15.6" thickTop="1" thickBot="1" x14ac:dyDescent="0.35">
      <c r="B123" s="122" t="s">
        <v>39</v>
      </c>
      <c r="C123" s="59"/>
      <c r="D123" s="59"/>
      <c r="E123" s="120"/>
      <c r="G123" s="122" t="s">
        <v>39</v>
      </c>
      <c r="H123" s="59"/>
      <c r="I123" s="59"/>
      <c r="J123" s="120"/>
      <c r="L123" s="122" t="s">
        <v>39</v>
      </c>
      <c r="M123" s="59"/>
      <c r="N123" s="59"/>
      <c r="O123" s="120"/>
    </row>
    <row r="124" spans="2:15" ht="15" thickTop="1" x14ac:dyDescent="0.3">
      <c r="B124" s="57" t="s">
        <v>98</v>
      </c>
      <c r="C124" s="2"/>
      <c r="D124" s="2"/>
      <c r="E124" s="65">
        <v>3134.99</v>
      </c>
      <c r="G124" s="57" t="s">
        <v>98</v>
      </c>
      <c r="H124" s="2"/>
      <c r="I124" s="2"/>
      <c r="J124" s="65">
        <v>3459.99</v>
      </c>
      <c r="L124" s="57" t="s">
        <v>98</v>
      </c>
      <c r="M124" s="2"/>
      <c r="N124" s="2"/>
      <c r="O124" s="65">
        <v>4584.99</v>
      </c>
    </row>
    <row r="125" spans="2:15" x14ac:dyDescent="0.3">
      <c r="B125" s="57" t="s">
        <v>101</v>
      </c>
      <c r="C125" s="2"/>
      <c r="D125" s="2"/>
      <c r="E125" s="66">
        <v>300</v>
      </c>
      <c r="G125" s="57" t="s">
        <v>101</v>
      </c>
      <c r="H125" s="2"/>
      <c r="I125" s="2"/>
      <c r="J125" s="66">
        <v>325</v>
      </c>
      <c r="L125" s="57" t="s">
        <v>101</v>
      </c>
      <c r="M125" s="2"/>
      <c r="N125" s="2"/>
      <c r="O125" s="66">
        <v>1125</v>
      </c>
    </row>
    <row r="126" spans="2:15" ht="15" thickBot="1" x14ac:dyDescent="0.35">
      <c r="B126" s="70" t="s">
        <v>93</v>
      </c>
      <c r="C126" s="69"/>
      <c r="D126" s="60"/>
      <c r="E126" s="68">
        <v>1325.0100000000002</v>
      </c>
      <c r="G126" s="70" t="s">
        <v>93</v>
      </c>
      <c r="H126" s="69"/>
      <c r="I126" s="60"/>
      <c r="J126" s="68">
        <v>1700.0100000000002</v>
      </c>
      <c r="L126" s="70" t="s">
        <v>93</v>
      </c>
      <c r="M126" s="69"/>
      <c r="N126" s="60"/>
      <c r="O126" s="68">
        <v>1775.0100000000002</v>
      </c>
    </row>
    <row r="127" spans="2:15" ht="15" thickTop="1" x14ac:dyDescent="0.3">
      <c r="B127" s="57" t="s">
        <v>99</v>
      </c>
      <c r="C127" s="2"/>
      <c r="D127" s="2"/>
      <c r="E127" s="65">
        <v>220</v>
      </c>
      <c r="G127" s="57" t="s">
        <v>99</v>
      </c>
      <c r="H127" s="2"/>
      <c r="I127" s="2"/>
      <c r="J127" s="65">
        <v>248</v>
      </c>
      <c r="L127" s="57" t="s">
        <v>99</v>
      </c>
      <c r="M127" s="2"/>
      <c r="N127" s="2"/>
      <c r="O127" s="65">
        <v>282</v>
      </c>
    </row>
    <row r="128" spans="2:15" x14ac:dyDescent="0.3">
      <c r="B128" s="57" t="s">
        <v>103</v>
      </c>
      <c r="C128" s="2"/>
      <c r="D128" s="2"/>
      <c r="E128" s="66">
        <v>32</v>
      </c>
      <c r="G128" s="57" t="s">
        <v>103</v>
      </c>
      <c r="H128" s="2"/>
      <c r="I128" s="2"/>
      <c r="J128" s="66">
        <v>28</v>
      </c>
      <c r="L128" s="57" t="s">
        <v>103</v>
      </c>
      <c r="M128" s="2"/>
      <c r="N128" s="2"/>
      <c r="O128" s="66">
        <v>34</v>
      </c>
    </row>
    <row r="129" spans="2:15" ht="15" thickBot="1" x14ac:dyDescent="0.35">
      <c r="B129" s="70" t="s">
        <v>95</v>
      </c>
      <c r="C129" s="60"/>
      <c r="D129" s="60"/>
      <c r="E129" s="68">
        <v>48</v>
      </c>
      <c r="G129" s="70" t="s">
        <v>95</v>
      </c>
      <c r="H129" s="60"/>
      <c r="I129" s="60"/>
      <c r="J129" s="68">
        <v>90</v>
      </c>
      <c r="L129" s="70" t="s">
        <v>95</v>
      </c>
      <c r="M129" s="60"/>
      <c r="N129" s="60"/>
      <c r="O129" s="68">
        <v>176</v>
      </c>
    </row>
    <row r="130" spans="2:15" ht="15.6" thickTop="1" thickBot="1" x14ac:dyDescent="0.35">
      <c r="B130" s="58" t="s">
        <v>210</v>
      </c>
      <c r="C130" s="123"/>
      <c r="D130" s="59"/>
      <c r="E130" s="127"/>
      <c r="G130" s="58" t="s">
        <v>210</v>
      </c>
      <c r="H130" s="123"/>
      <c r="I130" s="59"/>
      <c r="J130" s="127"/>
      <c r="L130" s="58" t="s">
        <v>210</v>
      </c>
      <c r="M130" s="123"/>
      <c r="N130" s="59"/>
      <c r="O130" s="127"/>
    </row>
    <row r="131" spans="2:15" ht="15" thickTop="1" x14ac:dyDescent="0.3">
      <c r="B131" s="57" t="s">
        <v>211</v>
      </c>
      <c r="C131" s="115"/>
      <c r="D131" s="2"/>
      <c r="E131" s="67">
        <v>10</v>
      </c>
      <c r="G131" s="57" t="s">
        <v>211</v>
      </c>
      <c r="H131" s="115"/>
      <c r="I131" s="2"/>
      <c r="J131" s="67">
        <v>10</v>
      </c>
      <c r="L131" s="57" t="s">
        <v>211</v>
      </c>
      <c r="M131" s="115"/>
      <c r="N131" s="2"/>
      <c r="O131" s="67">
        <v>10</v>
      </c>
    </row>
    <row r="132" spans="2:15" x14ac:dyDescent="0.3">
      <c r="B132" s="57" t="s">
        <v>228</v>
      </c>
      <c r="C132" s="124"/>
      <c r="D132" s="125"/>
      <c r="E132" s="65">
        <v>250</v>
      </c>
      <c r="G132" s="57" t="s">
        <v>228</v>
      </c>
      <c r="H132" s="124"/>
      <c r="I132" s="125"/>
      <c r="J132" s="65">
        <v>250</v>
      </c>
      <c r="L132" s="57" t="s">
        <v>228</v>
      </c>
      <c r="M132" s="124"/>
      <c r="N132" s="125"/>
      <c r="O132" s="65">
        <v>250</v>
      </c>
    </row>
    <row r="133" spans="2:15" x14ac:dyDescent="0.3">
      <c r="B133" s="57" t="s">
        <v>227</v>
      </c>
      <c r="C133" s="124"/>
      <c r="D133" s="125"/>
      <c r="E133" s="65">
        <v>0</v>
      </c>
      <c r="G133" s="57" t="s">
        <v>227</v>
      </c>
      <c r="H133" s="124"/>
      <c r="I133" s="125"/>
      <c r="J133" s="65">
        <v>0</v>
      </c>
      <c r="L133" s="57" t="s">
        <v>227</v>
      </c>
      <c r="M133" s="124"/>
      <c r="N133" s="125"/>
      <c r="O133" s="65">
        <v>0</v>
      </c>
    </row>
    <row r="134" spans="2:15" x14ac:dyDescent="0.3">
      <c r="B134" s="57" t="s">
        <v>91</v>
      </c>
      <c r="C134" s="2"/>
      <c r="D134" s="2"/>
      <c r="E134" s="64">
        <v>1590</v>
      </c>
      <c r="G134" s="57" t="s">
        <v>91</v>
      </c>
      <c r="H134" s="2"/>
      <c r="I134" s="2"/>
      <c r="J134" s="64">
        <v>1720</v>
      </c>
      <c r="L134" s="57" t="s">
        <v>91</v>
      </c>
      <c r="M134" s="2"/>
      <c r="N134" s="2"/>
      <c r="O134" s="64">
        <v>1850</v>
      </c>
    </row>
    <row r="135" spans="2:15" x14ac:dyDescent="0.3">
      <c r="B135" s="57" t="s">
        <v>97</v>
      </c>
      <c r="C135" s="2"/>
      <c r="D135" s="2"/>
      <c r="E135" s="63">
        <v>122.30769230769231</v>
      </c>
      <c r="G135" s="57" t="s">
        <v>97</v>
      </c>
      <c r="H135" s="2"/>
      <c r="I135" s="2"/>
      <c r="J135" s="63">
        <v>132.30769230769232</v>
      </c>
      <c r="L135" s="57" t="s">
        <v>97</v>
      </c>
      <c r="M135" s="2"/>
      <c r="N135" s="2"/>
      <c r="O135" s="63">
        <v>142.30769230769232</v>
      </c>
    </row>
    <row r="136" spans="2:15" x14ac:dyDescent="0.3">
      <c r="B136" s="57" t="s">
        <v>218</v>
      </c>
      <c r="C136" s="2"/>
      <c r="D136" s="2"/>
      <c r="E136" s="64">
        <v>28</v>
      </c>
      <c r="G136" s="57" t="s">
        <v>218</v>
      </c>
      <c r="H136" s="2"/>
      <c r="I136" s="2"/>
      <c r="J136" s="64">
        <v>98</v>
      </c>
      <c r="L136" s="57" t="s">
        <v>218</v>
      </c>
      <c r="M136" s="2"/>
      <c r="N136" s="2"/>
      <c r="O136" s="64">
        <v>218</v>
      </c>
    </row>
    <row r="137" spans="2:15" ht="15" thickBot="1" x14ac:dyDescent="0.35">
      <c r="B137" s="57" t="s">
        <v>94</v>
      </c>
      <c r="C137" s="2"/>
      <c r="D137" s="126"/>
      <c r="E137" s="131">
        <v>0</v>
      </c>
      <c r="G137" s="57" t="s">
        <v>94</v>
      </c>
      <c r="H137" s="2"/>
      <c r="I137" s="126"/>
      <c r="J137" s="131">
        <v>67</v>
      </c>
      <c r="L137" s="57" t="s">
        <v>94</v>
      </c>
      <c r="M137" s="2"/>
      <c r="N137" s="126"/>
      <c r="O137" s="131">
        <v>156</v>
      </c>
    </row>
    <row r="138" spans="2:15" ht="15.6" thickTop="1" thickBot="1" x14ac:dyDescent="0.35">
      <c r="B138" s="61" t="s">
        <v>92</v>
      </c>
      <c r="C138" s="62"/>
      <c r="D138" s="128"/>
      <c r="E138" s="129">
        <v>1618</v>
      </c>
      <c r="G138" s="61" t="s">
        <v>92</v>
      </c>
      <c r="H138" s="62"/>
      <c r="I138" s="128"/>
      <c r="J138" s="129">
        <v>1885</v>
      </c>
      <c r="L138" s="61" t="s">
        <v>92</v>
      </c>
      <c r="M138" s="62"/>
      <c r="N138" s="128"/>
      <c r="O138" s="129">
        <v>2224</v>
      </c>
    </row>
    <row r="139" spans="2:15" ht="15.6" thickTop="1" thickBot="1" x14ac:dyDescent="0.35">
      <c r="B139" s="61" t="s">
        <v>96</v>
      </c>
      <c r="C139" s="62"/>
      <c r="D139" s="128"/>
      <c r="E139" s="140">
        <v>1373.0100000000002</v>
      </c>
      <c r="G139" s="61" t="s">
        <v>96</v>
      </c>
      <c r="H139" s="62"/>
      <c r="I139" s="128"/>
      <c r="J139" s="140">
        <v>1857.0100000000002</v>
      </c>
      <c r="L139" s="61" t="s">
        <v>96</v>
      </c>
      <c r="M139" s="62"/>
      <c r="N139" s="128"/>
      <c r="O139" s="140">
        <v>2107.0100000000002</v>
      </c>
    </row>
    <row r="140" spans="2:15" ht="15.6" thickTop="1" thickBot="1" x14ac:dyDescent="0.35"/>
    <row r="141" spans="2:15" ht="15.6" thickTop="1" thickBot="1" x14ac:dyDescent="0.35">
      <c r="B141" s="371" t="s">
        <v>90</v>
      </c>
      <c r="C141" s="398"/>
      <c r="D141" s="372"/>
      <c r="E141" s="72">
        <v>44788</v>
      </c>
      <c r="G141" s="371" t="s">
        <v>90</v>
      </c>
      <c r="H141" s="398"/>
      <c r="I141" s="372"/>
      <c r="J141" s="72">
        <v>44788</v>
      </c>
      <c r="L141" s="371" t="s">
        <v>90</v>
      </c>
      <c r="M141" s="398"/>
      <c r="N141" s="372"/>
      <c r="O141" s="72">
        <v>44788</v>
      </c>
    </row>
    <row r="142" spans="2:15" ht="15.6" thickTop="1" thickBot="1" x14ac:dyDescent="0.35">
      <c r="B142" s="375"/>
      <c r="C142" s="399"/>
      <c r="D142" s="376"/>
      <c r="E142" s="72">
        <v>45245</v>
      </c>
      <c r="G142" s="375"/>
      <c r="H142" s="399"/>
      <c r="I142" s="376"/>
      <c r="J142" s="72">
        <v>45275</v>
      </c>
      <c r="L142" s="375"/>
      <c r="M142" s="399"/>
      <c r="N142" s="376"/>
      <c r="O142" s="72">
        <v>45306</v>
      </c>
    </row>
    <row r="143" spans="2:15" ht="15.6" thickTop="1" thickBot="1" x14ac:dyDescent="0.35">
      <c r="B143" s="57" t="s">
        <v>89</v>
      </c>
      <c r="C143" s="2"/>
      <c r="D143" s="2"/>
      <c r="E143" s="114">
        <v>2080</v>
      </c>
      <c r="G143" s="57" t="s">
        <v>89</v>
      </c>
      <c r="H143" s="2"/>
      <c r="I143" s="2"/>
      <c r="J143" s="114">
        <v>2210</v>
      </c>
      <c r="L143" s="57" t="s">
        <v>89</v>
      </c>
      <c r="M143" s="2"/>
      <c r="N143" s="2"/>
      <c r="O143" s="114">
        <v>2340</v>
      </c>
    </row>
    <row r="144" spans="2:15" ht="15.6" thickTop="1" thickBot="1" x14ac:dyDescent="0.35">
      <c r="B144" s="58" t="s">
        <v>162</v>
      </c>
      <c r="C144" s="59"/>
      <c r="D144" s="59"/>
      <c r="E144" s="120"/>
      <c r="G144" s="58" t="s">
        <v>162</v>
      </c>
      <c r="H144" s="59"/>
      <c r="I144" s="59"/>
      <c r="J144" s="120"/>
      <c r="L144" s="58" t="s">
        <v>162</v>
      </c>
      <c r="M144" s="59"/>
      <c r="N144" s="59"/>
      <c r="O144" s="120"/>
    </row>
    <row r="145" spans="2:15" ht="15" thickTop="1" x14ac:dyDescent="0.3">
      <c r="B145" s="118" t="s">
        <v>207</v>
      </c>
      <c r="C145" s="2"/>
      <c r="D145" s="2"/>
      <c r="E145" s="113">
        <v>6810</v>
      </c>
      <c r="G145" s="118" t="s">
        <v>207</v>
      </c>
      <c r="H145" s="2"/>
      <c r="I145" s="2"/>
      <c r="J145" s="113">
        <v>6810</v>
      </c>
      <c r="L145" s="118" t="s">
        <v>207</v>
      </c>
      <c r="M145" s="2"/>
      <c r="N145" s="2"/>
      <c r="O145" s="113">
        <v>7310</v>
      </c>
    </row>
    <row r="146" spans="2:15" x14ac:dyDescent="0.3">
      <c r="B146" s="119" t="s">
        <v>208</v>
      </c>
      <c r="C146" s="2"/>
      <c r="D146" s="2"/>
      <c r="E146" s="65">
        <v>100</v>
      </c>
      <c r="G146" s="119" t="s">
        <v>208</v>
      </c>
      <c r="H146" s="2"/>
      <c r="I146" s="2"/>
      <c r="J146" s="65">
        <v>100</v>
      </c>
      <c r="L146" s="119" t="s">
        <v>208</v>
      </c>
      <c r="M146" s="2"/>
      <c r="N146" s="2"/>
      <c r="O146" s="65">
        <v>100</v>
      </c>
    </row>
    <row r="147" spans="2:15" x14ac:dyDescent="0.3">
      <c r="B147" s="57" t="s">
        <v>100</v>
      </c>
      <c r="C147" s="2"/>
      <c r="D147" s="2"/>
      <c r="E147" s="66">
        <v>450</v>
      </c>
      <c r="G147" s="57" t="s">
        <v>100</v>
      </c>
      <c r="H147" s="2"/>
      <c r="I147" s="2"/>
      <c r="J147" s="66">
        <v>0</v>
      </c>
      <c r="L147" s="57" t="s">
        <v>100</v>
      </c>
      <c r="M147" s="2"/>
      <c r="N147" s="2"/>
      <c r="O147" s="66">
        <v>500</v>
      </c>
    </row>
    <row r="148" spans="2:15" x14ac:dyDescent="0.3">
      <c r="B148" s="119" t="s">
        <v>209</v>
      </c>
      <c r="C148" s="2"/>
      <c r="D148" s="2"/>
      <c r="E148" s="121">
        <v>494</v>
      </c>
      <c r="G148" s="119" t="s">
        <v>209</v>
      </c>
      <c r="H148" s="2"/>
      <c r="I148" s="2"/>
      <c r="J148" s="121">
        <v>494</v>
      </c>
      <c r="L148" s="119" t="s">
        <v>209</v>
      </c>
      <c r="M148" s="2"/>
      <c r="N148" s="2"/>
      <c r="O148" s="121">
        <v>514</v>
      </c>
    </row>
    <row r="149" spans="2:15" ht="15" thickBot="1" x14ac:dyDescent="0.35">
      <c r="B149" s="57" t="s">
        <v>102</v>
      </c>
      <c r="C149" s="2"/>
      <c r="D149" s="2"/>
      <c r="E149" s="66">
        <v>36</v>
      </c>
      <c r="G149" s="57" t="s">
        <v>102</v>
      </c>
      <c r="H149" s="2"/>
      <c r="I149" s="2"/>
      <c r="J149" s="66">
        <v>0</v>
      </c>
      <c r="L149" s="57" t="s">
        <v>102</v>
      </c>
      <c r="M149" s="2"/>
      <c r="N149" s="2"/>
      <c r="O149" s="66">
        <v>20</v>
      </c>
    </row>
    <row r="150" spans="2:15" ht="15.6" thickTop="1" thickBot="1" x14ac:dyDescent="0.35">
      <c r="B150" s="122" t="s">
        <v>39</v>
      </c>
      <c r="C150" s="59"/>
      <c r="D150" s="59"/>
      <c r="E150" s="120"/>
      <c r="G150" s="122" t="s">
        <v>39</v>
      </c>
      <c r="H150" s="59"/>
      <c r="I150" s="59"/>
      <c r="J150" s="120"/>
      <c r="L150" s="122" t="s">
        <v>39</v>
      </c>
      <c r="M150" s="59"/>
      <c r="N150" s="59"/>
      <c r="O150" s="120"/>
    </row>
    <row r="151" spans="2:15" ht="15" thickTop="1" x14ac:dyDescent="0.3">
      <c r="B151" s="57" t="s">
        <v>98</v>
      </c>
      <c r="C151" s="2"/>
      <c r="D151" s="2"/>
      <c r="E151" s="65">
        <v>4717.13</v>
      </c>
      <c r="G151" s="57" t="s">
        <v>98</v>
      </c>
      <c r="H151" s="2"/>
      <c r="I151" s="2"/>
      <c r="J151" s="65">
        <v>4849.2700000000004</v>
      </c>
      <c r="L151" s="57" t="s">
        <v>98</v>
      </c>
      <c r="M151" s="2"/>
      <c r="N151" s="2"/>
      <c r="O151" s="65">
        <v>5281.4100000000008</v>
      </c>
    </row>
    <row r="152" spans="2:15" x14ac:dyDescent="0.3">
      <c r="B152" s="57" t="s">
        <v>101</v>
      </c>
      <c r="C152" s="2"/>
      <c r="D152" s="2"/>
      <c r="E152" s="66">
        <v>132.13999999999999</v>
      </c>
      <c r="G152" s="57" t="s">
        <v>101</v>
      </c>
      <c r="H152" s="2"/>
      <c r="I152" s="2"/>
      <c r="J152" s="66">
        <v>132.13999999999999</v>
      </c>
      <c r="L152" s="57" t="s">
        <v>101</v>
      </c>
      <c r="M152" s="2"/>
      <c r="N152" s="2"/>
      <c r="O152" s="66">
        <v>432.14</v>
      </c>
    </row>
    <row r="153" spans="2:15" ht="15" thickBot="1" x14ac:dyDescent="0.35">
      <c r="B153" s="70" t="s">
        <v>93</v>
      </c>
      <c r="C153" s="69"/>
      <c r="D153" s="60"/>
      <c r="E153" s="68">
        <v>2092.87</v>
      </c>
      <c r="G153" s="70" t="s">
        <v>93</v>
      </c>
      <c r="H153" s="69"/>
      <c r="I153" s="60"/>
      <c r="J153" s="68">
        <v>1960.7299999999996</v>
      </c>
      <c r="L153" s="70" t="s">
        <v>93</v>
      </c>
      <c r="M153" s="69"/>
      <c r="N153" s="60"/>
      <c r="O153" s="68">
        <v>2028.5899999999992</v>
      </c>
    </row>
    <row r="154" spans="2:15" ht="15" thickTop="1" x14ac:dyDescent="0.3">
      <c r="B154" s="57" t="s">
        <v>99</v>
      </c>
      <c r="C154" s="2"/>
      <c r="D154" s="2"/>
      <c r="E154" s="65">
        <v>318</v>
      </c>
      <c r="G154" s="57" t="s">
        <v>99</v>
      </c>
      <c r="H154" s="2"/>
      <c r="I154" s="2"/>
      <c r="J154" s="65">
        <v>363</v>
      </c>
      <c r="L154" s="57" t="s">
        <v>99</v>
      </c>
      <c r="M154" s="2"/>
      <c r="N154" s="2"/>
      <c r="O154" s="65">
        <v>412</v>
      </c>
    </row>
    <row r="155" spans="2:15" x14ac:dyDescent="0.3">
      <c r="B155" s="57" t="s">
        <v>103</v>
      </c>
      <c r="C155" s="2"/>
      <c r="D155" s="2"/>
      <c r="E155" s="66">
        <v>36</v>
      </c>
      <c r="G155" s="57" t="s">
        <v>103</v>
      </c>
      <c r="H155" s="2"/>
      <c r="I155" s="2"/>
      <c r="J155" s="66">
        <v>45</v>
      </c>
      <c r="L155" s="57" t="s">
        <v>103</v>
      </c>
      <c r="M155" s="2"/>
      <c r="N155" s="2"/>
      <c r="O155" s="66">
        <v>49</v>
      </c>
    </row>
    <row r="156" spans="2:15" ht="15" thickBot="1" x14ac:dyDescent="0.35">
      <c r="B156" s="70" t="s">
        <v>95</v>
      </c>
      <c r="C156" s="60"/>
      <c r="D156" s="60"/>
      <c r="E156" s="68">
        <v>176</v>
      </c>
      <c r="G156" s="70" t="s">
        <v>95</v>
      </c>
      <c r="H156" s="60"/>
      <c r="I156" s="60"/>
      <c r="J156" s="68">
        <v>131</v>
      </c>
      <c r="L156" s="70" t="s">
        <v>95</v>
      </c>
      <c r="M156" s="60"/>
      <c r="N156" s="60"/>
      <c r="O156" s="68">
        <v>102</v>
      </c>
    </row>
    <row r="157" spans="2:15" ht="15.6" thickTop="1" thickBot="1" x14ac:dyDescent="0.35">
      <c r="B157" s="58" t="s">
        <v>210</v>
      </c>
      <c r="C157" s="123"/>
      <c r="D157" s="59"/>
      <c r="E157" s="127"/>
      <c r="G157" s="58" t="s">
        <v>210</v>
      </c>
      <c r="H157" s="123"/>
      <c r="I157" s="59"/>
      <c r="J157" s="127"/>
      <c r="L157" s="58" t="s">
        <v>210</v>
      </c>
      <c r="M157" s="123"/>
      <c r="N157" s="59"/>
      <c r="O157" s="127"/>
    </row>
    <row r="158" spans="2:15" ht="15" thickTop="1" x14ac:dyDescent="0.3">
      <c r="B158" s="57" t="s">
        <v>211</v>
      </c>
      <c r="C158" s="115"/>
      <c r="D158" s="2"/>
      <c r="E158" s="67">
        <v>11.5</v>
      </c>
      <c r="G158" s="57" t="s">
        <v>211</v>
      </c>
      <c r="H158" s="115"/>
      <c r="I158" s="2"/>
      <c r="J158" s="67">
        <v>11.5</v>
      </c>
      <c r="L158" s="57" t="s">
        <v>211</v>
      </c>
      <c r="M158" s="115"/>
      <c r="N158" s="2"/>
      <c r="O158" s="67">
        <v>11.5</v>
      </c>
    </row>
    <row r="159" spans="2:15" x14ac:dyDescent="0.3">
      <c r="B159" s="57" t="s">
        <v>228</v>
      </c>
      <c r="C159" s="124"/>
      <c r="D159" s="125"/>
      <c r="E159" s="65">
        <v>250</v>
      </c>
      <c r="G159" s="57" t="s">
        <v>228</v>
      </c>
      <c r="H159" s="124"/>
      <c r="I159" s="125"/>
      <c r="J159" s="65">
        <v>250</v>
      </c>
      <c r="L159" s="57" t="s">
        <v>228</v>
      </c>
      <c r="M159" s="124"/>
      <c r="N159" s="125"/>
      <c r="O159" s="65">
        <v>250</v>
      </c>
    </row>
    <row r="160" spans="2:15" x14ac:dyDescent="0.3">
      <c r="B160" s="57" t="s">
        <v>227</v>
      </c>
      <c r="C160" s="124"/>
      <c r="D160" s="125"/>
      <c r="E160" s="65">
        <v>0</v>
      </c>
      <c r="G160" s="57" t="s">
        <v>227</v>
      </c>
      <c r="H160" s="124"/>
      <c r="I160" s="125"/>
      <c r="J160" s="65">
        <v>0</v>
      </c>
      <c r="L160" s="57" t="s">
        <v>227</v>
      </c>
      <c r="M160" s="124"/>
      <c r="N160" s="125"/>
      <c r="O160" s="65">
        <v>10</v>
      </c>
    </row>
    <row r="161" spans="2:15" x14ac:dyDescent="0.3">
      <c r="B161" s="57" t="s">
        <v>91</v>
      </c>
      <c r="C161" s="2"/>
      <c r="D161" s="2"/>
      <c r="E161" s="64">
        <v>1980</v>
      </c>
      <c r="G161" s="57" t="s">
        <v>91</v>
      </c>
      <c r="H161" s="2"/>
      <c r="I161" s="2"/>
      <c r="J161" s="64">
        <v>2110</v>
      </c>
      <c r="L161" s="57" t="s">
        <v>91</v>
      </c>
      <c r="M161" s="2"/>
      <c r="N161" s="2"/>
      <c r="O161" s="64">
        <v>2240</v>
      </c>
    </row>
    <row r="162" spans="2:15" x14ac:dyDescent="0.3">
      <c r="B162" s="57" t="s">
        <v>97</v>
      </c>
      <c r="C162" s="2"/>
      <c r="D162" s="2"/>
      <c r="E162" s="63">
        <v>152.30769230769232</v>
      </c>
      <c r="G162" s="57" t="s">
        <v>97</v>
      </c>
      <c r="H162" s="2"/>
      <c r="I162" s="2"/>
      <c r="J162" s="63">
        <v>162.30769230769232</v>
      </c>
      <c r="L162" s="57" t="s">
        <v>97</v>
      </c>
      <c r="M162" s="2"/>
      <c r="N162" s="2"/>
      <c r="O162" s="63">
        <v>172.30769230769232</v>
      </c>
    </row>
    <row r="163" spans="2:15" x14ac:dyDescent="0.3">
      <c r="B163" s="57" t="s">
        <v>218</v>
      </c>
      <c r="C163" s="2"/>
      <c r="D163" s="2"/>
      <c r="E163" s="64">
        <v>255.5</v>
      </c>
      <c r="G163" s="57" t="s">
        <v>218</v>
      </c>
      <c r="H163" s="2"/>
      <c r="I163" s="2"/>
      <c r="J163" s="64">
        <v>255.5</v>
      </c>
      <c r="L163" s="57" t="s">
        <v>218</v>
      </c>
      <c r="M163" s="2"/>
      <c r="N163" s="2"/>
      <c r="O163" s="64">
        <v>265.5</v>
      </c>
    </row>
    <row r="164" spans="2:15" ht="15" thickBot="1" x14ac:dyDescent="0.35">
      <c r="B164" s="57" t="s">
        <v>94</v>
      </c>
      <c r="C164" s="2"/>
      <c r="D164" s="126"/>
      <c r="E164" s="131">
        <v>5.65</v>
      </c>
      <c r="G164" s="57" t="s">
        <v>94</v>
      </c>
      <c r="H164" s="2"/>
      <c r="I164" s="126"/>
      <c r="J164" s="131">
        <v>312.78999999999996</v>
      </c>
      <c r="L164" s="57" t="s">
        <v>94</v>
      </c>
      <c r="M164" s="2"/>
      <c r="N164" s="126"/>
      <c r="O164" s="131">
        <v>323.93</v>
      </c>
    </row>
    <row r="165" spans="2:15" ht="15.6" thickTop="1" thickBot="1" x14ac:dyDescent="0.35">
      <c r="B165" s="61" t="s">
        <v>92</v>
      </c>
      <c r="C165" s="62"/>
      <c r="D165" s="128"/>
      <c r="E165" s="129">
        <v>2241.15</v>
      </c>
      <c r="G165" s="61" t="s">
        <v>92</v>
      </c>
      <c r="H165" s="62"/>
      <c r="I165" s="128"/>
      <c r="J165" s="129">
        <v>2404.5199999999995</v>
      </c>
      <c r="L165" s="61" t="s">
        <v>92</v>
      </c>
      <c r="M165" s="62"/>
      <c r="N165" s="128"/>
      <c r="O165" s="129">
        <v>2829.43</v>
      </c>
    </row>
    <row r="166" spans="2:15" ht="15.6" thickTop="1" thickBot="1" x14ac:dyDescent="0.35">
      <c r="B166" s="61" t="s">
        <v>96</v>
      </c>
      <c r="C166" s="62"/>
      <c r="D166" s="128"/>
      <c r="E166" s="140">
        <v>2274.52</v>
      </c>
      <c r="G166" s="61" t="s">
        <v>96</v>
      </c>
      <c r="H166" s="62"/>
      <c r="I166" s="128"/>
      <c r="J166" s="140">
        <v>2365.5</v>
      </c>
      <c r="L166" s="61" t="s">
        <v>96</v>
      </c>
      <c r="M166" s="62"/>
      <c r="N166" s="128"/>
      <c r="O166" s="140">
        <v>2720.0199999999991</v>
      </c>
    </row>
    <row r="167" spans="2:15" ht="15.6" thickTop="1" thickBot="1" x14ac:dyDescent="0.35"/>
    <row r="168" spans="2:15" ht="15.6" thickTop="1" thickBot="1" x14ac:dyDescent="0.35">
      <c r="B168" s="371" t="s">
        <v>90</v>
      </c>
      <c r="C168" s="398"/>
      <c r="D168" s="372"/>
      <c r="E168" s="72">
        <v>44788</v>
      </c>
      <c r="G168" s="371" t="s">
        <v>90</v>
      </c>
      <c r="H168" s="398"/>
      <c r="I168" s="372"/>
      <c r="J168" s="72">
        <v>44788</v>
      </c>
      <c r="L168" s="371" t="s">
        <v>90</v>
      </c>
      <c r="M168" s="398"/>
      <c r="N168" s="372"/>
      <c r="O168" s="72">
        <v>44788</v>
      </c>
    </row>
    <row r="169" spans="2:15" ht="15.6" thickTop="1" thickBot="1" x14ac:dyDescent="0.35">
      <c r="B169" s="375"/>
      <c r="C169" s="399"/>
      <c r="D169" s="376"/>
      <c r="E169" s="72">
        <v>45337</v>
      </c>
      <c r="G169" s="375"/>
      <c r="H169" s="399"/>
      <c r="I169" s="376"/>
      <c r="J169" s="72">
        <v>45366</v>
      </c>
      <c r="L169" s="375"/>
      <c r="M169" s="399"/>
      <c r="N169" s="376"/>
      <c r="O169" s="72">
        <v>45397</v>
      </c>
    </row>
    <row r="170" spans="2:15" ht="15.6" thickTop="1" thickBot="1" x14ac:dyDescent="0.35">
      <c r="B170" s="57" t="s">
        <v>89</v>
      </c>
      <c r="C170" s="2"/>
      <c r="D170" s="2"/>
      <c r="E170" s="114">
        <v>2470</v>
      </c>
      <c r="G170" s="57" t="s">
        <v>89</v>
      </c>
      <c r="H170" s="2"/>
      <c r="I170" s="2"/>
      <c r="J170" s="114">
        <v>2600</v>
      </c>
      <c r="L170" s="57" t="s">
        <v>89</v>
      </c>
      <c r="M170" s="2"/>
      <c r="N170" s="2"/>
      <c r="O170" s="114">
        <v>2730</v>
      </c>
    </row>
    <row r="171" spans="2:15" ht="15.6" thickTop="1" thickBot="1" x14ac:dyDescent="0.35">
      <c r="B171" s="58" t="s">
        <v>162</v>
      </c>
      <c r="C171" s="59"/>
      <c r="D171" s="59"/>
      <c r="E171" s="120"/>
      <c r="G171" s="58" t="s">
        <v>162</v>
      </c>
      <c r="H171" s="59"/>
      <c r="I171" s="59"/>
      <c r="J171" s="120"/>
      <c r="L171" s="58" t="s">
        <v>162</v>
      </c>
      <c r="M171" s="59"/>
      <c r="N171" s="59"/>
      <c r="O171" s="120"/>
    </row>
    <row r="172" spans="2:15" ht="15" thickTop="1" x14ac:dyDescent="0.3">
      <c r="B172" s="118" t="s">
        <v>207</v>
      </c>
      <c r="C172" s="2"/>
      <c r="D172" s="2"/>
      <c r="E172" s="113">
        <v>8010</v>
      </c>
      <c r="G172" s="118" t="s">
        <v>207</v>
      </c>
      <c r="H172" s="2"/>
      <c r="I172" s="2"/>
      <c r="J172" s="113">
        <v>10210</v>
      </c>
      <c r="L172" s="118" t="s">
        <v>207</v>
      </c>
      <c r="M172" s="2"/>
      <c r="N172" s="2"/>
      <c r="O172" s="113">
        <v>10360</v>
      </c>
    </row>
    <row r="173" spans="2:15" x14ac:dyDescent="0.3">
      <c r="B173" s="119" t="s">
        <v>208</v>
      </c>
      <c r="C173" s="2"/>
      <c r="D173" s="2"/>
      <c r="E173" s="65">
        <v>100</v>
      </c>
      <c r="G173" s="119" t="s">
        <v>208</v>
      </c>
      <c r="H173" s="2"/>
      <c r="I173" s="2"/>
      <c r="J173" s="65">
        <v>100</v>
      </c>
      <c r="L173" s="119" t="s">
        <v>208</v>
      </c>
      <c r="M173" s="2"/>
      <c r="N173" s="2"/>
      <c r="O173" s="65">
        <v>200</v>
      </c>
    </row>
    <row r="174" spans="2:15" x14ac:dyDescent="0.3">
      <c r="B174" s="57" t="s">
        <v>100</v>
      </c>
      <c r="C174" s="2"/>
      <c r="D174" s="2"/>
      <c r="E174" s="66">
        <v>600</v>
      </c>
      <c r="G174" s="57" t="s">
        <v>100</v>
      </c>
      <c r="H174" s="2"/>
      <c r="I174" s="2"/>
      <c r="J174" s="66">
        <v>2100</v>
      </c>
      <c r="L174" s="57" t="s">
        <v>100</v>
      </c>
      <c r="M174" s="2"/>
      <c r="N174" s="2"/>
      <c r="O174" s="66">
        <v>150</v>
      </c>
    </row>
    <row r="175" spans="2:15" x14ac:dyDescent="0.3">
      <c r="B175" s="119" t="s">
        <v>209</v>
      </c>
      <c r="C175" s="2"/>
      <c r="D175" s="2"/>
      <c r="E175" s="121">
        <v>584</v>
      </c>
      <c r="G175" s="119" t="s">
        <v>209</v>
      </c>
      <c r="H175" s="2"/>
      <c r="I175" s="2"/>
      <c r="J175" s="121">
        <v>978</v>
      </c>
      <c r="L175" s="119" t="s">
        <v>209</v>
      </c>
      <c r="M175" s="2"/>
      <c r="N175" s="2"/>
      <c r="O175" s="121">
        <v>987</v>
      </c>
    </row>
    <row r="176" spans="2:15" ht="15" thickBot="1" x14ac:dyDescent="0.35">
      <c r="B176" s="57" t="s">
        <v>102</v>
      </c>
      <c r="C176" s="2"/>
      <c r="D176" s="2"/>
      <c r="E176" s="66">
        <v>60</v>
      </c>
      <c r="G176" s="57" t="s">
        <v>102</v>
      </c>
      <c r="H176" s="2"/>
      <c r="I176" s="2"/>
      <c r="J176" s="66">
        <v>386</v>
      </c>
      <c r="L176" s="57" t="s">
        <v>102</v>
      </c>
      <c r="M176" s="2"/>
      <c r="N176" s="2"/>
      <c r="O176" s="66">
        <v>9</v>
      </c>
    </row>
    <row r="177" spans="2:15" ht="15.6" thickTop="1" thickBot="1" x14ac:dyDescent="0.35">
      <c r="B177" s="122" t="s">
        <v>39</v>
      </c>
      <c r="C177" s="59"/>
      <c r="D177" s="59"/>
      <c r="E177" s="120"/>
      <c r="G177" s="122" t="s">
        <v>39</v>
      </c>
      <c r="H177" s="59"/>
      <c r="I177" s="59"/>
      <c r="J177" s="120"/>
      <c r="L177" s="122" t="s">
        <v>39</v>
      </c>
      <c r="M177" s="59"/>
      <c r="N177" s="59"/>
      <c r="O177" s="120"/>
    </row>
    <row r="178" spans="2:15" ht="15" thickTop="1" x14ac:dyDescent="0.3">
      <c r="B178" s="57" t="s">
        <v>98</v>
      </c>
      <c r="C178" s="2"/>
      <c r="D178" s="2"/>
      <c r="E178" s="65">
        <v>5938.5500000000011</v>
      </c>
      <c r="G178" s="57" t="s">
        <v>98</v>
      </c>
      <c r="H178" s="2"/>
      <c r="I178" s="2"/>
      <c r="J178" s="65">
        <v>7440.6900000000014</v>
      </c>
      <c r="L178" s="57" t="s">
        <v>98</v>
      </c>
      <c r="M178" s="2"/>
      <c r="N178" s="2"/>
      <c r="O178" s="65">
        <v>7912.8300000000017</v>
      </c>
    </row>
    <row r="179" spans="2:15" x14ac:dyDescent="0.3">
      <c r="B179" s="57" t="s">
        <v>101</v>
      </c>
      <c r="C179" s="2"/>
      <c r="D179" s="2"/>
      <c r="E179" s="66">
        <v>657.14</v>
      </c>
      <c r="G179" s="57" t="s">
        <v>101</v>
      </c>
      <c r="H179" s="2"/>
      <c r="I179" s="2"/>
      <c r="J179" s="66">
        <v>1502.1399999999999</v>
      </c>
      <c r="L179" s="57" t="s">
        <v>101</v>
      </c>
      <c r="M179" s="2"/>
      <c r="N179" s="2"/>
      <c r="O179" s="66">
        <v>472.14</v>
      </c>
    </row>
    <row r="180" spans="2:15" ht="15" thickBot="1" x14ac:dyDescent="0.35">
      <c r="B180" s="70" t="s">
        <v>93</v>
      </c>
      <c r="C180" s="69"/>
      <c r="D180" s="60"/>
      <c r="E180" s="68">
        <v>2071.4499999999989</v>
      </c>
      <c r="G180" s="70" t="s">
        <v>93</v>
      </c>
      <c r="H180" s="69"/>
      <c r="I180" s="60"/>
      <c r="J180" s="68">
        <v>2769.3099999999986</v>
      </c>
      <c r="L180" s="70" t="s">
        <v>93</v>
      </c>
      <c r="M180" s="69"/>
      <c r="N180" s="60"/>
      <c r="O180" s="68">
        <v>2447.1699999999983</v>
      </c>
    </row>
    <row r="181" spans="2:15" ht="15" thickTop="1" x14ac:dyDescent="0.3">
      <c r="B181" s="57" t="s">
        <v>99</v>
      </c>
      <c r="C181" s="2"/>
      <c r="D181" s="2"/>
      <c r="E181" s="65">
        <v>458</v>
      </c>
      <c r="G181" s="57" t="s">
        <v>99</v>
      </c>
      <c r="H181" s="2"/>
      <c r="I181" s="2"/>
      <c r="J181" s="65">
        <v>506</v>
      </c>
      <c r="L181" s="57" t="s">
        <v>99</v>
      </c>
      <c r="M181" s="2"/>
      <c r="N181" s="2"/>
      <c r="O181" s="65">
        <v>570</v>
      </c>
    </row>
    <row r="182" spans="2:15" x14ac:dyDescent="0.3">
      <c r="B182" s="57" t="s">
        <v>103</v>
      </c>
      <c r="C182" s="2"/>
      <c r="D182" s="2"/>
      <c r="E182" s="66">
        <v>46</v>
      </c>
      <c r="G182" s="57" t="s">
        <v>103</v>
      </c>
      <c r="H182" s="2"/>
      <c r="I182" s="2"/>
      <c r="J182" s="66">
        <v>48</v>
      </c>
      <c r="L182" s="57" t="s">
        <v>103</v>
      </c>
      <c r="M182" s="2"/>
      <c r="N182" s="2"/>
      <c r="O182" s="66">
        <v>64</v>
      </c>
    </row>
    <row r="183" spans="2:15" ht="15" thickBot="1" x14ac:dyDescent="0.35">
      <c r="B183" s="70" t="s">
        <v>95</v>
      </c>
      <c r="C183" s="60"/>
      <c r="D183" s="60"/>
      <c r="E183" s="68">
        <v>126</v>
      </c>
      <c r="G183" s="70" t="s">
        <v>95</v>
      </c>
      <c r="H183" s="60"/>
      <c r="I183" s="60"/>
      <c r="J183" s="68">
        <v>472</v>
      </c>
      <c r="L183" s="70" t="s">
        <v>95</v>
      </c>
      <c r="M183" s="60"/>
      <c r="N183" s="60"/>
      <c r="O183" s="68">
        <v>417</v>
      </c>
    </row>
    <row r="184" spans="2:15" ht="15.6" thickTop="1" thickBot="1" x14ac:dyDescent="0.35">
      <c r="B184" s="58" t="s">
        <v>210</v>
      </c>
      <c r="C184" s="123"/>
      <c r="D184" s="59"/>
      <c r="E184" s="127"/>
      <c r="G184" s="58" t="s">
        <v>210</v>
      </c>
      <c r="H184" s="123"/>
      <c r="I184" s="59"/>
      <c r="J184" s="127"/>
      <c r="L184" s="58" t="s">
        <v>210</v>
      </c>
      <c r="M184" s="123"/>
      <c r="N184" s="59"/>
      <c r="O184" s="127"/>
    </row>
    <row r="185" spans="2:15" ht="15" thickTop="1" x14ac:dyDescent="0.3">
      <c r="B185" s="57" t="s">
        <v>211</v>
      </c>
      <c r="C185" s="115"/>
      <c r="D185" s="2"/>
      <c r="E185" s="67">
        <v>19.5</v>
      </c>
      <c r="G185" s="57" t="s">
        <v>211</v>
      </c>
      <c r="H185" s="115"/>
      <c r="I185" s="2"/>
      <c r="J185" s="67">
        <v>19.5</v>
      </c>
      <c r="L185" s="57" t="s">
        <v>211</v>
      </c>
      <c r="M185" s="115"/>
      <c r="N185" s="2"/>
      <c r="O185" s="67">
        <v>19.5</v>
      </c>
    </row>
    <row r="186" spans="2:15" x14ac:dyDescent="0.3">
      <c r="B186" s="57" t="s">
        <v>228</v>
      </c>
      <c r="C186" s="124"/>
      <c r="D186" s="125"/>
      <c r="E186" s="65">
        <v>250</v>
      </c>
      <c r="G186" s="57" t="s">
        <v>228</v>
      </c>
      <c r="H186" s="124"/>
      <c r="I186" s="125"/>
      <c r="J186" s="65">
        <v>250</v>
      </c>
      <c r="L186" s="57" t="s">
        <v>228</v>
      </c>
      <c r="M186" s="124"/>
      <c r="N186" s="125"/>
      <c r="O186" s="65">
        <v>250</v>
      </c>
    </row>
    <row r="187" spans="2:15" x14ac:dyDescent="0.3">
      <c r="B187" s="57" t="s">
        <v>227</v>
      </c>
      <c r="C187" s="124"/>
      <c r="D187" s="125"/>
      <c r="E187" s="65">
        <v>10</v>
      </c>
      <c r="G187" s="57" t="s">
        <v>227</v>
      </c>
      <c r="H187" s="124"/>
      <c r="I187" s="125"/>
      <c r="J187" s="65">
        <v>16</v>
      </c>
      <c r="L187" s="57" t="s">
        <v>227</v>
      </c>
      <c r="M187" s="124"/>
      <c r="N187" s="125"/>
      <c r="O187" s="65">
        <v>16</v>
      </c>
    </row>
    <row r="188" spans="2:15" x14ac:dyDescent="0.3">
      <c r="B188" s="57" t="s">
        <v>91</v>
      </c>
      <c r="C188" s="2"/>
      <c r="D188" s="2"/>
      <c r="E188" s="64">
        <v>2370</v>
      </c>
      <c r="G188" s="57" t="s">
        <v>91</v>
      </c>
      <c r="H188" s="2"/>
      <c r="I188" s="2"/>
      <c r="J188" s="64">
        <v>2500</v>
      </c>
      <c r="L188" s="57" t="s">
        <v>91</v>
      </c>
      <c r="M188" s="2"/>
      <c r="N188" s="2"/>
      <c r="O188" s="64">
        <v>2530</v>
      </c>
    </row>
    <row r="189" spans="2:15" x14ac:dyDescent="0.3">
      <c r="B189" s="57" t="s">
        <v>97</v>
      </c>
      <c r="C189" s="2"/>
      <c r="D189" s="2"/>
      <c r="E189" s="63">
        <v>182.30769230769232</v>
      </c>
      <c r="G189" s="57" t="s">
        <v>97</v>
      </c>
      <c r="H189" s="2"/>
      <c r="I189" s="2"/>
      <c r="J189" s="63">
        <v>192.30769230769232</v>
      </c>
      <c r="L189" s="57" t="s">
        <v>97</v>
      </c>
      <c r="M189" s="2"/>
      <c r="N189" s="2"/>
      <c r="O189" s="63">
        <v>194.61538461538461</v>
      </c>
    </row>
    <row r="190" spans="2:15" x14ac:dyDescent="0.3">
      <c r="B190" s="57" t="s">
        <v>218</v>
      </c>
      <c r="C190" s="2"/>
      <c r="D190" s="2"/>
      <c r="E190" s="64">
        <v>343.5</v>
      </c>
      <c r="G190" s="57" t="s">
        <v>218</v>
      </c>
      <c r="H190" s="2"/>
      <c r="I190" s="2"/>
      <c r="J190" s="64">
        <v>731.5</v>
      </c>
      <c r="L190" s="57" t="s">
        <v>218</v>
      </c>
      <c r="M190" s="2"/>
      <c r="N190" s="2"/>
      <c r="O190" s="64">
        <v>740.5</v>
      </c>
    </row>
    <row r="191" spans="2:15" ht="15" thickBot="1" x14ac:dyDescent="0.35">
      <c r="B191" s="57" t="s">
        <v>94</v>
      </c>
      <c r="C191" s="2"/>
      <c r="D191" s="126"/>
      <c r="E191" s="131">
        <v>465.07</v>
      </c>
      <c r="G191" s="57" t="s">
        <v>94</v>
      </c>
      <c r="H191" s="2"/>
      <c r="I191" s="126"/>
      <c r="J191" s="131">
        <v>45.21</v>
      </c>
      <c r="L191" s="57" t="s">
        <v>94</v>
      </c>
      <c r="M191" s="2"/>
      <c r="N191" s="126"/>
      <c r="O191" s="131">
        <v>461.35</v>
      </c>
    </row>
    <row r="192" spans="2:15" ht="15.6" thickTop="1" thickBot="1" x14ac:dyDescent="0.35">
      <c r="B192" s="61" t="s">
        <v>92</v>
      </c>
      <c r="C192" s="62"/>
      <c r="D192" s="128"/>
      <c r="E192" s="129">
        <v>3178.57</v>
      </c>
      <c r="G192" s="61" t="s">
        <v>92</v>
      </c>
      <c r="H192" s="62"/>
      <c r="I192" s="128"/>
      <c r="J192" s="129">
        <v>3276.71</v>
      </c>
      <c r="L192" s="61" t="s">
        <v>92</v>
      </c>
      <c r="M192" s="62"/>
      <c r="N192" s="128"/>
      <c r="O192" s="129">
        <v>3731.85</v>
      </c>
    </row>
    <row r="193" spans="2:15" ht="15.6" thickTop="1" thickBot="1" x14ac:dyDescent="0.35">
      <c r="B193" s="61" t="s">
        <v>96</v>
      </c>
      <c r="C193" s="62"/>
      <c r="D193" s="128"/>
      <c r="E193" s="140">
        <v>3006.0199999999991</v>
      </c>
      <c r="G193" s="61" t="s">
        <v>96</v>
      </c>
      <c r="H193" s="62"/>
      <c r="I193" s="128"/>
      <c r="J193" s="140">
        <v>4018.0199999999986</v>
      </c>
      <c r="L193" s="61" t="s">
        <v>96</v>
      </c>
      <c r="M193" s="62"/>
      <c r="N193" s="128"/>
      <c r="O193" s="140">
        <v>3604.6699999999983</v>
      </c>
    </row>
    <row r="194" spans="2:15" ht="15.6" thickTop="1" thickBot="1" x14ac:dyDescent="0.35"/>
    <row r="195" spans="2:15" ht="15.6" thickTop="1" thickBot="1" x14ac:dyDescent="0.35">
      <c r="B195" s="371" t="s">
        <v>90</v>
      </c>
      <c r="C195" s="398"/>
      <c r="D195" s="372"/>
      <c r="E195" s="72">
        <v>44788</v>
      </c>
      <c r="G195" s="371" t="s">
        <v>90</v>
      </c>
      <c r="H195" s="398"/>
      <c r="I195" s="372"/>
      <c r="J195" s="72">
        <v>44788</v>
      </c>
      <c r="L195" s="371" t="s">
        <v>90</v>
      </c>
      <c r="M195" s="398"/>
      <c r="N195" s="372"/>
      <c r="O195" s="72">
        <v>44788</v>
      </c>
    </row>
    <row r="196" spans="2:15" ht="15.6" thickTop="1" thickBot="1" x14ac:dyDescent="0.35">
      <c r="B196" s="375"/>
      <c r="C196" s="399"/>
      <c r="D196" s="376"/>
      <c r="E196" s="72">
        <v>45427</v>
      </c>
      <c r="G196" s="375"/>
      <c r="H196" s="399"/>
      <c r="I196" s="376"/>
      <c r="J196" s="72">
        <v>45458</v>
      </c>
      <c r="L196" s="375"/>
      <c r="M196" s="399"/>
      <c r="N196" s="376"/>
      <c r="O196" s="72">
        <v>45488</v>
      </c>
    </row>
    <row r="197" spans="2:15" ht="15.6" thickTop="1" thickBot="1" x14ac:dyDescent="0.35">
      <c r="B197" s="57" t="s">
        <v>89</v>
      </c>
      <c r="C197" s="2"/>
      <c r="D197" s="2"/>
      <c r="E197" s="114">
        <v>2860</v>
      </c>
      <c r="G197" s="57" t="s">
        <v>89</v>
      </c>
      <c r="H197" s="2"/>
      <c r="I197" s="2"/>
      <c r="J197" s="114">
        <v>2990</v>
      </c>
      <c r="L197" s="57" t="s">
        <v>89</v>
      </c>
      <c r="M197" s="2"/>
      <c r="N197" s="2"/>
      <c r="O197" s="114">
        <v>3120</v>
      </c>
    </row>
    <row r="198" spans="2:15" ht="15.6" thickTop="1" thickBot="1" x14ac:dyDescent="0.35">
      <c r="B198" s="58" t="s">
        <v>162</v>
      </c>
      <c r="C198" s="59"/>
      <c r="D198" s="59"/>
      <c r="E198" s="120"/>
      <c r="G198" s="58" t="s">
        <v>162</v>
      </c>
      <c r="H198" s="59"/>
      <c r="I198" s="59"/>
      <c r="J198" s="120"/>
      <c r="L198" s="58" t="s">
        <v>162</v>
      </c>
      <c r="M198" s="59"/>
      <c r="N198" s="59"/>
      <c r="O198" s="120"/>
    </row>
    <row r="199" spans="2:15" ht="15" thickTop="1" x14ac:dyDescent="0.3">
      <c r="B199" s="118" t="s">
        <v>207</v>
      </c>
      <c r="C199" s="2"/>
      <c r="D199" s="2"/>
      <c r="E199" s="113">
        <v>11360</v>
      </c>
      <c r="G199" s="118" t="s">
        <v>207</v>
      </c>
      <c r="H199" s="2"/>
      <c r="I199" s="2"/>
      <c r="J199" s="113">
        <v>12360</v>
      </c>
      <c r="L199" s="118" t="s">
        <v>207</v>
      </c>
      <c r="M199" s="2"/>
      <c r="N199" s="2"/>
      <c r="O199" s="113">
        <v>13360</v>
      </c>
    </row>
    <row r="200" spans="2:15" x14ac:dyDescent="0.3">
      <c r="B200" s="119" t="s">
        <v>208</v>
      </c>
      <c r="C200" s="2"/>
      <c r="D200" s="2"/>
      <c r="E200" s="65">
        <v>200</v>
      </c>
      <c r="G200" s="119" t="s">
        <v>208</v>
      </c>
      <c r="H200" s="2"/>
      <c r="I200" s="2"/>
      <c r="J200" s="65">
        <v>200</v>
      </c>
      <c r="L200" s="119" t="s">
        <v>208</v>
      </c>
      <c r="M200" s="2"/>
      <c r="N200" s="2"/>
      <c r="O200" s="65">
        <v>200</v>
      </c>
    </row>
    <row r="201" spans="2:15" x14ac:dyDescent="0.3">
      <c r="B201" s="57" t="s">
        <v>100</v>
      </c>
      <c r="C201" s="2"/>
      <c r="D201" s="2"/>
      <c r="E201" s="66">
        <v>1000</v>
      </c>
      <c r="G201" s="57" t="s">
        <v>100</v>
      </c>
      <c r="H201" s="2"/>
      <c r="I201" s="2"/>
      <c r="J201" s="66">
        <v>1000</v>
      </c>
      <c r="L201" s="57" t="s">
        <v>100</v>
      </c>
      <c r="M201" s="2"/>
      <c r="N201" s="2"/>
      <c r="O201" s="66">
        <v>1000</v>
      </c>
    </row>
    <row r="202" spans="2:15" x14ac:dyDescent="0.3">
      <c r="B202" s="119" t="s">
        <v>209</v>
      </c>
      <c r="C202" s="2"/>
      <c r="D202" s="2"/>
      <c r="E202" s="121">
        <v>1103</v>
      </c>
      <c r="G202" s="119" t="s">
        <v>209</v>
      </c>
      <c r="H202" s="2"/>
      <c r="I202" s="2"/>
      <c r="J202" s="121">
        <v>1191</v>
      </c>
      <c r="L202" s="119" t="s">
        <v>209</v>
      </c>
      <c r="M202" s="2"/>
      <c r="N202" s="2"/>
      <c r="O202" s="121">
        <v>1361</v>
      </c>
    </row>
    <row r="203" spans="2:15" ht="15" thickBot="1" x14ac:dyDescent="0.35">
      <c r="B203" s="57" t="s">
        <v>102</v>
      </c>
      <c r="C203" s="2"/>
      <c r="D203" s="2"/>
      <c r="E203" s="66">
        <v>116</v>
      </c>
      <c r="G203" s="57" t="s">
        <v>102</v>
      </c>
      <c r="H203" s="2"/>
      <c r="I203" s="2"/>
      <c r="J203" s="66">
        <v>88</v>
      </c>
      <c r="L203" s="57" t="s">
        <v>102</v>
      </c>
      <c r="M203" s="2"/>
      <c r="N203" s="2"/>
      <c r="O203" s="66">
        <v>170</v>
      </c>
    </row>
    <row r="204" spans="2:15" ht="15.6" thickTop="1" thickBot="1" x14ac:dyDescent="0.35">
      <c r="B204" s="122" t="s">
        <v>39</v>
      </c>
      <c r="C204" s="59"/>
      <c r="D204" s="59"/>
      <c r="E204" s="120"/>
      <c r="G204" s="122" t="s">
        <v>39</v>
      </c>
      <c r="H204" s="59"/>
      <c r="I204" s="59"/>
      <c r="J204" s="120"/>
      <c r="L204" s="122" t="s">
        <v>39</v>
      </c>
      <c r="M204" s="59"/>
      <c r="N204" s="59"/>
      <c r="O204" s="120"/>
    </row>
    <row r="205" spans="2:15" ht="15" thickTop="1" x14ac:dyDescent="0.3">
      <c r="B205" s="57" t="s">
        <v>98</v>
      </c>
      <c r="C205" s="2"/>
      <c r="D205" s="2"/>
      <c r="E205" s="65">
        <v>8384.9700000000012</v>
      </c>
      <c r="G205" s="57" t="s">
        <v>98</v>
      </c>
      <c r="H205" s="2"/>
      <c r="I205" s="2"/>
      <c r="J205" s="65">
        <v>9085.6700000000019</v>
      </c>
      <c r="L205" s="57" t="s">
        <v>98</v>
      </c>
      <c r="M205" s="2"/>
      <c r="N205" s="2"/>
      <c r="O205" s="65">
        <v>9951.3700000000026</v>
      </c>
    </row>
    <row r="206" spans="2:15" x14ac:dyDescent="0.3">
      <c r="B206" s="57" t="s">
        <v>101</v>
      </c>
      <c r="C206" s="2"/>
      <c r="D206" s="2"/>
      <c r="E206" s="66">
        <v>472.14</v>
      </c>
      <c r="G206" s="57" t="s">
        <v>101</v>
      </c>
      <c r="H206" s="2"/>
      <c r="I206" s="2"/>
      <c r="J206" s="66">
        <v>700.7</v>
      </c>
      <c r="L206" s="57" t="s">
        <v>101</v>
      </c>
      <c r="M206" s="2"/>
      <c r="N206" s="2"/>
      <c r="O206" s="66">
        <v>865.7</v>
      </c>
    </row>
    <row r="207" spans="2:15" ht="15" thickBot="1" x14ac:dyDescent="0.35">
      <c r="B207" s="70" t="s">
        <v>93</v>
      </c>
      <c r="C207" s="69"/>
      <c r="D207" s="60"/>
      <c r="E207" s="68">
        <v>2975.0299999999988</v>
      </c>
      <c r="G207" s="70" t="s">
        <v>93</v>
      </c>
      <c r="H207" s="69"/>
      <c r="I207" s="60"/>
      <c r="J207" s="68">
        <v>3274.3299999999981</v>
      </c>
      <c r="L207" s="70" t="s">
        <v>93</v>
      </c>
      <c r="M207" s="69"/>
      <c r="N207" s="60"/>
      <c r="O207" s="68">
        <v>3408.6299999999974</v>
      </c>
    </row>
    <row r="208" spans="2:15" ht="15" thickTop="1" x14ac:dyDescent="0.3">
      <c r="B208" s="57" t="s">
        <v>99</v>
      </c>
      <c r="C208" s="2"/>
      <c r="D208" s="2"/>
      <c r="E208" s="65">
        <v>634</v>
      </c>
      <c r="G208" s="57" t="s">
        <v>99</v>
      </c>
      <c r="H208" s="2"/>
      <c r="I208" s="2"/>
      <c r="J208" s="65">
        <v>710</v>
      </c>
      <c r="L208" s="57" t="s">
        <v>99</v>
      </c>
      <c r="M208" s="2"/>
      <c r="N208" s="2"/>
      <c r="O208" s="65">
        <v>805</v>
      </c>
    </row>
    <row r="209" spans="2:15" x14ac:dyDescent="0.3">
      <c r="B209" s="57" t="s">
        <v>103</v>
      </c>
      <c r="C209" s="2"/>
      <c r="D209" s="2"/>
      <c r="E209" s="66">
        <v>64</v>
      </c>
      <c r="G209" s="57" t="s">
        <v>103</v>
      </c>
      <c r="H209" s="2"/>
      <c r="I209" s="2"/>
      <c r="J209" s="66">
        <v>76</v>
      </c>
      <c r="L209" s="57" t="s">
        <v>103</v>
      </c>
      <c r="M209" s="2"/>
      <c r="N209" s="2"/>
      <c r="O209" s="66">
        <v>95</v>
      </c>
    </row>
    <row r="210" spans="2:15" ht="15" thickBot="1" x14ac:dyDescent="0.35">
      <c r="B210" s="70" t="s">
        <v>95</v>
      </c>
      <c r="C210" s="60"/>
      <c r="D210" s="60"/>
      <c r="E210" s="68">
        <v>469</v>
      </c>
      <c r="G210" s="70" t="s">
        <v>95</v>
      </c>
      <c r="H210" s="60"/>
      <c r="I210" s="60"/>
      <c r="J210" s="68">
        <v>481</v>
      </c>
      <c r="L210" s="70" t="s">
        <v>95</v>
      </c>
      <c r="M210" s="60"/>
      <c r="N210" s="60"/>
      <c r="O210" s="68">
        <v>556</v>
      </c>
    </row>
    <row r="211" spans="2:15" ht="15.6" thickTop="1" thickBot="1" x14ac:dyDescent="0.35">
      <c r="B211" s="58" t="s">
        <v>210</v>
      </c>
      <c r="C211" s="123"/>
      <c r="D211" s="59"/>
      <c r="E211" s="127"/>
      <c r="G211" s="58" t="s">
        <v>210</v>
      </c>
      <c r="H211" s="123"/>
      <c r="I211" s="59"/>
      <c r="J211" s="127"/>
      <c r="L211" s="58" t="s">
        <v>210</v>
      </c>
      <c r="M211" s="123"/>
      <c r="N211" s="59"/>
      <c r="O211" s="127"/>
    </row>
    <row r="212" spans="2:15" ht="15" thickTop="1" x14ac:dyDescent="0.3">
      <c r="B212" s="57" t="s">
        <v>211</v>
      </c>
      <c r="C212" s="115"/>
      <c r="D212" s="2"/>
      <c r="E212" s="67">
        <v>23.5</v>
      </c>
      <c r="G212" s="57" t="s">
        <v>211</v>
      </c>
      <c r="H212" s="115"/>
      <c r="I212" s="2"/>
      <c r="J212" s="67">
        <v>23.5</v>
      </c>
      <c r="L212" s="57" t="s">
        <v>211</v>
      </c>
      <c r="M212" s="115"/>
      <c r="N212" s="2"/>
      <c r="O212" s="67">
        <v>23.5</v>
      </c>
    </row>
    <row r="213" spans="2:15" x14ac:dyDescent="0.3">
      <c r="B213" s="57" t="s">
        <v>228</v>
      </c>
      <c r="C213" s="124"/>
      <c r="D213" s="125"/>
      <c r="E213" s="65">
        <v>250</v>
      </c>
      <c r="G213" s="57" t="s">
        <v>228</v>
      </c>
      <c r="H213" s="124"/>
      <c r="I213" s="125"/>
      <c r="J213" s="65">
        <v>250</v>
      </c>
      <c r="L213" s="57" t="s">
        <v>228</v>
      </c>
      <c r="M213" s="124"/>
      <c r="N213" s="125"/>
      <c r="O213" s="65">
        <v>250</v>
      </c>
    </row>
    <row r="214" spans="2:15" x14ac:dyDescent="0.3">
      <c r="B214" s="57" t="s">
        <v>227</v>
      </c>
      <c r="C214" s="124"/>
      <c r="D214" s="125"/>
      <c r="E214" s="65">
        <v>16</v>
      </c>
      <c r="G214" s="57" t="s">
        <v>227</v>
      </c>
      <c r="H214" s="124"/>
      <c r="I214" s="125"/>
      <c r="J214" s="65">
        <v>24</v>
      </c>
      <c r="L214" s="57" t="s">
        <v>227</v>
      </c>
      <c r="M214" s="124"/>
      <c r="N214" s="125"/>
      <c r="O214" s="65">
        <v>24</v>
      </c>
    </row>
    <row r="215" spans="2:15" x14ac:dyDescent="0.3">
      <c r="B215" s="57" t="s">
        <v>91</v>
      </c>
      <c r="C215" s="2"/>
      <c r="D215" s="2"/>
      <c r="E215" s="64">
        <v>2660</v>
      </c>
      <c r="G215" s="57" t="s">
        <v>91</v>
      </c>
      <c r="H215" s="2"/>
      <c r="I215" s="2"/>
      <c r="J215" s="64">
        <v>2790</v>
      </c>
      <c r="L215" s="57" t="s">
        <v>91</v>
      </c>
      <c r="M215" s="2"/>
      <c r="N215" s="2"/>
      <c r="O215" s="64">
        <v>2920</v>
      </c>
    </row>
    <row r="216" spans="2:15" x14ac:dyDescent="0.3">
      <c r="B216" s="57" t="s">
        <v>97</v>
      </c>
      <c r="C216" s="2"/>
      <c r="D216" s="2"/>
      <c r="E216" s="63">
        <v>204.61538461538461</v>
      </c>
      <c r="G216" s="57" t="s">
        <v>97</v>
      </c>
      <c r="H216" s="2"/>
      <c r="I216" s="2"/>
      <c r="J216" s="63">
        <v>214.61538461538461</v>
      </c>
      <c r="L216" s="57" t="s">
        <v>97</v>
      </c>
      <c r="M216" s="2"/>
      <c r="N216" s="2"/>
      <c r="O216" s="63">
        <v>224.61538461538461</v>
      </c>
    </row>
    <row r="217" spans="2:15" x14ac:dyDescent="0.3">
      <c r="B217" s="57" t="s">
        <v>218</v>
      </c>
      <c r="C217" s="2"/>
      <c r="D217" s="2"/>
      <c r="E217" s="64">
        <v>860.5</v>
      </c>
      <c r="G217" s="57" t="s">
        <v>218</v>
      </c>
      <c r="H217" s="2"/>
      <c r="I217" s="2"/>
      <c r="J217" s="64">
        <v>940.5</v>
      </c>
      <c r="L217" s="57" t="s">
        <v>218</v>
      </c>
      <c r="M217" s="2"/>
      <c r="N217" s="2"/>
      <c r="O217" s="64">
        <v>1110.5</v>
      </c>
    </row>
    <row r="218" spans="2:15" ht="15" thickBot="1" x14ac:dyDescent="0.35">
      <c r="B218" s="57" t="s">
        <v>94</v>
      </c>
      <c r="C218" s="2"/>
      <c r="D218" s="126"/>
      <c r="E218" s="131">
        <v>131.49</v>
      </c>
      <c r="G218" s="57" t="s">
        <v>94</v>
      </c>
      <c r="H218" s="2"/>
      <c r="I218" s="126"/>
      <c r="J218" s="131">
        <v>38.19</v>
      </c>
      <c r="L218" s="57" t="s">
        <v>94</v>
      </c>
      <c r="M218" s="2"/>
      <c r="N218" s="126"/>
      <c r="O218" s="131">
        <v>128.9</v>
      </c>
    </row>
    <row r="219" spans="2:15" ht="15.6" thickTop="1" thickBot="1" x14ac:dyDescent="0.35">
      <c r="B219" s="61" t="s">
        <v>92</v>
      </c>
      <c r="C219" s="62"/>
      <c r="D219" s="128"/>
      <c r="E219" s="129">
        <v>3520.5</v>
      </c>
      <c r="G219" s="61" t="s">
        <v>92</v>
      </c>
      <c r="H219" s="62"/>
      <c r="I219" s="128"/>
      <c r="J219" s="129">
        <v>3793.5199999999982</v>
      </c>
      <c r="L219" s="61" t="s">
        <v>92</v>
      </c>
      <c r="M219" s="62"/>
      <c r="N219" s="128"/>
      <c r="O219" s="129">
        <v>4093.5299999999975</v>
      </c>
    </row>
    <row r="220" spans="2:15" ht="15.6" thickTop="1" thickBot="1" x14ac:dyDescent="0.35">
      <c r="B220" s="61" t="s">
        <v>96</v>
      </c>
      <c r="C220" s="62"/>
      <c r="D220" s="128"/>
      <c r="E220" s="140">
        <v>3575.5199999999986</v>
      </c>
      <c r="G220" s="61" t="s">
        <v>96</v>
      </c>
      <c r="H220" s="62"/>
      <c r="I220" s="128"/>
      <c r="J220" s="140">
        <v>3730.5</v>
      </c>
      <c r="L220" s="61" t="s">
        <v>96</v>
      </c>
      <c r="M220" s="62"/>
      <c r="N220" s="128"/>
      <c r="O220" s="140">
        <v>4030.5</v>
      </c>
    </row>
    <row r="221" spans="2:15" ht="15.6" thickTop="1" thickBot="1" x14ac:dyDescent="0.35"/>
    <row r="222" spans="2:15" ht="15.6" thickTop="1" thickBot="1" x14ac:dyDescent="0.35">
      <c r="B222" s="371" t="s">
        <v>90</v>
      </c>
      <c r="C222" s="398"/>
      <c r="D222" s="372"/>
      <c r="E222" s="72">
        <v>44788</v>
      </c>
      <c r="G222" s="371" t="s">
        <v>90</v>
      </c>
      <c r="H222" s="398"/>
      <c r="I222" s="372"/>
      <c r="J222" s="72">
        <v>44788</v>
      </c>
      <c r="L222" s="371" t="s">
        <v>90</v>
      </c>
      <c r="M222" s="398"/>
      <c r="N222" s="372"/>
      <c r="O222" s="72">
        <v>44788</v>
      </c>
    </row>
    <row r="223" spans="2:15" ht="15.6" thickTop="1" thickBot="1" x14ac:dyDescent="0.35">
      <c r="B223" s="375"/>
      <c r="C223" s="399"/>
      <c r="D223" s="376"/>
      <c r="E223" s="72">
        <v>45519</v>
      </c>
      <c r="G223" s="375"/>
      <c r="H223" s="399"/>
      <c r="I223" s="376"/>
      <c r="J223" s="72">
        <v>45550</v>
      </c>
      <c r="L223" s="375"/>
      <c r="M223" s="399"/>
      <c r="N223" s="376"/>
      <c r="O223" s="72">
        <v>45580</v>
      </c>
    </row>
    <row r="224" spans="2:15" ht="15.6" thickTop="1" thickBot="1" x14ac:dyDescent="0.35">
      <c r="B224" s="57" t="s">
        <v>89</v>
      </c>
      <c r="C224" s="2"/>
      <c r="D224" s="2"/>
      <c r="E224" s="114">
        <v>3250</v>
      </c>
      <c r="G224" s="57" t="s">
        <v>89</v>
      </c>
      <c r="H224" s="2"/>
      <c r="I224" s="2"/>
      <c r="J224" s="114">
        <v>3380</v>
      </c>
      <c r="L224" s="57" t="s">
        <v>89</v>
      </c>
      <c r="M224" s="2"/>
      <c r="N224" s="2"/>
      <c r="O224" s="114">
        <v>3510</v>
      </c>
    </row>
    <row r="225" spans="2:15" ht="15.6" thickTop="1" thickBot="1" x14ac:dyDescent="0.35">
      <c r="B225" s="58" t="s">
        <v>162</v>
      </c>
      <c r="C225" s="59"/>
      <c r="D225" s="59"/>
      <c r="E225" s="120"/>
      <c r="G225" s="58" t="s">
        <v>162</v>
      </c>
      <c r="H225" s="59"/>
      <c r="I225" s="59"/>
      <c r="J225" s="120"/>
      <c r="L225" s="58" t="s">
        <v>162</v>
      </c>
      <c r="M225" s="59"/>
      <c r="N225" s="59"/>
      <c r="O225" s="120"/>
    </row>
    <row r="226" spans="2:15" ht="15" thickTop="1" x14ac:dyDescent="0.3">
      <c r="B226" s="118" t="s">
        <v>207</v>
      </c>
      <c r="C226" s="2"/>
      <c r="D226" s="2"/>
      <c r="E226" s="113">
        <v>14260</v>
      </c>
      <c r="G226" s="118" t="s">
        <v>207</v>
      </c>
      <c r="H226" s="2"/>
      <c r="I226" s="2"/>
      <c r="J226" s="113">
        <v>14660</v>
      </c>
      <c r="L226" s="118" t="s">
        <v>207</v>
      </c>
      <c r="M226" s="2"/>
      <c r="N226" s="2"/>
      <c r="O226" s="113">
        <v>15660</v>
      </c>
    </row>
    <row r="227" spans="2:15" x14ac:dyDescent="0.3">
      <c r="B227" s="119" t="s">
        <v>208</v>
      </c>
      <c r="C227" s="2"/>
      <c r="D227" s="2"/>
      <c r="E227" s="65">
        <v>200</v>
      </c>
      <c r="G227" s="119" t="s">
        <v>208</v>
      </c>
      <c r="H227" s="2"/>
      <c r="I227" s="2"/>
      <c r="J227" s="65">
        <v>460</v>
      </c>
      <c r="L227" s="119" t="s">
        <v>208</v>
      </c>
      <c r="M227" s="2"/>
      <c r="N227" s="2"/>
      <c r="O227" s="65">
        <v>460</v>
      </c>
    </row>
    <row r="228" spans="2:15" x14ac:dyDescent="0.3">
      <c r="B228" s="57" t="s">
        <v>100</v>
      </c>
      <c r="C228" s="2"/>
      <c r="D228" s="2"/>
      <c r="E228" s="66">
        <v>900</v>
      </c>
      <c r="G228" s="57" t="s">
        <v>100</v>
      </c>
      <c r="H228" s="2"/>
      <c r="I228" s="2"/>
      <c r="J228" s="66">
        <v>400</v>
      </c>
      <c r="L228" s="57" t="s">
        <v>100</v>
      </c>
      <c r="M228" s="2"/>
      <c r="N228" s="2"/>
      <c r="O228" s="66">
        <v>1000</v>
      </c>
    </row>
    <row r="229" spans="2:15" x14ac:dyDescent="0.3">
      <c r="B229" s="119" t="s">
        <v>209</v>
      </c>
      <c r="C229" s="2"/>
      <c r="D229" s="2"/>
      <c r="E229" s="121">
        <v>1469</v>
      </c>
      <c r="G229" s="119" t="s">
        <v>209</v>
      </c>
      <c r="H229" s="2"/>
      <c r="I229" s="2"/>
      <c r="J229" s="121">
        <v>1501</v>
      </c>
      <c r="L229" s="119" t="s">
        <v>209</v>
      </c>
      <c r="M229" s="2"/>
      <c r="N229" s="2"/>
      <c r="O229" s="121">
        <v>1581</v>
      </c>
    </row>
    <row r="230" spans="2:15" ht="15" thickBot="1" x14ac:dyDescent="0.35">
      <c r="B230" s="57" t="s">
        <v>102</v>
      </c>
      <c r="C230" s="2"/>
      <c r="D230" s="2"/>
      <c r="E230" s="66">
        <v>108</v>
      </c>
      <c r="G230" s="57" t="s">
        <v>102</v>
      </c>
      <c r="H230" s="2"/>
      <c r="I230" s="2"/>
      <c r="J230" s="66">
        <v>32</v>
      </c>
      <c r="L230" s="57" t="s">
        <v>102</v>
      </c>
      <c r="M230" s="2"/>
      <c r="N230" s="2"/>
      <c r="O230" s="66">
        <v>80</v>
      </c>
    </row>
    <row r="231" spans="2:15" ht="15.6" thickTop="1" thickBot="1" x14ac:dyDescent="0.35">
      <c r="B231" s="122" t="s">
        <v>39</v>
      </c>
      <c r="C231" s="59"/>
      <c r="D231" s="59"/>
      <c r="E231" s="120"/>
      <c r="G231" s="122" t="s">
        <v>39</v>
      </c>
      <c r="H231" s="59"/>
      <c r="I231" s="59"/>
      <c r="J231" s="120"/>
      <c r="L231" s="122" t="s">
        <v>39</v>
      </c>
      <c r="M231" s="59"/>
      <c r="N231" s="59"/>
      <c r="O231" s="120"/>
    </row>
    <row r="232" spans="2:15" ht="15" thickTop="1" x14ac:dyDescent="0.3">
      <c r="B232" s="57" t="s">
        <v>98</v>
      </c>
      <c r="C232" s="2"/>
      <c r="D232" s="2"/>
      <c r="E232" s="65">
        <v>10688.740000000003</v>
      </c>
      <c r="G232" s="57" t="s">
        <v>98</v>
      </c>
      <c r="H232" s="2"/>
      <c r="I232" s="2"/>
      <c r="J232" s="65">
        <v>11556.110000000004</v>
      </c>
      <c r="L232" s="57" t="s">
        <v>98</v>
      </c>
      <c r="M232" s="2"/>
      <c r="N232" s="2"/>
      <c r="O232" s="65">
        <v>12463.480000000005</v>
      </c>
    </row>
    <row r="233" spans="2:15" x14ac:dyDescent="0.3">
      <c r="B233" s="57" t="s">
        <v>101</v>
      </c>
      <c r="C233" s="2"/>
      <c r="D233" s="2"/>
      <c r="E233" s="66">
        <v>737.37</v>
      </c>
      <c r="G233" s="57" t="s">
        <v>101</v>
      </c>
      <c r="H233" s="2"/>
      <c r="I233" s="2"/>
      <c r="J233" s="66">
        <v>867.37</v>
      </c>
      <c r="L233" s="57" t="s">
        <v>101</v>
      </c>
      <c r="M233" s="2"/>
      <c r="N233" s="2"/>
      <c r="O233" s="66">
        <v>907.37</v>
      </c>
    </row>
    <row r="234" spans="2:15" ht="15" thickBot="1" x14ac:dyDescent="0.35">
      <c r="B234" s="70" t="s">
        <v>93</v>
      </c>
      <c r="C234" s="69"/>
      <c r="D234" s="60"/>
      <c r="E234" s="68">
        <v>3571.2599999999966</v>
      </c>
      <c r="G234" s="70" t="s">
        <v>93</v>
      </c>
      <c r="H234" s="69"/>
      <c r="I234" s="60"/>
      <c r="J234" s="68">
        <v>3103.8899999999958</v>
      </c>
      <c r="L234" s="70" t="s">
        <v>93</v>
      </c>
      <c r="M234" s="69"/>
      <c r="N234" s="60"/>
      <c r="O234" s="68">
        <v>3196.519999999995</v>
      </c>
    </row>
    <row r="235" spans="2:15" ht="15" thickTop="1" x14ac:dyDescent="0.3">
      <c r="B235" s="57" t="s">
        <v>99</v>
      </c>
      <c r="C235" s="2"/>
      <c r="D235" s="2"/>
      <c r="E235" s="65">
        <v>899</v>
      </c>
      <c r="G235" s="57" t="s">
        <v>99</v>
      </c>
      <c r="H235" s="2"/>
      <c r="I235" s="2"/>
      <c r="J235" s="65">
        <v>1009</v>
      </c>
      <c r="L235" s="57" t="s">
        <v>99</v>
      </c>
      <c r="M235" s="2"/>
      <c r="N235" s="2"/>
      <c r="O235" s="65">
        <v>1113</v>
      </c>
    </row>
    <row r="236" spans="2:15" x14ac:dyDescent="0.3">
      <c r="B236" s="57" t="s">
        <v>103</v>
      </c>
      <c r="C236" s="2"/>
      <c r="D236" s="2"/>
      <c r="E236" s="66">
        <v>94</v>
      </c>
      <c r="G236" s="57" t="s">
        <v>103</v>
      </c>
      <c r="H236" s="2"/>
      <c r="I236" s="2"/>
      <c r="J236" s="66">
        <v>110</v>
      </c>
      <c r="L236" s="57" t="s">
        <v>103</v>
      </c>
      <c r="M236" s="2"/>
      <c r="N236" s="2"/>
      <c r="O236" s="66">
        <v>104</v>
      </c>
    </row>
    <row r="237" spans="2:15" ht="15" thickBot="1" x14ac:dyDescent="0.35">
      <c r="B237" s="70" t="s">
        <v>95</v>
      </c>
      <c r="C237" s="60"/>
      <c r="D237" s="60"/>
      <c r="E237" s="68">
        <v>570</v>
      </c>
      <c r="G237" s="70" t="s">
        <v>95</v>
      </c>
      <c r="H237" s="60"/>
      <c r="I237" s="60"/>
      <c r="J237" s="68">
        <v>492</v>
      </c>
      <c r="L237" s="70" t="s">
        <v>95</v>
      </c>
      <c r="M237" s="60"/>
      <c r="N237" s="60"/>
      <c r="O237" s="68">
        <v>468</v>
      </c>
    </row>
    <row r="238" spans="2:15" ht="15.6" thickTop="1" thickBot="1" x14ac:dyDescent="0.35">
      <c r="B238" s="58" t="s">
        <v>210</v>
      </c>
      <c r="C238" s="123"/>
      <c r="D238" s="59"/>
      <c r="E238" s="127"/>
      <c r="G238" s="58" t="s">
        <v>210</v>
      </c>
      <c r="H238" s="123"/>
      <c r="I238" s="59"/>
      <c r="J238" s="127"/>
      <c r="L238" s="58" t="s">
        <v>210</v>
      </c>
      <c r="M238" s="123"/>
      <c r="N238" s="59"/>
      <c r="O238" s="127"/>
    </row>
    <row r="239" spans="2:15" ht="15" thickTop="1" x14ac:dyDescent="0.3">
      <c r="B239" s="57" t="s">
        <v>211</v>
      </c>
      <c r="C239" s="115"/>
      <c r="D239" s="2"/>
      <c r="E239" s="67">
        <v>23.5</v>
      </c>
      <c r="G239" s="57" t="s">
        <v>211</v>
      </c>
      <c r="H239" s="115"/>
      <c r="I239" s="2"/>
      <c r="J239" s="67">
        <v>23.5</v>
      </c>
      <c r="L239" s="57" t="s">
        <v>211</v>
      </c>
      <c r="M239" s="115"/>
      <c r="N239" s="2"/>
      <c r="O239" s="67">
        <v>23.5</v>
      </c>
    </row>
    <row r="240" spans="2:15" x14ac:dyDescent="0.3">
      <c r="B240" s="57" t="s">
        <v>228</v>
      </c>
      <c r="C240" s="124"/>
      <c r="D240" s="125"/>
      <c r="E240" s="65">
        <v>250</v>
      </c>
      <c r="G240" s="57" t="s">
        <v>228</v>
      </c>
      <c r="H240" s="124"/>
      <c r="I240" s="125"/>
      <c r="J240" s="65">
        <v>250</v>
      </c>
      <c r="L240" s="57" t="s">
        <v>228</v>
      </c>
      <c r="M240" s="124"/>
      <c r="N240" s="125"/>
      <c r="O240" s="65">
        <v>450</v>
      </c>
    </row>
    <row r="241" spans="2:15" x14ac:dyDescent="0.3">
      <c r="B241" s="57" t="s">
        <v>227</v>
      </c>
      <c r="C241" s="124"/>
      <c r="D241" s="125"/>
      <c r="E241" s="65">
        <v>24</v>
      </c>
      <c r="G241" s="57" t="s">
        <v>227</v>
      </c>
      <c r="H241" s="124"/>
      <c r="I241" s="125"/>
      <c r="J241" s="65">
        <v>24</v>
      </c>
      <c r="L241" s="57" t="s">
        <v>227</v>
      </c>
      <c r="M241" s="124"/>
      <c r="N241" s="125"/>
      <c r="O241" s="65">
        <v>38</v>
      </c>
    </row>
    <row r="242" spans="2:15" x14ac:dyDescent="0.3">
      <c r="B242" s="57" t="s">
        <v>91</v>
      </c>
      <c r="C242" s="2"/>
      <c r="D242" s="2"/>
      <c r="E242" s="64">
        <v>3050</v>
      </c>
      <c r="G242" s="57" t="s">
        <v>91</v>
      </c>
      <c r="H242" s="2"/>
      <c r="I242" s="2"/>
      <c r="J242" s="64">
        <v>2920</v>
      </c>
      <c r="L242" s="57" t="s">
        <v>91</v>
      </c>
      <c r="M242" s="2"/>
      <c r="N242" s="2"/>
      <c r="O242" s="64">
        <v>3050</v>
      </c>
    </row>
    <row r="243" spans="2:15" x14ac:dyDescent="0.3">
      <c r="B243" s="57" t="s">
        <v>97</v>
      </c>
      <c r="C243" s="2"/>
      <c r="D243" s="2"/>
      <c r="E243" s="63">
        <v>234.61538461538461</v>
      </c>
      <c r="G243" s="57" t="s">
        <v>97</v>
      </c>
      <c r="H243" s="2"/>
      <c r="I243" s="2"/>
      <c r="J243" s="63">
        <v>224.61538461538461</v>
      </c>
      <c r="L243" s="57" t="s">
        <v>97</v>
      </c>
      <c r="M243" s="2"/>
      <c r="N243" s="2"/>
      <c r="O243" s="63">
        <v>234.61538461538461</v>
      </c>
    </row>
    <row r="244" spans="2:15" x14ac:dyDescent="0.3">
      <c r="B244" s="57" t="s">
        <v>218</v>
      </c>
      <c r="C244" s="2"/>
      <c r="D244" s="2"/>
      <c r="E244" s="64">
        <v>1218.5</v>
      </c>
      <c r="G244" s="57" t="s">
        <v>218</v>
      </c>
      <c r="H244" s="2"/>
      <c r="I244" s="2"/>
      <c r="J244" s="64">
        <v>1250.5</v>
      </c>
      <c r="L244" s="57" t="s">
        <v>218</v>
      </c>
      <c r="M244" s="2"/>
      <c r="N244" s="2"/>
      <c r="O244" s="64">
        <v>1116.5</v>
      </c>
    </row>
    <row r="245" spans="2:15" ht="15" thickBot="1" x14ac:dyDescent="0.35">
      <c r="B245" s="57" t="s">
        <v>94</v>
      </c>
      <c r="C245" s="2"/>
      <c r="D245" s="126"/>
      <c r="E245" s="131">
        <v>190.27</v>
      </c>
      <c r="G245" s="57" t="s">
        <v>94</v>
      </c>
      <c r="H245" s="2"/>
      <c r="I245" s="126"/>
      <c r="J245" s="131">
        <v>637.64</v>
      </c>
      <c r="L245" s="57" t="s">
        <v>94</v>
      </c>
      <c r="M245" s="2"/>
      <c r="N245" s="126"/>
      <c r="O245" s="131">
        <v>605.71</v>
      </c>
    </row>
    <row r="246" spans="2:15" ht="15.6" thickTop="1" thickBot="1" x14ac:dyDescent="0.35">
      <c r="B246" s="61" t="s">
        <v>92</v>
      </c>
      <c r="C246" s="62"/>
      <c r="D246" s="128"/>
      <c r="E246" s="129">
        <v>4331.529999999997</v>
      </c>
      <c r="G246" s="61" t="s">
        <v>92</v>
      </c>
      <c r="H246" s="62"/>
      <c r="I246" s="128"/>
      <c r="J246" s="129">
        <v>4233.5299999999961</v>
      </c>
      <c r="L246" s="61" t="s">
        <v>92</v>
      </c>
      <c r="M246" s="62"/>
      <c r="N246" s="128"/>
      <c r="O246" s="129">
        <v>4270.229999999995</v>
      </c>
    </row>
    <row r="247" spans="2:15" ht="15.6" thickTop="1" thickBot="1" x14ac:dyDescent="0.35">
      <c r="B247" s="61" t="s">
        <v>96</v>
      </c>
      <c r="C247" s="62"/>
      <c r="D247" s="128"/>
      <c r="E247" s="140">
        <v>4268.5</v>
      </c>
      <c r="G247" s="61" t="s">
        <v>96</v>
      </c>
      <c r="H247" s="62"/>
      <c r="I247" s="128"/>
      <c r="J247" s="140">
        <v>4170.5</v>
      </c>
      <c r="L247" s="61" t="s">
        <v>96</v>
      </c>
      <c r="M247" s="62"/>
      <c r="N247" s="128"/>
      <c r="O247" s="140">
        <v>4166.5</v>
      </c>
    </row>
    <row r="248" spans="2:15" ht="15.6" thickTop="1" thickBot="1" x14ac:dyDescent="0.35"/>
    <row r="249" spans="2:15" ht="15.6" thickTop="1" thickBot="1" x14ac:dyDescent="0.35">
      <c r="B249" s="371" t="s">
        <v>90</v>
      </c>
      <c r="C249" s="398"/>
      <c r="D249" s="372"/>
      <c r="E249" s="72">
        <v>44788</v>
      </c>
      <c r="G249" s="371" t="s">
        <v>90</v>
      </c>
      <c r="H249" s="398"/>
      <c r="I249" s="372"/>
      <c r="J249" s="72">
        <v>44788</v>
      </c>
      <c r="L249" s="371" t="s">
        <v>90</v>
      </c>
      <c r="M249" s="398"/>
      <c r="N249" s="372"/>
      <c r="O249" s="72">
        <v>44788</v>
      </c>
    </row>
    <row r="250" spans="2:15" ht="15.6" thickTop="1" thickBot="1" x14ac:dyDescent="0.35">
      <c r="B250" s="375"/>
      <c r="C250" s="399"/>
      <c r="D250" s="376"/>
      <c r="E250" s="72">
        <v>45611</v>
      </c>
      <c r="G250" s="375"/>
      <c r="H250" s="399"/>
      <c r="I250" s="376"/>
      <c r="J250" s="72">
        <v>45656</v>
      </c>
      <c r="L250" s="375"/>
      <c r="M250" s="399"/>
      <c r="N250" s="376"/>
      <c r="O250" s="72">
        <v>45672</v>
      </c>
    </row>
    <row r="251" spans="2:15" ht="15.6" thickTop="1" thickBot="1" x14ac:dyDescent="0.35">
      <c r="B251" s="57" t="s">
        <v>89</v>
      </c>
      <c r="C251" s="2"/>
      <c r="D251" s="2"/>
      <c r="E251" s="114">
        <v>3640</v>
      </c>
      <c r="G251" s="57" t="s">
        <v>89</v>
      </c>
      <c r="H251" s="2"/>
      <c r="I251" s="2"/>
      <c r="J251" s="114">
        <v>3770</v>
      </c>
      <c r="L251" s="57" t="s">
        <v>89</v>
      </c>
      <c r="M251" s="2"/>
      <c r="N251" s="2"/>
      <c r="O251" s="114">
        <v>3900</v>
      </c>
    </row>
    <row r="252" spans="2:15" ht="15.6" thickTop="1" thickBot="1" x14ac:dyDescent="0.35">
      <c r="B252" s="58" t="s">
        <v>162</v>
      </c>
      <c r="C252" s="59"/>
      <c r="D252" s="59"/>
      <c r="E252" s="120"/>
      <c r="G252" s="58" t="s">
        <v>162</v>
      </c>
      <c r="H252" s="59"/>
      <c r="I252" s="59"/>
      <c r="J252" s="120"/>
      <c r="L252" s="58" t="s">
        <v>162</v>
      </c>
      <c r="M252" s="59"/>
      <c r="N252" s="59"/>
      <c r="O252" s="120"/>
    </row>
    <row r="253" spans="2:15" ht="15" thickTop="1" x14ac:dyDescent="0.3">
      <c r="B253" s="118" t="s">
        <v>207</v>
      </c>
      <c r="C253" s="2"/>
      <c r="D253" s="2"/>
      <c r="E253" s="113">
        <v>17360</v>
      </c>
      <c r="G253" s="118" t="s">
        <v>207</v>
      </c>
      <c r="H253" s="2"/>
      <c r="I253" s="2"/>
      <c r="J253" s="113">
        <v>18940</v>
      </c>
      <c r="L253" s="118" t="s">
        <v>207</v>
      </c>
      <c r="M253" s="2"/>
      <c r="N253" s="2"/>
      <c r="O253" s="113">
        <v>20490</v>
      </c>
    </row>
    <row r="254" spans="2:15" x14ac:dyDescent="0.3">
      <c r="B254" s="119" t="s">
        <v>208</v>
      </c>
      <c r="C254" s="2"/>
      <c r="D254" s="2"/>
      <c r="E254" s="65">
        <v>460</v>
      </c>
      <c r="G254" s="119" t="s">
        <v>208</v>
      </c>
      <c r="H254" s="2"/>
      <c r="I254" s="2"/>
      <c r="J254" s="65">
        <v>460</v>
      </c>
      <c r="L254" s="119" t="s">
        <v>208</v>
      </c>
      <c r="M254" s="2"/>
      <c r="N254" s="2"/>
      <c r="O254" s="65">
        <v>460</v>
      </c>
    </row>
    <row r="255" spans="2:15" x14ac:dyDescent="0.3">
      <c r="B255" s="57" t="s">
        <v>100</v>
      </c>
      <c r="C255" s="2"/>
      <c r="D255" s="2"/>
      <c r="E255" s="66">
        <v>1700</v>
      </c>
      <c r="G255" s="57" t="s">
        <v>100</v>
      </c>
      <c r="H255" s="2"/>
      <c r="I255" s="2"/>
      <c r="J255" s="66">
        <v>1580</v>
      </c>
      <c r="L255" s="57" t="s">
        <v>100</v>
      </c>
      <c r="M255" s="2"/>
      <c r="N255" s="2"/>
      <c r="O255" s="66">
        <v>1550</v>
      </c>
    </row>
    <row r="256" spans="2:15" x14ac:dyDescent="0.3">
      <c r="B256" s="119" t="s">
        <v>209</v>
      </c>
      <c r="C256" s="2"/>
      <c r="D256" s="2"/>
      <c r="E256" s="121">
        <v>1831</v>
      </c>
      <c r="G256" s="119" t="s">
        <v>209</v>
      </c>
      <c r="H256" s="2"/>
      <c r="I256" s="2"/>
      <c r="J256" s="121">
        <v>2082.6</v>
      </c>
      <c r="L256" s="119" t="s">
        <v>209</v>
      </c>
      <c r="M256" s="2"/>
      <c r="N256" s="2"/>
      <c r="O256" s="121">
        <v>2284.6</v>
      </c>
    </row>
    <row r="257" spans="2:17" ht="15" thickBot="1" x14ac:dyDescent="0.35">
      <c r="B257" s="57" t="s">
        <v>102</v>
      </c>
      <c r="C257" s="2"/>
      <c r="D257" s="2"/>
      <c r="E257" s="66">
        <v>250</v>
      </c>
      <c r="G257" s="57" t="s">
        <v>102</v>
      </c>
      <c r="H257" s="2"/>
      <c r="I257" s="2"/>
      <c r="J257" s="66">
        <v>251.6</v>
      </c>
      <c r="L257" s="57" t="s">
        <v>102</v>
      </c>
      <c r="M257" s="2"/>
      <c r="N257" s="2"/>
      <c r="O257" s="66">
        <v>202</v>
      </c>
    </row>
    <row r="258" spans="2:17" ht="15.6" thickTop="1" thickBot="1" x14ac:dyDescent="0.35">
      <c r="B258" s="122" t="s">
        <v>39</v>
      </c>
      <c r="C258" s="59"/>
      <c r="D258" s="59"/>
      <c r="E258" s="120"/>
      <c r="G258" s="122" t="s">
        <v>39</v>
      </c>
      <c r="H258" s="59"/>
      <c r="I258" s="59"/>
      <c r="J258" s="120"/>
      <c r="L258" s="122" t="s">
        <v>39</v>
      </c>
      <c r="M258" s="59"/>
      <c r="N258" s="59"/>
      <c r="O258" s="120"/>
    </row>
    <row r="259" spans="2:17" ht="15" thickTop="1" x14ac:dyDescent="0.3">
      <c r="B259" s="57" t="s">
        <v>98</v>
      </c>
      <c r="C259" s="2"/>
      <c r="D259" s="2"/>
      <c r="E259" s="65">
        <v>13426.550000000007</v>
      </c>
      <c r="G259" s="57" t="s">
        <v>98</v>
      </c>
      <c r="H259" s="2"/>
      <c r="I259" s="2"/>
      <c r="J259" s="65">
        <v>14624.890000000007</v>
      </c>
      <c r="L259" s="57" t="s">
        <v>98</v>
      </c>
      <c r="M259" s="2"/>
      <c r="N259" s="2"/>
      <c r="O259" s="65">
        <v>16028.230000000007</v>
      </c>
    </row>
    <row r="260" spans="2:17" x14ac:dyDescent="0.3">
      <c r="B260" s="57" t="s">
        <v>101</v>
      </c>
      <c r="C260" s="2"/>
      <c r="D260" s="2"/>
      <c r="E260" s="66">
        <v>963.07</v>
      </c>
      <c r="G260" s="57" t="s">
        <v>101</v>
      </c>
      <c r="H260" s="2"/>
      <c r="I260" s="2"/>
      <c r="J260" s="66">
        <v>1198.3400000000001</v>
      </c>
      <c r="L260" s="57" t="s">
        <v>101</v>
      </c>
      <c r="M260" s="2"/>
      <c r="N260" s="2"/>
      <c r="O260" s="66">
        <v>1403.3400000000001</v>
      </c>
    </row>
    <row r="261" spans="2:17" ht="15" thickBot="1" x14ac:dyDescent="0.35">
      <c r="B261" s="70" t="s">
        <v>93</v>
      </c>
      <c r="C261" s="69"/>
      <c r="D261" s="60"/>
      <c r="E261" s="68">
        <v>3933.4499999999935</v>
      </c>
      <c r="G261" s="70" t="s">
        <v>93</v>
      </c>
      <c r="H261" s="69"/>
      <c r="I261" s="60"/>
      <c r="J261" s="68">
        <v>4315.1099999999933</v>
      </c>
      <c r="L261" s="70" t="s">
        <v>93</v>
      </c>
      <c r="M261" s="69"/>
      <c r="N261" s="60"/>
      <c r="O261" s="68">
        <v>4461.7699999999932</v>
      </c>
    </row>
    <row r="262" spans="2:17" ht="15" thickTop="1" x14ac:dyDescent="0.3">
      <c r="B262" s="57" t="s">
        <v>99</v>
      </c>
      <c r="C262" s="2"/>
      <c r="D262" s="2"/>
      <c r="E262" s="65">
        <v>1223</v>
      </c>
      <c r="G262" s="57" t="s">
        <v>99</v>
      </c>
      <c r="H262" s="2"/>
      <c r="I262" s="2"/>
      <c r="J262" s="65">
        <v>1345</v>
      </c>
      <c r="L262" s="57" t="s">
        <v>99</v>
      </c>
      <c r="M262" s="2"/>
      <c r="N262" s="2"/>
      <c r="O262" s="65">
        <v>1490.6</v>
      </c>
    </row>
    <row r="263" spans="2:17" x14ac:dyDescent="0.3">
      <c r="B263" s="57" t="s">
        <v>103</v>
      </c>
      <c r="C263" s="2"/>
      <c r="D263" s="2"/>
      <c r="E263" s="66">
        <v>110</v>
      </c>
      <c r="G263" s="57" t="s">
        <v>103</v>
      </c>
      <c r="H263" s="2"/>
      <c r="I263" s="2"/>
      <c r="J263" s="66">
        <v>122</v>
      </c>
      <c r="L263" s="57" t="s">
        <v>103</v>
      </c>
      <c r="M263" s="2"/>
      <c r="N263" s="2"/>
      <c r="O263" s="66">
        <v>145.6</v>
      </c>
    </row>
    <row r="264" spans="2:17" ht="15" thickBot="1" x14ac:dyDescent="0.35">
      <c r="B264" s="70" t="s">
        <v>95</v>
      </c>
      <c r="C264" s="60"/>
      <c r="D264" s="60"/>
      <c r="E264" s="68">
        <v>608</v>
      </c>
      <c r="G264" s="70" t="s">
        <v>95</v>
      </c>
      <c r="H264" s="60"/>
      <c r="I264" s="60"/>
      <c r="J264" s="68">
        <v>737.59999999999991</v>
      </c>
      <c r="L264" s="70" t="s">
        <v>95</v>
      </c>
      <c r="M264" s="60"/>
      <c r="N264" s="60"/>
      <c r="O264" s="68">
        <v>794</v>
      </c>
    </row>
    <row r="265" spans="2:17" ht="15.6" thickTop="1" thickBot="1" x14ac:dyDescent="0.35">
      <c r="B265" s="58" t="s">
        <v>210</v>
      </c>
      <c r="C265" s="123"/>
      <c r="D265" s="59"/>
      <c r="E265" s="127"/>
      <c r="G265" s="58" t="s">
        <v>210</v>
      </c>
      <c r="H265" s="123"/>
      <c r="I265" s="59"/>
      <c r="J265" s="127"/>
      <c r="L265" s="58" t="s">
        <v>210</v>
      </c>
      <c r="M265" s="123"/>
      <c r="N265" s="59"/>
      <c r="O265" s="127"/>
    </row>
    <row r="266" spans="2:17" ht="15" thickTop="1" x14ac:dyDescent="0.3">
      <c r="B266" s="57" t="s">
        <v>211</v>
      </c>
      <c r="C266" s="115"/>
      <c r="D266" s="2"/>
      <c r="E266" s="67">
        <v>156.99999999999997</v>
      </c>
      <c r="G266" s="57" t="s">
        <v>211</v>
      </c>
      <c r="H266" s="115"/>
      <c r="I266" s="2"/>
      <c r="J266" s="67">
        <v>183.69999999999996</v>
      </c>
      <c r="L266" s="57" t="s">
        <v>211</v>
      </c>
      <c r="M266" s="115"/>
      <c r="N266" s="2"/>
      <c r="O266" s="67">
        <v>183.69999999999996</v>
      </c>
    </row>
    <row r="267" spans="2:17" x14ac:dyDescent="0.3">
      <c r="B267" s="57" t="s">
        <v>228</v>
      </c>
      <c r="C267" s="124"/>
      <c r="D267" s="125"/>
      <c r="E267" s="65">
        <v>450</v>
      </c>
      <c r="G267" s="57" t="s">
        <v>228</v>
      </c>
      <c r="H267" s="124"/>
      <c r="I267" s="125"/>
      <c r="J267" s="65">
        <v>450</v>
      </c>
      <c r="L267" s="57" t="s">
        <v>228</v>
      </c>
      <c r="M267" s="124"/>
      <c r="N267" s="125"/>
      <c r="O267" s="65">
        <v>450</v>
      </c>
    </row>
    <row r="268" spans="2:17" x14ac:dyDescent="0.3">
      <c r="B268" s="57" t="s">
        <v>227</v>
      </c>
      <c r="C268" s="124"/>
      <c r="D268" s="125"/>
      <c r="E268" s="65">
        <v>50</v>
      </c>
      <c r="G268" s="57" t="s">
        <v>227</v>
      </c>
      <c r="H268" s="124"/>
      <c r="I268" s="125"/>
      <c r="J268" s="65">
        <v>66</v>
      </c>
      <c r="L268" s="57" t="s">
        <v>227</v>
      </c>
      <c r="M268" s="124"/>
      <c r="N268" s="125"/>
      <c r="O268" s="65">
        <v>88</v>
      </c>
      <c r="Q268" s="12"/>
    </row>
    <row r="269" spans="2:17" x14ac:dyDescent="0.3">
      <c r="B269" s="57" t="s">
        <v>91</v>
      </c>
      <c r="C269" s="2"/>
      <c r="D269" s="2"/>
      <c r="E269" s="64">
        <v>3180</v>
      </c>
      <c r="G269" s="57" t="s">
        <v>91</v>
      </c>
      <c r="H269" s="2"/>
      <c r="I269" s="2"/>
      <c r="J269" s="64">
        <v>3310</v>
      </c>
      <c r="L269" s="57" t="s">
        <v>91</v>
      </c>
      <c r="M269" s="2"/>
      <c r="N269" s="2"/>
      <c r="O269" s="64">
        <v>3440</v>
      </c>
    </row>
    <row r="270" spans="2:17" x14ac:dyDescent="0.3">
      <c r="B270" s="57" t="s">
        <v>97</v>
      </c>
      <c r="C270" s="2"/>
      <c r="D270" s="2"/>
      <c r="E270" s="63">
        <v>244.61538461538461</v>
      </c>
      <c r="G270" s="57" t="s">
        <v>97</v>
      </c>
      <c r="H270" s="2"/>
      <c r="I270" s="2"/>
      <c r="J270" s="63">
        <v>254.61538461538461</v>
      </c>
      <c r="L270" s="57" t="s">
        <v>97</v>
      </c>
      <c r="M270" s="2"/>
      <c r="N270" s="2"/>
      <c r="O270" s="63">
        <v>264.61538461538464</v>
      </c>
    </row>
    <row r="271" spans="2:17" x14ac:dyDescent="0.3">
      <c r="B271" s="57" t="s">
        <v>218</v>
      </c>
      <c r="C271" s="2"/>
      <c r="D271" s="2"/>
      <c r="E271" s="64">
        <v>1488</v>
      </c>
      <c r="G271" s="57" t="s">
        <v>218</v>
      </c>
      <c r="H271" s="2"/>
      <c r="I271" s="2"/>
      <c r="J271" s="64">
        <v>1750.3</v>
      </c>
      <c r="L271" s="57" t="s">
        <v>218</v>
      </c>
      <c r="M271" s="2"/>
      <c r="N271" s="2"/>
      <c r="O271" s="64">
        <v>1930.3</v>
      </c>
    </row>
    <row r="272" spans="2:17" ht="15" thickBot="1" x14ac:dyDescent="0.35">
      <c r="B272" s="57" t="s">
        <v>94</v>
      </c>
      <c r="C272" s="2"/>
      <c r="D272" s="126"/>
      <c r="E272" s="131">
        <v>215.58</v>
      </c>
      <c r="G272" s="57" t="s">
        <v>94</v>
      </c>
      <c r="H272" s="2"/>
      <c r="I272" s="126"/>
      <c r="J272" s="131">
        <v>112.61</v>
      </c>
      <c r="L272" s="57" t="s">
        <v>94</v>
      </c>
      <c r="M272" s="2"/>
      <c r="N272" s="126"/>
      <c r="O272" s="131">
        <v>241.55</v>
      </c>
    </row>
    <row r="273" spans="2:15" ht="15.6" thickTop="1" thickBot="1" x14ac:dyDescent="0.35">
      <c r="B273" s="61" t="s">
        <v>92</v>
      </c>
      <c r="C273" s="62"/>
      <c r="D273" s="128"/>
      <c r="E273" s="129">
        <v>4757.0299999999934</v>
      </c>
      <c r="G273" s="61" t="s">
        <v>92</v>
      </c>
      <c r="H273" s="62"/>
      <c r="I273" s="128"/>
      <c r="J273" s="129">
        <v>5165.3199999999933</v>
      </c>
      <c r="L273" s="61" t="s">
        <v>92</v>
      </c>
      <c r="M273" s="62"/>
      <c r="N273" s="128"/>
      <c r="O273" s="129">
        <v>5497.3199999999933</v>
      </c>
    </row>
    <row r="274" spans="2:15" ht="15.6" thickTop="1" thickBot="1" x14ac:dyDescent="0.35">
      <c r="B274" s="61" t="s">
        <v>96</v>
      </c>
      <c r="C274" s="62"/>
      <c r="D274" s="128"/>
      <c r="E274" s="140">
        <v>4668</v>
      </c>
      <c r="G274" s="61" t="s">
        <v>96</v>
      </c>
      <c r="H274" s="62"/>
      <c r="I274" s="128"/>
      <c r="J274" s="140">
        <v>5060.3</v>
      </c>
      <c r="L274" s="61" t="s">
        <v>96</v>
      </c>
      <c r="M274" s="62"/>
      <c r="N274" s="128"/>
      <c r="O274" s="140">
        <v>5370.3</v>
      </c>
    </row>
    <row r="275" spans="2:15" ht="15.6" thickTop="1" thickBot="1" x14ac:dyDescent="0.35"/>
    <row r="276" spans="2:15" ht="15.6" thickTop="1" thickBot="1" x14ac:dyDescent="0.35">
      <c r="B276" s="371" t="s">
        <v>90</v>
      </c>
      <c r="C276" s="398"/>
      <c r="D276" s="372"/>
      <c r="E276" s="72">
        <v>44788</v>
      </c>
      <c r="G276" s="371" t="s">
        <v>90</v>
      </c>
      <c r="H276" s="398"/>
      <c r="I276" s="372"/>
      <c r="J276" s="72">
        <v>44788</v>
      </c>
      <c r="L276" s="371" t="s">
        <v>90</v>
      </c>
      <c r="M276" s="398"/>
      <c r="N276" s="372"/>
      <c r="O276" s="72">
        <v>44788</v>
      </c>
    </row>
    <row r="277" spans="2:15" ht="15.6" thickTop="1" thickBot="1" x14ac:dyDescent="0.35">
      <c r="B277" s="375"/>
      <c r="C277" s="399"/>
      <c r="D277" s="376"/>
      <c r="E277" s="72">
        <v>45703</v>
      </c>
      <c r="G277" s="375"/>
      <c r="H277" s="399"/>
      <c r="I277" s="376"/>
      <c r="J277" s="72">
        <v>45732</v>
      </c>
      <c r="L277" s="375"/>
      <c r="M277" s="399"/>
      <c r="N277" s="376"/>
      <c r="O277" s="72">
        <v>45761</v>
      </c>
    </row>
    <row r="278" spans="2:15" ht="15.6" thickTop="1" thickBot="1" x14ac:dyDescent="0.35">
      <c r="B278" s="57" t="s">
        <v>89</v>
      </c>
      <c r="C278" s="2"/>
      <c r="D278" s="2"/>
      <c r="E278" s="114">
        <v>4030</v>
      </c>
      <c r="G278" s="57" t="s">
        <v>89</v>
      </c>
      <c r="H278" s="2"/>
      <c r="I278" s="2"/>
      <c r="J278" s="114">
        <v>4030</v>
      </c>
      <c r="L278" s="57" t="s">
        <v>89</v>
      </c>
      <c r="M278" s="2"/>
      <c r="N278" s="2"/>
      <c r="O278" s="114">
        <v>4160</v>
      </c>
    </row>
    <row r="279" spans="2:15" ht="15.6" thickTop="1" thickBot="1" x14ac:dyDescent="0.35">
      <c r="B279" s="58" t="s">
        <v>162</v>
      </c>
      <c r="C279" s="59"/>
      <c r="D279" s="59"/>
      <c r="E279" s="120"/>
      <c r="G279" s="58" t="s">
        <v>162</v>
      </c>
      <c r="H279" s="59"/>
      <c r="I279" s="59"/>
      <c r="J279" s="120"/>
      <c r="L279" s="58" t="s">
        <v>162</v>
      </c>
      <c r="M279" s="59"/>
      <c r="N279" s="59"/>
      <c r="O279" s="120"/>
    </row>
    <row r="280" spans="2:15" ht="15" thickTop="1" x14ac:dyDescent="0.3">
      <c r="B280" s="118" t="s">
        <v>207</v>
      </c>
      <c r="C280" s="2"/>
      <c r="D280" s="2"/>
      <c r="E280" s="113">
        <v>21290</v>
      </c>
      <c r="G280" s="118" t="s">
        <v>207</v>
      </c>
      <c r="H280" s="2"/>
      <c r="I280" s="2"/>
      <c r="J280" s="113">
        <v>22390</v>
      </c>
      <c r="L280" s="118" t="s">
        <v>207</v>
      </c>
      <c r="M280" s="2"/>
      <c r="N280" s="2"/>
      <c r="O280" s="113">
        <v>23590</v>
      </c>
    </row>
    <row r="281" spans="2:15" x14ac:dyDescent="0.3">
      <c r="B281" s="119" t="s">
        <v>208</v>
      </c>
      <c r="C281" s="2"/>
      <c r="D281" s="2"/>
      <c r="E281" s="65">
        <v>460</v>
      </c>
      <c r="G281" s="119" t="s">
        <v>208</v>
      </c>
      <c r="H281" s="2"/>
      <c r="I281" s="2"/>
      <c r="J281" s="65">
        <v>460</v>
      </c>
      <c r="L281" s="119" t="s">
        <v>208</v>
      </c>
      <c r="M281" s="2"/>
      <c r="N281" s="2"/>
      <c r="O281" s="65">
        <v>460</v>
      </c>
    </row>
    <row r="282" spans="2:15" x14ac:dyDescent="0.3">
      <c r="B282" s="57" t="s">
        <v>100</v>
      </c>
      <c r="C282" s="2"/>
      <c r="D282" s="2"/>
      <c r="E282" s="66">
        <v>800</v>
      </c>
      <c r="G282" s="57" t="s">
        <v>100</v>
      </c>
      <c r="H282" s="2"/>
      <c r="I282" s="2"/>
      <c r="J282" s="66">
        <v>700</v>
      </c>
      <c r="L282" s="57" t="s">
        <v>100</v>
      </c>
      <c r="M282" s="2"/>
      <c r="N282" s="2"/>
      <c r="O282" s="66">
        <v>1900</v>
      </c>
    </row>
    <row r="283" spans="2:15" x14ac:dyDescent="0.3">
      <c r="B283" s="119" t="s">
        <v>209</v>
      </c>
      <c r="C283" s="2"/>
      <c r="D283" s="2"/>
      <c r="E283" s="121">
        <v>2352.6</v>
      </c>
      <c r="G283" s="119" t="s">
        <v>209</v>
      </c>
      <c r="H283" s="2"/>
      <c r="I283" s="2"/>
      <c r="J283" s="121">
        <v>2402.6</v>
      </c>
      <c r="L283" s="119" t="s">
        <v>209</v>
      </c>
      <c r="M283" s="2"/>
      <c r="N283" s="2"/>
      <c r="O283" s="121">
        <v>2426.6</v>
      </c>
    </row>
    <row r="284" spans="2:15" ht="15" thickBot="1" x14ac:dyDescent="0.35">
      <c r="B284" s="57" t="s">
        <v>102</v>
      </c>
      <c r="C284" s="2"/>
      <c r="D284" s="2"/>
      <c r="E284" s="66">
        <v>68</v>
      </c>
      <c r="G284" s="57" t="s">
        <v>102</v>
      </c>
      <c r="H284" s="2"/>
      <c r="I284" s="2"/>
      <c r="J284" s="66">
        <v>42</v>
      </c>
      <c r="L284" s="57" t="s">
        <v>102</v>
      </c>
      <c r="M284" s="2"/>
      <c r="N284" s="2"/>
      <c r="O284" s="66">
        <v>66</v>
      </c>
    </row>
    <row r="285" spans="2:15" ht="15.6" thickTop="1" thickBot="1" x14ac:dyDescent="0.35">
      <c r="B285" s="122" t="s">
        <v>39</v>
      </c>
      <c r="C285" s="59"/>
      <c r="D285" s="59"/>
      <c r="E285" s="120"/>
      <c r="G285" s="122" t="s">
        <v>39</v>
      </c>
      <c r="H285" s="59"/>
      <c r="I285" s="59"/>
      <c r="J285" s="120"/>
      <c r="L285" s="122" t="s">
        <v>39</v>
      </c>
      <c r="M285" s="59"/>
      <c r="N285" s="59"/>
      <c r="O285" s="120"/>
    </row>
    <row r="286" spans="2:15" ht="15" thickTop="1" x14ac:dyDescent="0.3">
      <c r="B286" s="57" t="s">
        <v>98</v>
      </c>
      <c r="C286" s="2"/>
      <c r="D286" s="2"/>
      <c r="E286" s="65">
        <v>17001.570000000007</v>
      </c>
      <c r="G286" s="57" t="s">
        <v>98</v>
      </c>
      <c r="H286" s="2"/>
      <c r="I286" s="2"/>
      <c r="J286" s="65">
        <v>17768.240000000005</v>
      </c>
      <c r="L286" s="57" t="s">
        <v>98</v>
      </c>
      <c r="M286" s="2"/>
      <c r="N286" s="2"/>
      <c r="O286" s="65">
        <v>18383.240000000005</v>
      </c>
    </row>
    <row r="287" spans="2:15" x14ac:dyDescent="0.3">
      <c r="B287" s="57" t="s">
        <v>101</v>
      </c>
      <c r="C287" s="2"/>
      <c r="D287" s="2"/>
      <c r="E287" s="66">
        <v>973.34</v>
      </c>
      <c r="G287" s="57" t="s">
        <v>101</v>
      </c>
      <c r="H287" s="2"/>
      <c r="I287" s="2"/>
      <c r="J287" s="66">
        <v>691.67000000000007</v>
      </c>
      <c r="L287" s="57" t="s">
        <v>101</v>
      </c>
      <c r="M287" s="2"/>
      <c r="N287" s="2"/>
      <c r="O287" s="66">
        <v>1306.67</v>
      </c>
    </row>
    <row r="288" spans="2:15" ht="15" thickBot="1" x14ac:dyDescent="0.35">
      <c r="B288" s="70" t="s">
        <v>93</v>
      </c>
      <c r="C288" s="69"/>
      <c r="D288" s="60"/>
      <c r="E288" s="68">
        <v>4288.429999999993</v>
      </c>
      <c r="G288" s="70" t="s">
        <v>93</v>
      </c>
      <c r="H288" s="69"/>
      <c r="I288" s="60"/>
      <c r="J288" s="68">
        <v>4621.7599999999948</v>
      </c>
      <c r="L288" s="70" t="s">
        <v>93</v>
      </c>
      <c r="M288" s="69"/>
      <c r="N288" s="60"/>
      <c r="O288" s="68">
        <v>5206.7599999999948</v>
      </c>
    </row>
    <row r="289" spans="2:15" ht="15" thickTop="1" x14ac:dyDescent="0.3">
      <c r="B289" s="57" t="s">
        <v>99</v>
      </c>
      <c r="C289" s="2"/>
      <c r="D289" s="2"/>
      <c r="E289" s="65">
        <v>1620.6</v>
      </c>
      <c r="G289" s="57" t="s">
        <v>99</v>
      </c>
      <c r="H289" s="2"/>
      <c r="I289" s="2"/>
      <c r="J289" s="65">
        <v>1721.6</v>
      </c>
      <c r="L289" s="57" t="s">
        <v>99</v>
      </c>
      <c r="M289" s="2"/>
      <c r="N289" s="2"/>
      <c r="O289" s="65">
        <v>1750.6</v>
      </c>
    </row>
    <row r="290" spans="2:15" x14ac:dyDescent="0.3">
      <c r="B290" s="57" t="s">
        <v>103</v>
      </c>
      <c r="C290" s="2"/>
      <c r="D290" s="2"/>
      <c r="E290" s="66">
        <v>130</v>
      </c>
      <c r="G290" s="57" t="s">
        <v>103</v>
      </c>
      <c r="H290" s="2"/>
      <c r="I290" s="2"/>
      <c r="J290" s="66">
        <v>98</v>
      </c>
      <c r="L290" s="57" t="s">
        <v>103</v>
      </c>
      <c r="M290" s="2"/>
      <c r="N290" s="2"/>
      <c r="O290" s="66">
        <v>127</v>
      </c>
    </row>
    <row r="291" spans="2:15" ht="15" thickBot="1" x14ac:dyDescent="0.35">
      <c r="B291" s="70" t="s">
        <v>95</v>
      </c>
      <c r="C291" s="60"/>
      <c r="D291" s="60"/>
      <c r="E291" s="68">
        <v>732</v>
      </c>
      <c r="G291" s="70" t="s">
        <v>95</v>
      </c>
      <c r="H291" s="60"/>
      <c r="I291" s="60"/>
      <c r="J291" s="68">
        <v>681</v>
      </c>
      <c r="L291" s="70" t="s">
        <v>95</v>
      </c>
      <c r="M291" s="60"/>
      <c r="N291" s="60"/>
      <c r="O291" s="68">
        <v>676</v>
      </c>
    </row>
    <row r="292" spans="2:15" ht="15.6" thickTop="1" thickBot="1" x14ac:dyDescent="0.35">
      <c r="B292" s="58" t="s">
        <v>210</v>
      </c>
      <c r="C292" s="123"/>
      <c r="D292" s="59"/>
      <c r="E292" s="127"/>
      <c r="G292" s="58" t="s">
        <v>210</v>
      </c>
      <c r="H292" s="123"/>
      <c r="I292" s="59"/>
      <c r="J292" s="127"/>
      <c r="L292" s="58" t="s">
        <v>210</v>
      </c>
      <c r="M292" s="123"/>
      <c r="N292" s="59"/>
      <c r="O292" s="127"/>
    </row>
    <row r="293" spans="2:15" ht="15" thickTop="1" x14ac:dyDescent="0.3">
      <c r="B293" s="57" t="s">
        <v>211</v>
      </c>
      <c r="C293" s="115"/>
      <c r="D293" s="2"/>
      <c r="E293" s="67">
        <v>184.69999999999996</v>
      </c>
      <c r="G293" s="57" t="s">
        <v>211</v>
      </c>
      <c r="H293" s="115"/>
      <c r="I293" s="2"/>
      <c r="J293" s="67">
        <v>184.69999999999996</v>
      </c>
      <c r="L293" s="57" t="s">
        <v>211</v>
      </c>
      <c r="M293" s="115"/>
      <c r="N293" s="2"/>
      <c r="O293" s="67">
        <v>184.69999999999996</v>
      </c>
    </row>
    <row r="294" spans="2:15" x14ac:dyDescent="0.3">
      <c r="B294" s="57" t="s">
        <v>228</v>
      </c>
      <c r="C294" s="124"/>
      <c r="D294" s="125"/>
      <c r="E294" s="65">
        <v>450</v>
      </c>
      <c r="G294" s="57" t="s">
        <v>228</v>
      </c>
      <c r="H294" s="124"/>
      <c r="I294" s="125"/>
      <c r="J294" s="65">
        <v>450</v>
      </c>
      <c r="L294" s="57" t="s">
        <v>228</v>
      </c>
      <c r="M294" s="124"/>
      <c r="N294" s="125"/>
      <c r="O294" s="65">
        <v>450</v>
      </c>
    </row>
    <row r="295" spans="2:15" x14ac:dyDescent="0.3">
      <c r="B295" s="57" t="s">
        <v>227</v>
      </c>
      <c r="C295" s="124"/>
      <c r="D295" s="125"/>
      <c r="E295" s="65">
        <v>88</v>
      </c>
      <c r="G295" s="57" t="s">
        <v>227</v>
      </c>
      <c r="H295" s="124"/>
      <c r="I295" s="125"/>
      <c r="J295" s="65">
        <v>88</v>
      </c>
      <c r="L295" s="57" t="s">
        <v>227</v>
      </c>
      <c r="M295" s="124"/>
      <c r="N295" s="125"/>
      <c r="O295" s="65">
        <v>88</v>
      </c>
    </row>
    <row r="296" spans="2:15" x14ac:dyDescent="0.3">
      <c r="B296" s="57" t="s">
        <v>91</v>
      </c>
      <c r="C296" s="2"/>
      <c r="D296" s="2"/>
      <c r="E296" s="64">
        <v>3570</v>
      </c>
      <c r="G296" s="57" t="s">
        <v>91</v>
      </c>
      <c r="H296" s="2"/>
      <c r="I296" s="2"/>
      <c r="J296" s="64">
        <v>3570</v>
      </c>
      <c r="L296" s="57" t="s">
        <v>91</v>
      </c>
      <c r="M296" s="2"/>
      <c r="N296" s="2"/>
      <c r="O296" s="64">
        <v>3700</v>
      </c>
    </row>
    <row r="297" spans="2:15" x14ac:dyDescent="0.3">
      <c r="B297" s="57" t="s">
        <v>97</v>
      </c>
      <c r="C297" s="2"/>
      <c r="D297" s="2"/>
      <c r="E297" s="63">
        <v>274.61538461538464</v>
      </c>
      <c r="G297" s="57" t="s">
        <v>97</v>
      </c>
      <c r="H297" s="2"/>
      <c r="I297" s="2"/>
      <c r="J297" s="63">
        <v>274.61538461538464</v>
      </c>
      <c r="L297" s="57" t="s">
        <v>97</v>
      </c>
      <c r="M297" s="2"/>
      <c r="N297" s="2"/>
      <c r="O297" s="63">
        <v>284.61538461538464</v>
      </c>
    </row>
    <row r="298" spans="2:15" x14ac:dyDescent="0.3">
      <c r="B298" s="57" t="s">
        <v>218</v>
      </c>
      <c r="C298" s="2"/>
      <c r="D298" s="2"/>
      <c r="E298" s="64">
        <v>1999.3</v>
      </c>
      <c r="G298" s="57" t="s">
        <v>218</v>
      </c>
      <c r="H298" s="2"/>
      <c r="I298" s="2"/>
      <c r="J298" s="64">
        <v>2049.2999999999997</v>
      </c>
      <c r="L298" s="57" t="s">
        <v>218</v>
      </c>
      <c r="M298" s="2"/>
      <c r="N298" s="2"/>
      <c r="O298" s="64">
        <v>2073.2999999999997</v>
      </c>
    </row>
    <row r="299" spans="2:15" ht="15" thickBot="1" x14ac:dyDescent="0.35">
      <c r="B299" s="57" t="s">
        <v>94</v>
      </c>
      <c r="C299" s="2"/>
      <c r="D299" s="126"/>
      <c r="E299" s="131">
        <v>353.8900000000001</v>
      </c>
      <c r="G299" s="57" t="s">
        <v>94</v>
      </c>
      <c r="H299" s="2"/>
      <c r="I299" s="126"/>
      <c r="J299" s="131">
        <v>523.55999999999995</v>
      </c>
      <c r="L299" s="57" t="s">
        <v>94</v>
      </c>
      <c r="M299" s="2"/>
      <c r="N299" s="126"/>
      <c r="O299" s="131">
        <v>17.559999999999945</v>
      </c>
    </row>
    <row r="300" spans="2:15" ht="15.6" thickTop="1" thickBot="1" x14ac:dyDescent="0.35">
      <c r="B300" s="61" t="s">
        <v>92</v>
      </c>
      <c r="C300" s="62"/>
      <c r="D300" s="128"/>
      <c r="E300" s="129">
        <v>5696.3199999999933</v>
      </c>
      <c r="G300" s="61" t="s">
        <v>92</v>
      </c>
      <c r="H300" s="62"/>
      <c r="I300" s="128"/>
      <c r="J300" s="129">
        <v>5826.3199999999943</v>
      </c>
      <c r="L300" s="61" t="s">
        <v>92</v>
      </c>
      <c r="M300" s="62"/>
      <c r="N300" s="128"/>
      <c r="O300" s="129">
        <v>5900.3199999999943</v>
      </c>
    </row>
    <row r="301" spans="2:15" ht="15.6" thickTop="1" thickBot="1" x14ac:dyDescent="0.35">
      <c r="B301" s="61" t="s">
        <v>96</v>
      </c>
      <c r="C301" s="62"/>
      <c r="D301" s="128"/>
      <c r="E301" s="140">
        <v>5569.3</v>
      </c>
      <c r="G301" s="61" t="s">
        <v>96</v>
      </c>
      <c r="H301" s="62"/>
      <c r="I301" s="128"/>
      <c r="J301" s="140">
        <v>5619.2999999999993</v>
      </c>
      <c r="L301" s="61" t="s">
        <v>96</v>
      </c>
      <c r="M301" s="62"/>
      <c r="N301" s="128"/>
      <c r="O301" s="140">
        <v>5773.2999999999993</v>
      </c>
    </row>
    <row r="302" spans="2:15" ht="15.6" thickTop="1" thickBot="1" x14ac:dyDescent="0.35"/>
    <row r="303" spans="2:15" ht="15.6" thickTop="1" thickBot="1" x14ac:dyDescent="0.35">
      <c r="B303" s="371" t="s">
        <v>90</v>
      </c>
      <c r="C303" s="398"/>
      <c r="D303" s="372"/>
      <c r="E303" s="72">
        <v>44788</v>
      </c>
      <c r="G303" s="371" t="s">
        <v>90</v>
      </c>
      <c r="H303" s="398"/>
      <c r="I303" s="372"/>
      <c r="J303" s="72">
        <v>44788</v>
      </c>
    </row>
    <row r="304" spans="2:15" ht="15.6" thickTop="1" thickBot="1" x14ac:dyDescent="0.35">
      <c r="B304" s="375"/>
      <c r="C304" s="399"/>
      <c r="D304" s="376"/>
      <c r="E304" s="72">
        <v>45791</v>
      </c>
      <c r="G304" s="375"/>
      <c r="H304" s="399"/>
      <c r="I304" s="376"/>
      <c r="J304" s="72">
        <v>45822</v>
      </c>
    </row>
    <row r="305" spans="2:10" ht="15.6" thickTop="1" thickBot="1" x14ac:dyDescent="0.35">
      <c r="B305" s="57" t="s">
        <v>89</v>
      </c>
      <c r="C305" s="2"/>
      <c r="D305" s="2"/>
      <c r="E305" s="114">
        <v>4810</v>
      </c>
      <c r="G305" s="57" t="s">
        <v>89</v>
      </c>
      <c r="H305" s="2"/>
      <c r="I305" s="2"/>
      <c r="J305" s="114">
        <v>5220</v>
      </c>
    </row>
    <row r="306" spans="2:10" ht="15.6" thickTop="1" thickBot="1" x14ac:dyDescent="0.35">
      <c r="B306" s="58" t="s">
        <v>162</v>
      </c>
      <c r="C306" s="59"/>
      <c r="D306" s="59"/>
      <c r="E306" s="120"/>
      <c r="G306" s="58" t="s">
        <v>162</v>
      </c>
      <c r="H306" s="59"/>
      <c r="I306" s="59"/>
      <c r="J306" s="120"/>
    </row>
    <row r="307" spans="2:10" ht="15" thickTop="1" x14ac:dyDescent="0.3">
      <c r="B307" s="118" t="s">
        <v>207</v>
      </c>
      <c r="C307" s="2"/>
      <c r="D307" s="2"/>
      <c r="E307" s="113">
        <v>24890</v>
      </c>
      <c r="G307" s="118" t="s">
        <v>207</v>
      </c>
      <c r="H307" s="2"/>
      <c r="I307" s="2"/>
      <c r="J307" s="113">
        <v>28430</v>
      </c>
    </row>
    <row r="308" spans="2:10" x14ac:dyDescent="0.3">
      <c r="B308" s="119" t="s">
        <v>208</v>
      </c>
      <c r="C308" s="2"/>
      <c r="D308" s="2"/>
      <c r="E308" s="65">
        <v>460</v>
      </c>
      <c r="G308" s="119" t="s">
        <v>208</v>
      </c>
      <c r="H308" s="2"/>
      <c r="I308" s="2"/>
      <c r="J308" s="65">
        <v>460</v>
      </c>
    </row>
    <row r="309" spans="2:10" x14ac:dyDescent="0.3">
      <c r="B309" s="57" t="s">
        <v>100</v>
      </c>
      <c r="C309" s="2"/>
      <c r="D309" s="2"/>
      <c r="E309" s="66">
        <v>1300</v>
      </c>
      <c r="G309" s="57" t="s">
        <v>100</v>
      </c>
      <c r="H309" s="2"/>
      <c r="I309" s="2"/>
      <c r="J309" s="66">
        <v>3540</v>
      </c>
    </row>
    <row r="310" spans="2:10" x14ac:dyDescent="0.3">
      <c r="B310" s="119" t="s">
        <v>209</v>
      </c>
      <c r="C310" s="2"/>
      <c r="D310" s="2"/>
      <c r="E310" s="121">
        <v>2532.6</v>
      </c>
      <c r="G310" s="119" t="s">
        <v>209</v>
      </c>
      <c r="H310" s="2"/>
      <c r="I310" s="2"/>
      <c r="J310" s="121">
        <v>3319.4</v>
      </c>
    </row>
    <row r="311" spans="2:10" ht="15" thickBot="1" x14ac:dyDescent="0.35">
      <c r="B311" s="57" t="s">
        <v>102</v>
      </c>
      <c r="C311" s="2"/>
      <c r="D311" s="2"/>
      <c r="E311" s="66">
        <v>106</v>
      </c>
      <c r="G311" s="57" t="s">
        <v>102</v>
      </c>
      <c r="H311" s="2"/>
      <c r="I311" s="2"/>
      <c r="J311" s="66">
        <v>786.8</v>
      </c>
    </row>
    <row r="312" spans="2:10" ht="15.6" thickTop="1" thickBot="1" x14ac:dyDescent="0.35">
      <c r="B312" s="122" t="s">
        <v>39</v>
      </c>
      <c r="C312" s="59"/>
      <c r="D312" s="59"/>
      <c r="E312" s="120"/>
      <c r="G312" s="122" t="s">
        <v>39</v>
      </c>
      <c r="H312" s="59"/>
      <c r="I312" s="59"/>
      <c r="J312" s="120"/>
    </row>
    <row r="313" spans="2:10" ht="15" thickTop="1" x14ac:dyDescent="0.3">
      <c r="B313" s="57" t="s">
        <v>98</v>
      </c>
      <c r="C313" s="2"/>
      <c r="D313" s="2"/>
      <c r="E313" s="65">
        <v>20464.910000000003</v>
      </c>
      <c r="G313" s="57" t="s">
        <v>98</v>
      </c>
      <c r="H313" s="2"/>
      <c r="I313" s="2"/>
      <c r="J313" s="65">
        <v>21879.910000000003</v>
      </c>
    </row>
    <row r="314" spans="2:10" x14ac:dyDescent="0.3">
      <c r="B314" s="57" t="s">
        <v>101</v>
      </c>
      <c r="C314" s="2"/>
      <c r="D314" s="2"/>
      <c r="E314" s="66">
        <v>2081.67</v>
      </c>
      <c r="G314" s="57" t="s">
        <v>101</v>
      </c>
      <c r="H314" s="2"/>
      <c r="I314" s="2"/>
      <c r="J314" s="66">
        <v>1415</v>
      </c>
    </row>
    <row r="315" spans="2:10" ht="15" thickBot="1" x14ac:dyDescent="0.35">
      <c r="B315" s="70" t="s">
        <v>93</v>
      </c>
      <c r="C315" s="69"/>
      <c r="D315" s="60"/>
      <c r="E315" s="68">
        <v>4425.0899999999965</v>
      </c>
      <c r="G315" s="70" t="s">
        <v>93</v>
      </c>
      <c r="H315" s="69"/>
      <c r="I315" s="60"/>
      <c r="J315" s="68">
        <v>6550.0899999999965</v>
      </c>
    </row>
    <row r="316" spans="2:10" ht="15" thickTop="1" x14ac:dyDescent="0.3">
      <c r="B316" s="57" t="s">
        <v>99</v>
      </c>
      <c r="C316" s="2"/>
      <c r="D316" s="2"/>
      <c r="E316" s="65">
        <v>1968.6</v>
      </c>
      <c r="G316" s="57" t="s">
        <v>99</v>
      </c>
      <c r="H316" s="2"/>
      <c r="I316" s="2"/>
      <c r="J316" s="65">
        <v>2126.6</v>
      </c>
    </row>
    <row r="317" spans="2:10" x14ac:dyDescent="0.3">
      <c r="B317" s="57" t="s">
        <v>103</v>
      </c>
      <c r="C317" s="2"/>
      <c r="D317" s="2"/>
      <c r="E317" s="66">
        <v>128</v>
      </c>
      <c r="G317" s="57" t="s">
        <v>103</v>
      </c>
      <c r="H317" s="2"/>
      <c r="I317" s="2"/>
      <c r="J317" s="66">
        <v>138</v>
      </c>
    </row>
    <row r="318" spans="2:10" ht="15" thickBot="1" x14ac:dyDescent="0.35">
      <c r="B318" s="70" t="s">
        <v>95</v>
      </c>
      <c r="C318" s="60"/>
      <c r="D318" s="60"/>
      <c r="E318" s="68">
        <v>564</v>
      </c>
      <c r="G318" s="70" t="s">
        <v>95</v>
      </c>
      <c r="H318" s="60"/>
      <c r="I318" s="60"/>
      <c r="J318" s="68">
        <v>1192.8000000000002</v>
      </c>
    </row>
    <row r="319" spans="2:10" ht="15.6" thickTop="1" thickBot="1" x14ac:dyDescent="0.35">
      <c r="B319" s="58" t="s">
        <v>210</v>
      </c>
      <c r="C319" s="123"/>
      <c r="D319" s="59"/>
      <c r="E319" s="127"/>
      <c r="G319" s="58" t="s">
        <v>210</v>
      </c>
      <c r="H319" s="123"/>
      <c r="I319" s="59"/>
      <c r="J319" s="127"/>
    </row>
    <row r="320" spans="2:10" ht="15" thickTop="1" x14ac:dyDescent="0.3">
      <c r="B320" s="57" t="s">
        <v>211</v>
      </c>
      <c r="C320" s="115"/>
      <c r="D320" s="2"/>
      <c r="E320" s="67">
        <v>184.69999999999996</v>
      </c>
      <c r="G320" s="57" t="s">
        <v>211</v>
      </c>
      <c r="H320" s="115"/>
      <c r="I320" s="2"/>
      <c r="J320" s="67">
        <v>184.69999999999996</v>
      </c>
    </row>
    <row r="321" spans="2:10" x14ac:dyDescent="0.3">
      <c r="B321" s="57" t="s">
        <v>228</v>
      </c>
      <c r="C321" s="124"/>
      <c r="D321" s="125"/>
      <c r="E321" s="65">
        <v>450</v>
      </c>
      <c r="G321" s="57" t="s">
        <v>228</v>
      </c>
      <c r="H321" s="124"/>
      <c r="I321" s="125"/>
      <c r="J321" s="65">
        <v>450</v>
      </c>
    </row>
    <row r="322" spans="2:10" x14ac:dyDescent="0.3">
      <c r="B322" s="57" t="s">
        <v>227</v>
      </c>
      <c r="C322" s="124"/>
      <c r="D322" s="125"/>
      <c r="E322" s="65">
        <v>98</v>
      </c>
      <c r="G322" s="57" t="s">
        <v>227</v>
      </c>
      <c r="H322" s="124"/>
      <c r="I322" s="125"/>
      <c r="J322" s="65">
        <v>118</v>
      </c>
    </row>
    <row r="323" spans="2:10" x14ac:dyDescent="0.3">
      <c r="B323" s="57" t="s">
        <v>91</v>
      </c>
      <c r="C323" s="2"/>
      <c r="D323" s="2"/>
      <c r="E323" s="64">
        <v>4350</v>
      </c>
      <c r="G323" s="57" t="s">
        <v>91</v>
      </c>
      <c r="H323" s="2"/>
      <c r="I323" s="2"/>
      <c r="J323" s="64">
        <v>4760</v>
      </c>
    </row>
    <row r="324" spans="2:10" x14ac:dyDescent="0.3">
      <c r="B324" s="57" t="s">
        <v>97</v>
      </c>
      <c r="C324" s="2"/>
      <c r="D324" s="2"/>
      <c r="E324" s="63">
        <v>255.88235294117646</v>
      </c>
      <c r="G324" s="57" t="s">
        <v>97</v>
      </c>
      <c r="H324" s="2"/>
      <c r="I324" s="2"/>
      <c r="J324" s="63">
        <v>280</v>
      </c>
    </row>
    <row r="325" spans="2:10" x14ac:dyDescent="0.3">
      <c r="B325" s="57" t="s">
        <v>218</v>
      </c>
      <c r="C325" s="2"/>
      <c r="D325" s="2"/>
      <c r="E325" s="64">
        <v>2169.2999999999997</v>
      </c>
      <c r="G325" s="57" t="s">
        <v>218</v>
      </c>
      <c r="H325" s="2"/>
      <c r="I325" s="2"/>
      <c r="J325" s="64">
        <v>2936.1</v>
      </c>
    </row>
    <row r="326" spans="2:10" ht="15" thickBot="1" x14ac:dyDescent="0.35">
      <c r="B326" s="57" t="s">
        <v>94</v>
      </c>
      <c r="C326" s="2"/>
      <c r="D326" s="126"/>
      <c r="E326" s="131">
        <v>1577.23</v>
      </c>
      <c r="G326" s="57" t="s">
        <v>94</v>
      </c>
      <c r="H326" s="2"/>
      <c r="I326" s="126"/>
      <c r="J326" s="131">
        <v>70.23</v>
      </c>
    </row>
    <row r="327" spans="2:10" ht="15.6" thickTop="1" thickBot="1" x14ac:dyDescent="0.35">
      <c r="B327" s="61" t="s">
        <v>92</v>
      </c>
      <c r="C327" s="62"/>
      <c r="D327" s="128"/>
      <c r="E327" s="129">
        <v>6519.2999999999993</v>
      </c>
      <c r="G327" s="61" t="s">
        <v>92</v>
      </c>
      <c r="H327" s="62"/>
      <c r="I327" s="128"/>
      <c r="J327" s="129">
        <v>7696.1</v>
      </c>
    </row>
    <row r="328" spans="2:10" ht="15.6" thickTop="1" thickBot="1" x14ac:dyDescent="0.35">
      <c r="B328" s="61" t="s">
        <v>96</v>
      </c>
      <c r="C328" s="62"/>
      <c r="D328" s="128"/>
      <c r="E328" s="140">
        <v>6566.3199999999961</v>
      </c>
      <c r="G328" s="61" t="s">
        <v>96</v>
      </c>
      <c r="H328" s="62"/>
      <c r="I328" s="128"/>
      <c r="J328" s="140">
        <v>7743.1199999999972</v>
      </c>
    </row>
    <row r="329" spans="2:10" ht="15" thickTop="1" x14ac:dyDescent="0.3"/>
  </sheetData>
  <mergeCells count="36">
    <mergeCell ref="B276:D277"/>
    <mergeCell ref="G276:I277"/>
    <mergeCell ref="L276:N277"/>
    <mergeCell ref="B303:D304"/>
    <mergeCell ref="G303:I304"/>
    <mergeCell ref="B222:D223"/>
    <mergeCell ref="G222:I223"/>
    <mergeCell ref="L222:N223"/>
    <mergeCell ref="B249:D250"/>
    <mergeCell ref="G249:I250"/>
    <mergeCell ref="L249:N250"/>
    <mergeCell ref="B168:D169"/>
    <mergeCell ref="G168:I169"/>
    <mergeCell ref="L168:N169"/>
    <mergeCell ref="B195:D196"/>
    <mergeCell ref="G195:I196"/>
    <mergeCell ref="L195:N196"/>
    <mergeCell ref="B114:D115"/>
    <mergeCell ref="G114:I115"/>
    <mergeCell ref="L114:N115"/>
    <mergeCell ref="B141:D142"/>
    <mergeCell ref="G141:I142"/>
    <mergeCell ref="L141:N142"/>
    <mergeCell ref="B60:D61"/>
    <mergeCell ref="G60:I61"/>
    <mergeCell ref="L60:N61"/>
    <mergeCell ref="B87:D88"/>
    <mergeCell ref="G87:I88"/>
    <mergeCell ref="L87:N88"/>
    <mergeCell ref="B2:O4"/>
    <mergeCell ref="B6:D7"/>
    <mergeCell ref="G6:I7"/>
    <mergeCell ref="L6:N7"/>
    <mergeCell ref="B33:D34"/>
    <mergeCell ref="G33:I34"/>
    <mergeCell ref="L33:N3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workbookViewId="0">
      <selection activeCell="B9" sqref="B9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163" customWidth="1"/>
    <col min="6" max="6" width="8.33203125" bestFit="1" customWidth="1"/>
    <col min="7" max="7" width="9" style="163" bestFit="1" customWidth="1"/>
    <col min="8" max="8" width="8" style="163" bestFit="1" customWidth="1"/>
    <col min="9" max="9" width="8.33203125" style="163" bestFit="1" customWidth="1"/>
    <col min="10" max="10" width="9.88671875" style="163" bestFit="1" customWidth="1"/>
    <col min="11" max="11" width="10" style="163" bestFit="1" customWidth="1"/>
    <col min="12" max="12" width="10.6640625" style="163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167</v>
      </c>
      <c r="B2" s="10"/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B3" s="10"/>
      <c r="D3" s="76" t="s">
        <v>168</v>
      </c>
      <c r="E3" s="96"/>
      <c r="F3" s="76" t="s">
        <v>169</v>
      </c>
      <c r="G3" s="94">
        <f>SUM(E7:E1048576)</f>
        <v>3600</v>
      </c>
      <c r="H3" s="76" t="s">
        <v>170</v>
      </c>
      <c r="I3" s="94">
        <f>SUM($P$7:$P$1048576)</f>
        <v>480</v>
      </c>
      <c r="J3" s="76" t="s">
        <v>171</v>
      </c>
      <c r="K3" s="95">
        <f>G3+I3</f>
        <v>4080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2"/>
      <c r="B5" s="36"/>
      <c r="C5" s="76" t="s">
        <v>45</v>
      </c>
      <c r="D5" s="42"/>
      <c r="E5" s="42"/>
      <c r="F5" s="42"/>
      <c r="G5" s="76" t="s">
        <v>47</v>
      </c>
      <c r="H5" s="230" t="s">
        <v>158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2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9">_xlfn.SEQUENCE(COUNTA(C7:C1048576))</f>
        <v>1</v>
      </c>
      <c r="B7" s="42" t="s">
        <v>304</v>
      </c>
      <c r="C7" s="42" t="s">
        <v>299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71">
        <v>0</v>
      </c>
      <c r="O7" s="71">
        <f t="shared" ref="O7" si="0">E7-N7</f>
        <v>0</v>
      </c>
      <c r="P7" s="71">
        <v>0</v>
      </c>
      <c r="Q7" s="71">
        <f t="shared" ref="Q7" si="1">K7-P7</f>
        <v>0</v>
      </c>
    </row>
    <row r="8" spans="1:17" x14ac:dyDescent="0.3">
      <c r="A8" s="42">
        <v>2</v>
      </c>
      <c r="B8" s="42" t="s">
        <v>383</v>
      </c>
      <c r="C8" s="42" t="s">
        <v>299</v>
      </c>
      <c r="D8" s="38">
        <v>45792</v>
      </c>
      <c r="E8" s="160">
        <v>2000</v>
      </c>
      <c r="F8" s="42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160">
        <v>2480</v>
      </c>
      <c r="N8" s="71">
        <f>SUMIFS(PAGOS!$F$3:$F$1048576,PAGOS!$A$3:$A$1048576,"&lt;&gt;INGRESO*",PAGOS!$A$3:$A$1048576,"&lt;&gt;EGRESO*",PAGOS!$E$3:$E$1048576,+MID('17'!B8,6,3)*1)</f>
        <v>2000</v>
      </c>
      <c r="O8" s="71">
        <f t="shared" ref="O8" si="2">E8-N8</f>
        <v>0</v>
      </c>
      <c r="P8" s="71">
        <f>SUMIFS(PAGOS!$I$3:$I$1048576,PAGOS!$A$3:$A$1048576,"&lt;&gt;INGRESO*",PAGOS!$A$3:$A$1048576,"&lt;&gt;EGRESO*",PAGOS!$E$3:$E$1048576,+MID('17'!B8,6,3)*1)</f>
        <v>480</v>
      </c>
      <c r="Q8" s="71">
        <f t="shared" ref="Q8" si="3">K8-P8</f>
        <v>0</v>
      </c>
    </row>
    <row r="9" spans="1:17" x14ac:dyDescent="0.3">
      <c r="A9">
        <v>3</v>
      </c>
      <c r="B9" t="s">
        <v>565</v>
      </c>
      <c r="C9" t="s">
        <v>299</v>
      </c>
      <c r="D9" s="24">
        <v>46127</v>
      </c>
      <c r="E9" s="163">
        <v>1600</v>
      </c>
      <c r="F9">
        <v>5</v>
      </c>
      <c r="G9" s="163">
        <v>320</v>
      </c>
      <c r="H9" s="163">
        <v>32</v>
      </c>
      <c r="I9" s="163">
        <v>352</v>
      </c>
      <c r="J9" s="163">
        <v>1600</v>
      </c>
      <c r="K9" s="163">
        <v>160</v>
      </c>
      <c r="L9" s="163">
        <v>1760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workbookViewId="0">
      <selection activeCell="H11" sqref="H1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03" bestFit="1" customWidth="1"/>
    <col min="6" max="6" width="8.44140625" style="163" bestFit="1" customWidth="1"/>
    <col min="7" max="7" width="9.109375" style="164" bestFit="1" customWidth="1"/>
    <col min="8" max="9" width="8.33203125" style="163" bestFit="1" customWidth="1"/>
    <col min="10" max="10" width="8.6640625" style="163" bestFit="1" customWidth="1"/>
    <col min="11" max="11" width="10.33203125" style="163" bestFit="1" customWidth="1"/>
    <col min="12" max="12" width="10.6640625" style="163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167</v>
      </c>
      <c r="B2" s="10"/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B3" s="10"/>
      <c r="D3" s="76" t="s">
        <v>168</v>
      </c>
      <c r="E3" s="96"/>
      <c r="F3" s="76" t="s">
        <v>169</v>
      </c>
      <c r="G3" s="94">
        <f>SUM(E7:E1048576)</f>
        <v>1300</v>
      </c>
      <c r="H3" s="76" t="s">
        <v>170</v>
      </c>
      <c r="I3" s="94">
        <f>SUM($P$7:$P$1048576)</f>
        <v>146</v>
      </c>
      <c r="J3" s="76" t="s">
        <v>171</v>
      </c>
      <c r="K3" s="95">
        <f>G3+I3</f>
        <v>1446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159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0">_xlfn.SEQUENCE(COUNTA(C7:C1048576))</f>
        <v>1</v>
      </c>
      <c r="B7" s="42" t="s">
        <v>306</v>
      </c>
      <c r="C7" s="42" t="s">
        <v>300</v>
      </c>
      <c r="D7" s="38">
        <v>45762</v>
      </c>
      <c r="E7" s="11">
        <v>0</v>
      </c>
      <c r="F7" s="11">
        <v>1</v>
      </c>
      <c r="G7" s="180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71">
        <v>0</v>
      </c>
      <c r="O7" s="71">
        <f t="shared" ref="O7" si="0">E7-N7</f>
        <v>0</v>
      </c>
      <c r="P7" s="71">
        <v>0</v>
      </c>
      <c r="Q7" s="71">
        <f t="shared" ref="Q7" si="1">K7-P7</f>
        <v>0</v>
      </c>
    </row>
    <row r="8" spans="1:17" x14ac:dyDescent="0.3">
      <c r="A8" s="42">
        <v>2</v>
      </c>
      <c r="B8" s="42" t="s">
        <v>555</v>
      </c>
      <c r="C8" s="42" t="s">
        <v>300</v>
      </c>
      <c r="D8" s="38">
        <v>45884</v>
      </c>
      <c r="E8" s="11">
        <v>200</v>
      </c>
      <c r="F8" s="11">
        <v>4</v>
      </c>
      <c r="G8" s="180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71">
        <f>SUMIFS(PAGOS!$F$3:$F$1048576,PAGOS!$A$3:$A$1048576,"&lt;&gt;INGRESO*",PAGOS!$A$3:$A$1048576,"&lt;&gt;EGRESO*",PAGOS!$E$3:$E$1048576,+MID('18'!B8,6,3)*1)</f>
        <v>200</v>
      </c>
      <c r="O8" s="71">
        <f t="shared" ref="O8" si="2">E8-N8</f>
        <v>0</v>
      </c>
      <c r="P8" s="71">
        <f>SUMIFS(PAGOS!$I$3:$I$1048576,PAGOS!$A$3:$A$1048576,"&lt;&gt;INGRESO*",PAGOS!$A$3:$A$1048576,"&lt;&gt;EGRESO*",PAGOS!$E$3:$E$1048576,+MID('18'!B8,6,3)*1)</f>
        <v>16</v>
      </c>
      <c r="Q8" s="71">
        <f t="shared" ref="Q8" si="3">K8-P8</f>
        <v>0</v>
      </c>
    </row>
    <row r="9" spans="1:17" x14ac:dyDescent="0.3">
      <c r="A9" s="42">
        <v>3</v>
      </c>
      <c r="B9" s="42" t="s">
        <v>474</v>
      </c>
      <c r="C9" s="42" t="s">
        <v>300</v>
      </c>
      <c r="D9" s="38">
        <v>45945</v>
      </c>
      <c r="E9" s="11">
        <v>400</v>
      </c>
      <c r="F9" s="11">
        <v>4</v>
      </c>
      <c r="G9" s="180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71">
        <f>SUMIFS(PAGOS!$F$3:$F$1048576,PAGOS!$A$3:$A$1048576,"&lt;&gt;INGRESO*",PAGOS!$A$3:$A$1048576,"&lt;&gt;EGRESO*",PAGOS!$E$3:$E$1048576,+MID('18'!B9,6,3)*1)</f>
        <v>400</v>
      </c>
      <c r="O9" s="71">
        <f t="shared" ref="O9" si="4">E9-N9</f>
        <v>0</v>
      </c>
      <c r="P9" s="71">
        <f>SUMIFS(PAGOS!$I$3:$I$1048576,PAGOS!$A$3:$A$1048576,"&lt;&gt;INGRESO*",PAGOS!$A$3:$A$1048576,"&lt;&gt;EGRESO*",PAGOS!$E$3:$E$1048576,+MID('18'!B9,6,3)*1)</f>
        <v>32</v>
      </c>
      <c r="Q9" s="71">
        <f t="shared" ref="Q9" si="5">K9-P9</f>
        <v>0</v>
      </c>
    </row>
    <row r="10" spans="1:17" x14ac:dyDescent="0.3">
      <c r="A10" s="42">
        <v>4</v>
      </c>
      <c r="B10" s="42" t="s">
        <v>498</v>
      </c>
      <c r="C10" s="42" t="s">
        <v>300</v>
      </c>
      <c r="D10" s="38">
        <v>46008</v>
      </c>
      <c r="E10" s="11">
        <v>700</v>
      </c>
      <c r="F10" s="11">
        <v>7</v>
      </c>
      <c r="G10" s="180">
        <v>100</v>
      </c>
      <c r="H10" s="11">
        <v>14</v>
      </c>
      <c r="I10" s="11">
        <v>114</v>
      </c>
      <c r="J10" s="11">
        <v>700</v>
      </c>
      <c r="K10" s="11">
        <v>98</v>
      </c>
      <c r="L10" s="11">
        <v>798</v>
      </c>
      <c r="N10" s="71">
        <f>SUMIFS(PAGOS!$F$3:$F$1048576,PAGOS!$A$3:$A$1048576,"&lt;&gt;INGRESO*",PAGOS!$A$3:$A$1048576,"&lt;&gt;EGRESO*",PAGOS!$E$3:$E$1048576,+MID('18'!B10,6,3)*1)</f>
        <v>700</v>
      </c>
      <c r="O10" s="71">
        <f t="shared" ref="O10" si="6">E10-N10</f>
        <v>0</v>
      </c>
      <c r="P10" s="71">
        <f>SUMIFS(PAGOS!$I$3:$I$1048576,PAGOS!$A$3:$A$1048576,"&lt;&gt;INGRESO*",PAGOS!$A$3:$A$1048576,"&lt;&gt;EGRESO*",PAGOS!$E$3:$E$1048576,+MID('18'!B10,6,3)*1)</f>
        <v>98</v>
      </c>
      <c r="Q10" s="71">
        <f t="shared" ref="Q10" si="7">K10-P10</f>
        <v>0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workbookViewId="0">
      <selection activeCell="B9" sqref="B9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88671875" style="163" bestFit="1" customWidth="1"/>
    <col min="6" max="6" width="8.33203125" bestFit="1" customWidth="1"/>
    <col min="7" max="7" width="9" style="163" bestFit="1" customWidth="1"/>
    <col min="8" max="8" width="8.109375" style="163" bestFit="1" customWidth="1"/>
    <col min="9" max="9" width="8.33203125" style="163" bestFit="1" customWidth="1"/>
    <col min="10" max="10" width="9.88671875" style="163" bestFit="1" customWidth="1"/>
    <col min="11" max="11" width="10.109375" style="163" bestFit="1" customWidth="1"/>
    <col min="12" max="12" width="10.6640625" style="163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167</v>
      </c>
      <c r="B2" s="10"/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B3" s="10"/>
      <c r="D3" s="76" t="s">
        <v>168</v>
      </c>
      <c r="E3" s="96"/>
      <c r="F3" s="76" t="s">
        <v>169</v>
      </c>
      <c r="G3" s="94">
        <f>SUM(E7:E1048576)</f>
        <v>1000</v>
      </c>
      <c r="H3" s="76" t="s">
        <v>170</v>
      </c>
      <c r="I3" s="94">
        <f>SUM($P$7:$P$1048576)</f>
        <v>100</v>
      </c>
      <c r="J3" s="76" t="s">
        <v>171</v>
      </c>
      <c r="K3" s="95">
        <f>G3+I3</f>
        <v>1100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8">_xlfn.SEQUENCE(COUNTA(C7:C1048576))</f>
        <v>1</v>
      </c>
      <c r="B7" s="42" t="s">
        <v>308</v>
      </c>
      <c r="C7" s="42" t="s">
        <v>301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71">
        <v>0</v>
      </c>
      <c r="O7" s="71">
        <f>E7-N7</f>
        <v>0</v>
      </c>
      <c r="P7" s="71">
        <v>0</v>
      </c>
      <c r="Q7" s="71">
        <f>K7-P7</f>
        <v>0</v>
      </c>
    </row>
    <row r="8" spans="1:17" x14ac:dyDescent="0.3">
      <c r="A8" s="42">
        <v>2</v>
      </c>
      <c r="B8" s="42" t="s">
        <v>478</v>
      </c>
      <c r="C8" s="42" t="s">
        <v>301</v>
      </c>
      <c r="D8" s="38">
        <v>45976</v>
      </c>
      <c r="E8" s="11">
        <v>1000</v>
      </c>
      <c r="F8" s="42">
        <v>10</v>
      </c>
      <c r="G8" s="11">
        <v>100</v>
      </c>
      <c r="H8" s="11">
        <v>20</v>
      </c>
      <c r="I8" s="11">
        <v>120</v>
      </c>
      <c r="J8" s="11">
        <v>1000</v>
      </c>
      <c r="K8" s="11">
        <v>200</v>
      </c>
      <c r="L8" s="11">
        <v>1200</v>
      </c>
      <c r="N8" s="71">
        <f>SUMIFS(PAGOS[PAGO DEL MONTO],PAGOS[REG],"&lt;&gt;INGRESO*",PAGOS[REG],"&lt;&gt;EGRESO*",PAGOS['# PESTAMO],MID(B8,6,3)*1)</f>
        <v>500</v>
      </c>
      <c r="O8" s="71">
        <f>E8-N8</f>
        <v>500</v>
      </c>
      <c r="P8" s="71">
        <f>SUMIFS(PAGOS[PAGO DEL INTERES],PAGOS[REG],"&lt;&gt;INGRESO*",PAGOS[REG],"&lt;&gt;EGRESO*",PAGOS['# PESTAMO],MID(B8,6,3)*1)</f>
        <v>100</v>
      </c>
      <c r="Q8" s="71">
        <f>K8-P8</f>
        <v>100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workbookViewId="0"/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167</v>
      </c>
      <c r="B2" s="10"/>
      <c r="D2" s="91" t="s">
        <v>173</v>
      </c>
      <c r="E2" s="92"/>
      <c r="F2" s="92"/>
      <c r="G2" s="92"/>
      <c r="H2" s="92"/>
      <c r="I2" s="92"/>
      <c r="J2" s="92"/>
      <c r="K2" s="93"/>
    </row>
    <row r="3" spans="1:17" x14ac:dyDescent="0.3">
      <c r="B3" s="10"/>
      <c r="D3" s="76" t="s">
        <v>168</v>
      </c>
      <c r="E3" s="96"/>
      <c r="F3" s="76" t="s">
        <v>169</v>
      </c>
      <c r="G3" s="94">
        <f>SUM(E7:E1048576)</f>
        <v>0</v>
      </c>
      <c r="H3" s="76" t="s">
        <v>170</v>
      </c>
      <c r="I3" s="94">
        <f>SUM($P$7:$P$1048576)</f>
        <v>108.5</v>
      </c>
      <c r="J3" s="76" t="s">
        <v>171</v>
      </c>
      <c r="K3" s="95">
        <f>G3+I3</f>
        <v>108.5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160</v>
      </c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162" t="e" cm="1" vm="1">
        <f t="array" ref="A7">"000"&amp;_xlfn.SEQUENCE(COUNTA(C7:C1048576))</f>
        <v>#VALUE!</v>
      </c>
      <c r="B7" s="167"/>
      <c r="C7" s="162"/>
      <c r="D7" s="166"/>
      <c r="E7" s="165"/>
      <c r="F7" s="162"/>
      <c r="G7" s="165"/>
      <c r="H7" s="165"/>
      <c r="I7" s="168"/>
      <c r="J7" s="165"/>
      <c r="K7" s="165"/>
      <c r="L7" s="171"/>
      <c r="N7" s="71">
        <f>SUMIFS(PAGOS!$F$3:$F$1048576,PAGOS!$A$3:$A$1048576,"&lt;&gt;INGRESO*",PAGOS!$A$3:$A$1048576,"&lt;&gt;EGRESO*",PAGOS!$E$3:$E$1048576,B7)</f>
        <v>1614.2100000000003</v>
      </c>
      <c r="O7" s="71">
        <f>E7-N7</f>
        <v>-1614.2100000000003</v>
      </c>
      <c r="P7" s="71">
        <f>SUMIFS(PAGOS!$I$3:$I$1048576,PAGOS!$A$3:$A$1048576,"&lt;&gt;INGRESO*",PAGOS!$A$3:$A$1048576,"&lt;&gt;EGRESO*",PAGOS!$E$3:$E$1048576,B7)</f>
        <v>108.5</v>
      </c>
      <c r="Q7" s="71">
        <f>K7-P7</f>
        <v>-108.5</v>
      </c>
    </row>
    <row r="8" spans="1:17" x14ac:dyDescent="0.3">
      <c r="A8" s="161"/>
      <c r="B8" s="161"/>
      <c r="C8" s="161"/>
      <c r="D8" s="169"/>
      <c r="E8" s="170"/>
      <c r="F8" s="161"/>
      <c r="G8" s="161"/>
      <c r="H8" s="161"/>
      <c r="I8" s="161"/>
      <c r="J8" s="161"/>
      <c r="K8" s="161"/>
      <c r="L8" s="170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0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75" t="s">
        <v>136</v>
      </c>
    </row>
    <row r="3" spans="2:6" x14ac:dyDescent="0.3">
      <c r="B3" s="76" t="s">
        <v>137</v>
      </c>
      <c r="C3" s="77">
        <v>46133</v>
      </c>
      <c r="D3" s="76" t="s">
        <v>138</v>
      </c>
      <c r="E3" s="78">
        <v>0.02</v>
      </c>
    </row>
    <row r="4" spans="2:6" x14ac:dyDescent="0.3">
      <c r="B4" s="76" t="s">
        <v>139</v>
      </c>
      <c r="C4" s="79" t="s">
        <v>355</v>
      </c>
      <c r="D4" s="76" t="s">
        <v>140</v>
      </c>
      <c r="E4" s="80">
        <f>C6*E3</f>
        <v>4</v>
      </c>
      <c r="F4" s="81"/>
    </row>
    <row r="5" spans="2:6" x14ac:dyDescent="0.3">
      <c r="B5" s="76" t="s">
        <v>163</v>
      </c>
      <c r="C5" s="222">
        <v>125</v>
      </c>
      <c r="D5" s="76" t="s">
        <v>142</v>
      </c>
      <c r="E5" s="82">
        <f>C6/C7</f>
        <v>200</v>
      </c>
      <c r="F5" s="83"/>
    </row>
    <row r="6" spans="2:6" x14ac:dyDescent="0.3">
      <c r="B6" s="76" t="s">
        <v>141</v>
      </c>
      <c r="C6" s="89">
        <v>200</v>
      </c>
      <c r="D6" s="76" t="s">
        <v>144</v>
      </c>
      <c r="E6" s="85">
        <f>E4+E5</f>
        <v>204</v>
      </c>
      <c r="F6" s="86"/>
    </row>
    <row r="7" spans="2:6" x14ac:dyDescent="0.3">
      <c r="B7" s="76" t="s">
        <v>143</v>
      </c>
      <c r="C7" s="84">
        <v>1</v>
      </c>
      <c r="D7" s="76" t="s">
        <v>145</v>
      </c>
      <c r="E7" s="90">
        <f>(E6)*C7</f>
        <v>204</v>
      </c>
      <c r="F7" s="71"/>
    </row>
    <row r="8" spans="2:6" x14ac:dyDescent="0.3">
      <c r="B8" s="5"/>
      <c r="C8" s="98"/>
      <c r="D8" s="5"/>
      <c r="E8" s="99"/>
      <c r="F8" s="71"/>
    </row>
    <row r="9" spans="2:6" x14ac:dyDescent="0.3">
      <c r="B9" s="76" t="s">
        <v>176</v>
      </c>
      <c r="C9" s="100" t="s">
        <v>571</v>
      </c>
      <c r="D9" s="101"/>
      <c r="E9" s="101"/>
      <c r="F9" s="102"/>
    </row>
    <row r="11" spans="2:6" x14ac:dyDescent="0.3">
      <c r="B11" s="87" t="s">
        <v>177</v>
      </c>
      <c r="C11" s="87" t="s">
        <v>146</v>
      </c>
      <c r="D11" s="87" t="s">
        <v>147</v>
      </c>
      <c r="E11" s="87" t="s">
        <v>148</v>
      </c>
      <c r="F11" s="87" t="s">
        <v>149</v>
      </c>
    </row>
    <row r="19" spans="3:5" x14ac:dyDescent="0.3">
      <c r="C19" t="s">
        <v>164</v>
      </c>
      <c r="E19" t="s">
        <v>164</v>
      </c>
    </row>
    <row r="20" spans="3:5" x14ac:dyDescent="0.3">
      <c r="C20" t="s">
        <v>165</v>
      </c>
      <c r="E20" t="s">
        <v>166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75" t="s">
        <v>136</v>
      </c>
    </row>
    <row r="3" spans="2:6" x14ac:dyDescent="0.3">
      <c r="B3" s="76" t="s">
        <v>137</v>
      </c>
      <c r="C3" s="77">
        <v>46121</v>
      </c>
      <c r="D3" s="76" t="s">
        <v>138</v>
      </c>
      <c r="E3" s="78">
        <v>0.02</v>
      </c>
    </row>
    <row r="4" spans="2:6" x14ac:dyDescent="0.3">
      <c r="B4" s="76" t="s">
        <v>139</v>
      </c>
      <c r="C4" s="79" t="s">
        <v>23</v>
      </c>
      <c r="D4" s="76" t="s">
        <v>140</v>
      </c>
      <c r="E4" s="80">
        <f>+SUM(D12:D1048576)</f>
        <v>0</v>
      </c>
      <c r="F4" s="81"/>
    </row>
    <row r="5" spans="2:6" x14ac:dyDescent="0.3">
      <c r="B5" s="76" t="s">
        <v>163</v>
      </c>
      <c r="C5" s="88">
        <v>123</v>
      </c>
      <c r="D5" s="76" t="s">
        <v>476</v>
      </c>
      <c r="E5" s="82">
        <f>+SUM(E12:E1048576)</f>
        <v>0</v>
      </c>
      <c r="F5" s="83"/>
    </row>
    <row r="6" spans="2:6" x14ac:dyDescent="0.3">
      <c r="B6" s="76" t="s">
        <v>141</v>
      </c>
      <c r="C6" s="89">
        <v>150</v>
      </c>
      <c r="D6" s="76" t="s">
        <v>144</v>
      </c>
      <c r="E6" s="82">
        <f>C6*((E3*(1+E3)^C7)/((1+E3)^C7-1))</f>
        <v>52.013200888772772</v>
      </c>
      <c r="F6" s="86"/>
    </row>
    <row r="7" spans="2:6" x14ac:dyDescent="0.3">
      <c r="B7" s="76" t="s">
        <v>143</v>
      </c>
      <c r="C7" s="84">
        <v>3</v>
      </c>
      <c r="D7" s="76" t="s">
        <v>145</v>
      </c>
      <c r="E7" s="90">
        <f>+SUM(C12:C1048576)</f>
        <v>0</v>
      </c>
      <c r="F7" s="71"/>
    </row>
    <row r="8" spans="2:6" x14ac:dyDescent="0.3">
      <c r="B8" s="5"/>
      <c r="C8" s="98"/>
      <c r="D8" s="5"/>
      <c r="E8" s="99"/>
      <c r="F8" s="71"/>
    </row>
    <row r="9" spans="2:6" x14ac:dyDescent="0.3">
      <c r="B9" s="76" t="s">
        <v>176</v>
      </c>
      <c r="C9" s="100" t="s">
        <v>536</v>
      </c>
      <c r="D9" s="101"/>
      <c r="E9" s="101"/>
      <c r="F9" s="102"/>
    </row>
    <row r="11" spans="2:6" x14ac:dyDescent="0.3">
      <c r="B11" s="87" t="s">
        <v>177</v>
      </c>
      <c r="C11" s="87" t="s">
        <v>146</v>
      </c>
      <c r="D11" s="87" t="s">
        <v>147</v>
      </c>
      <c r="E11" s="87" t="s">
        <v>148</v>
      </c>
      <c r="F11" s="87" t="s">
        <v>149</v>
      </c>
    </row>
    <row r="21" spans="3:5" x14ac:dyDescent="0.3">
      <c r="C21" t="s">
        <v>164</v>
      </c>
      <c r="E21" t="s">
        <v>164</v>
      </c>
    </row>
    <row r="22" spans="3:5" x14ac:dyDescent="0.3">
      <c r="C22" t="s">
        <v>165</v>
      </c>
      <c r="E22" t="s">
        <v>166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957C-43B5-4F6E-A442-9D62F1B334A3}">
  <sheetPr codeName="Hoja30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75" t="s">
        <v>136</v>
      </c>
    </row>
    <row r="3" spans="2:6" x14ac:dyDescent="0.3">
      <c r="B3" s="76" t="s">
        <v>137</v>
      </c>
      <c r="C3" s="77">
        <v>46121</v>
      </c>
      <c r="D3" s="76" t="s">
        <v>138</v>
      </c>
      <c r="E3" s="78">
        <v>0.02</v>
      </c>
    </row>
    <row r="4" spans="2:6" x14ac:dyDescent="0.3">
      <c r="B4" s="76" t="s">
        <v>139</v>
      </c>
      <c r="C4" s="79" t="s">
        <v>23</v>
      </c>
      <c r="D4" s="76" t="s">
        <v>140</v>
      </c>
      <c r="E4" s="80">
        <f>+SUM(D12:D1048576)</f>
        <v>0</v>
      </c>
      <c r="F4" s="81"/>
    </row>
    <row r="5" spans="2:6" x14ac:dyDescent="0.3">
      <c r="B5" s="76" t="s">
        <v>163</v>
      </c>
      <c r="C5" s="222">
        <v>124</v>
      </c>
      <c r="D5" s="76" t="s">
        <v>476</v>
      </c>
      <c r="E5" s="82">
        <f>+SUM(E12:E1048576)</f>
        <v>0</v>
      </c>
      <c r="F5" s="83"/>
    </row>
    <row r="6" spans="2:6" x14ac:dyDescent="0.3">
      <c r="B6" s="76" t="s">
        <v>141</v>
      </c>
      <c r="C6" s="89">
        <v>150</v>
      </c>
      <c r="D6" s="76" t="s">
        <v>477</v>
      </c>
      <c r="E6" s="82">
        <f>+C6/C7</f>
        <v>50</v>
      </c>
      <c r="F6" s="86"/>
    </row>
    <row r="7" spans="2:6" x14ac:dyDescent="0.3">
      <c r="B7" s="76" t="s">
        <v>143</v>
      </c>
      <c r="C7" s="84">
        <v>3</v>
      </c>
      <c r="D7" s="76" t="s">
        <v>145</v>
      </c>
      <c r="E7" s="90">
        <f>+SUM(C12:C1048576)</f>
        <v>0</v>
      </c>
      <c r="F7" s="71"/>
    </row>
    <row r="8" spans="2:6" x14ac:dyDescent="0.3">
      <c r="B8" s="5"/>
      <c r="C8" s="98"/>
      <c r="D8" s="5"/>
      <c r="E8" s="99"/>
      <c r="F8" s="71"/>
    </row>
    <row r="9" spans="2:6" x14ac:dyDescent="0.3">
      <c r="B9" s="76" t="s">
        <v>176</v>
      </c>
      <c r="C9" s="100" t="s">
        <v>537</v>
      </c>
      <c r="D9" s="101"/>
      <c r="E9" s="101"/>
      <c r="F9" s="102"/>
    </row>
    <row r="11" spans="2:6" x14ac:dyDescent="0.3">
      <c r="B11" s="87" t="s">
        <v>177</v>
      </c>
      <c r="C11" s="87" t="s">
        <v>146</v>
      </c>
      <c r="D11" s="87" t="s">
        <v>147</v>
      </c>
      <c r="E11" s="87" t="s">
        <v>148</v>
      </c>
      <c r="F11" s="87" t="s">
        <v>149</v>
      </c>
    </row>
    <row r="21" spans="3:5" x14ac:dyDescent="0.3">
      <c r="C21" t="s">
        <v>164</v>
      </c>
      <c r="E21" t="s">
        <v>164</v>
      </c>
    </row>
    <row r="22" spans="3:5" x14ac:dyDescent="0.3">
      <c r="C22" t="s">
        <v>165</v>
      </c>
      <c r="E22" t="s">
        <v>166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/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workbookViewId="0">
      <selection activeCell="C17" sqref="C17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03" bestFit="1" customWidth="1"/>
    <col min="6" max="6" width="11.109375" customWidth="1"/>
    <col min="7" max="8" width="11" style="103" bestFit="1" customWidth="1"/>
    <col min="9" max="9" width="11" style="104" bestFit="1" customWidth="1"/>
    <col min="10" max="11" width="15.44140625" style="103" customWidth="1"/>
    <col min="12" max="12" width="13.5546875" style="103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1500</v>
      </c>
      <c r="H3" s="76" t="s">
        <v>170</v>
      </c>
      <c r="I3" s="94">
        <f>SUM($P$7:$P$1048576)</f>
        <v>108</v>
      </c>
      <c r="J3" s="76" t="s">
        <v>171</v>
      </c>
      <c r="K3" s="95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42"/>
      <c r="C5" s="76" t="s">
        <v>45</v>
      </c>
      <c r="D5" s="42"/>
      <c r="E5" s="42"/>
      <c r="F5" s="42"/>
      <c r="G5" s="76" t="s">
        <v>47</v>
      </c>
      <c r="H5" s="230" t="s">
        <v>1</v>
      </c>
      <c r="I5" s="230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1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3">_xlfn.SEQUENCE(COUNTA(C7:C1048576))</f>
        <v>1</v>
      </c>
      <c r="B7" s="42" t="s">
        <v>539</v>
      </c>
      <c r="C7" s="42" t="s">
        <v>12</v>
      </c>
      <c r="D7" s="38">
        <v>44910</v>
      </c>
      <c r="E7" s="141">
        <v>100</v>
      </c>
      <c r="F7" s="42">
        <v>4</v>
      </c>
      <c r="G7" s="141">
        <v>25</v>
      </c>
      <c r="H7" s="141">
        <v>2</v>
      </c>
      <c r="I7" s="142">
        <v>27</v>
      </c>
      <c r="J7" s="141">
        <v>100</v>
      </c>
      <c r="K7" s="141">
        <v>8</v>
      </c>
      <c r="L7" s="141">
        <v>108</v>
      </c>
      <c r="N7" s="71">
        <f>SUMIFS(PAGOS!$F$3:$F$1048576,PAGOS!$A$3:$A$1048576,"&lt;&gt;INGRESO*",PAGOS!$A$3:$A$1048576,"&lt;&gt;EGRESO*",PAGOS!$E$3:$E$1048576,+MID('04'!B7,6,3)*1)</f>
        <v>100</v>
      </c>
      <c r="O7" s="71">
        <f t="shared" ref="O7:O12" si="0">E7-N7</f>
        <v>0</v>
      </c>
      <c r="P7" s="71">
        <f>SUMIFS(PAGOS!$I$3:$I$1048576,PAGOS!$A$3:$A$1048576,"&lt;&gt;INGRESO*",PAGOS!$A$3:$A$1048576,"&lt;&gt;EGRESO*",PAGOS!$E$3:$E$1048576,+MID('04'!B7,6,3)*1)</f>
        <v>8</v>
      </c>
      <c r="Q7" s="71">
        <f t="shared" ref="Q7:Q12" si="1">K7-P7</f>
        <v>0</v>
      </c>
    </row>
    <row r="8" spans="1:17" x14ac:dyDescent="0.3">
      <c r="A8" s="42">
        <v>2</v>
      </c>
      <c r="B8" s="42" t="s">
        <v>540</v>
      </c>
      <c r="C8" s="42" t="s">
        <v>12</v>
      </c>
      <c r="D8" s="38">
        <v>45031</v>
      </c>
      <c r="E8" s="141">
        <v>100</v>
      </c>
      <c r="F8" s="42">
        <v>4</v>
      </c>
      <c r="G8" s="141">
        <v>25</v>
      </c>
      <c r="H8" s="141">
        <v>2</v>
      </c>
      <c r="I8" s="142">
        <v>27</v>
      </c>
      <c r="J8" s="141">
        <v>100</v>
      </c>
      <c r="K8" s="141">
        <v>8</v>
      </c>
      <c r="L8" s="141">
        <v>108</v>
      </c>
      <c r="N8" s="71">
        <f>SUMIFS(PAGOS!$F$3:$F$1048576,PAGOS!$A$3:$A$1048576,"&lt;&gt;INGRESO*",PAGOS!$A$3:$A$1048576,"&lt;&gt;EGRESO*",PAGOS!$E$3:$E$1048576,+MID('04'!B8,6,3)*1)</f>
        <v>100</v>
      </c>
      <c r="O8" s="71">
        <f t="shared" si="0"/>
        <v>0</v>
      </c>
      <c r="P8" s="71">
        <f>SUMIFS(PAGOS!$I$3:$I$1048576,PAGOS!$A$3:$A$1048576,"&lt;&gt;INGRESO*",PAGOS!$A$3:$A$1048576,"&lt;&gt;EGRESO*",PAGOS!$E$3:$E$1048576,+MID('04'!B8,6,3)*1)</f>
        <v>8</v>
      </c>
      <c r="Q8" s="71">
        <f t="shared" si="1"/>
        <v>0</v>
      </c>
    </row>
    <row r="9" spans="1:17" x14ac:dyDescent="0.3">
      <c r="A9" s="42">
        <v>3</v>
      </c>
      <c r="B9" s="42" t="s">
        <v>541</v>
      </c>
      <c r="C9" s="42" t="s">
        <v>12</v>
      </c>
      <c r="D9" s="38">
        <v>45159</v>
      </c>
      <c r="E9" s="141">
        <v>100</v>
      </c>
      <c r="F9" s="42">
        <v>1</v>
      </c>
      <c r="G9" s="141">
        <v>100</v>
      </c>
      <c r="H9" s="141">
        <v>2</v>
      </c>
      <c r="I9" s="142">
        <v>102</v>
      </c>
      <c r="J9" s="141">
        <v>100</v>
      </c>
      <c r="K9" s="141">
        <v>2</v>
      </c>
      <c r="L9" s="141">
        <v>102</v>
      </c>
      <c r="N9" s="71">
        <f>SUMIFS(PAGOS!$F$3:$F$1048576,PAGOS!$A$3:$A$1048576,"&lt;&gt;INGRESO*",PAGOS!$A$3:$A$1048576,"&lt;&gt;EGRESO*",PAGOS!$E$3:$E$1048576,+MID('04'!B9,6,3)*1)</f>
        <v>100</v>
      </c>
      <c r="O9" s="71">
        <f t="shared" si="0"/>
        <v>0</v>
      </c>
      <c r="P9" s="71">
        <f>SUMIFS(PAGOS!$I$3:$I$1048576,PAGOS!$A$3:$A$1048576,"&lt;&gt;INGRESO*",PAGOS!$A$3:$A$1048576,"&lt;&gt;EGRESO*",PAGOS!$E$3:$E$1048576,+MID('04'!B9,6,3)*1)</f>
        <v>2</v>
      </c>
      <c r="Q9" s="71">
        <f t="shared" si="1"/>
        <v>0</v>
      </c>
    </row>
    <row r="10" spans="1:17" x14ac:dyDescent="0.3">
      <c r="A10" s="42">
        <v>4</v>
      </c>
      <c r="B10" s="42" t="s">
        <v>183</v>
      </c>
      <c r="C10" s="42" t="s">
        <v>12</v>
      </c>
      <c r="D10" s="38">
        <v>45341</v>
      </c>
      <c r="E10" s="11">
        <v>100</v>
      </c>
      <c r="F10" s="42">
        <v>4</v>
      </c>
      <c r="G10" s="11">
        <v>25</v>
      </c>
      <c r="H10" s="11">
        <v>2</v>
      </c>
      <c r="I10" s="143">
        <v>27</v>
      </c>
      <c r="J10" s="11">
        <v>100</v>
      </c>
      <c r="K10" s="11">
        <v>8</v>
      </c>
      <c r="L10" s="11">
        <v>108</v>
      </c>
      <c r="N10" s="71">
        <f>SUMIFS(PAGOS!$F$3:$F$1048576,PAGOS!$A$3:$A$1048576,"&lt;&gt;INGRESO*",PAGOS!$A$3:$A$1048576,"&lt;&gt;EGRESO*",PAGOS!$E$3:$E$1048576,+MID('04'!B10,6,3)*1)</f>
        <v>100</v>
      </c>
      <c r="O10" s="71">
        <f t="shared" si="0"/>
        <v>0</v>
      </c>
      <c r="P10" s="71">
        <f>SUMIFS(PAGOS!$I$3:$I$1048576,PAGOS!$A$3:$A$1048576,"&lt;&gt;INGRESO*",PAGOS!$A$3:$A$1048576,"&lt;&gt;EGRESO*",PAGOS!$E$3:$E$1048576,+MID('04'!B10,6,3)*1)</f>
        <v>8</v>
      </c>
      <c r="Q10" s="71">
        <f t="shared" si="1"/>
        <v>0</v>
      </c>
    </row>
    <row r="11" spans="1:17" x14ac:dyDescent="0.3">
      <c r="A11" s="42">
        <v>5</v>
      </c>
      <c r="B11" s="42" t="s">
        <v>221</v>
      </c>
      <c r="C11" s="42" t="s">
        <v>12</v>
      </c>
      <c r="D11" s="38">
        <v>45519</v>
      </c>
      <c r="E11" s="11">
        <v>300</v>
      </c>
      <c r="F11" s="42">
        <v>6</v>
      </c>
      <c r="G11" s="11">
        <v>50</v>
      </c>
      <c r="H11" s="11">
        <v>6</v>
      </c>
      <c r="I11" s="143">
        <v>56</v>
      </c>
      <c r="J11" s="11">
        <v>300</v>
      </c>
      <c r="K11" s="11">
        <v>36</v>
      </c>
      <c r="L11" s="11">
        <v>336</v>
      </c>
      <c r="N11" s="71">
        <f>SUMIFS(PAGOS!$F$3:$F$1048576,PAGOS!$A$3:$A$1048576,"&lt;&gt;INGRESO*",PAGOS!$A$3:$A$1048576,"&lt;&gt;EGRESO*",PAGOS!$E$3:$E$1048576,+MID('04'!B11,6,3)*1)</f>
        <v>300</v>
      </c>
      <c r="O11" s="71">
        <f t="shared" si="0"/>
        <v>0</v>
      </c>
      <c r="P11" s="71">
        <f>SUMIFS(PAGOS!$I$3:$I$1048576,PAGOS!$A$3:$A$1048576,"&lt;&gt;INGRESO*",PAGOS!$A$3:$A$1048576,"&lt;&gt;EGRESO*",PAGOS!$E$3:$E$1048576,+MID('04'!B11,6,3)*1)</f>
        <v>36</v>
      </c>
      <c r="Q11" s="71">
        <f t="shared" si="1"/>
        <v>0</v>
      </c>
    </row>
    <row r="12" spans="1:17" x14ac:dyDescent="0.3">
      <c r="A12" s="42">
        <v>6</v>
      </c>
      <c r="B12" s="42" t="s">
        <v>303</v>
      </c>
      <c r="C12" s="42" t="s">
        <v>12</v>
      </c>
      <c r="D12" s="38">
        <v>45731.834143518521</v>
      </c>
      <c r="E12" s="11">
        <v>700</v>
      </c>
      <c r="F12" s="42">
        <v>3</v>
      </c>
      <c r="G12" s="11">
        <v>233.33333333333334</v>
      </c>
      <c r="H12" s="11">
        <v>14</v>
      </c>
      <c r="I12" s="143">
        <v>247.33333333333334</v>
      </c>
      <c r="J12" s="11">
        <v>700</v>
      </c>
      <c r="K12" s="11">
        <v>42</v>
      </c>
      <c r="L12" s="11">
        <v>742</v>
      </c>
      <c r="N12" s="71">
        <f>SUMIFS(PAGOS!$F$3:$F$1048576,PAGOS!$A$3:$A$1048576,"&lt;&gt;INGRESO*",PAGOS!$A$3:$A$1048576,"&lt;&gt;EGRESO*",PAGOS!$E$3:$E$1048576,+MID('04'!B12,6,3)*1)</f>
        <v>700</v>
      </c>
      <c r="O12" s="71">
        <f t="shared" si="0"/>
        <v>0</v>
      </c>
      <c r="P12" s="71">
        <f>SUMIFS(PAGOS!$I$3:$I$1048576,PAGOS!$A$3:$A$1048576,"&lt;&gt;INGRESO*",PAGOS!$A$3:$A$1048576,"&lt;&gt;EGRESO*",PAGOS!$E$3:$E$1048576,+MID('04'!B12,6,3)*1)</f>
        <v>42</v>
      </c>
      <c r="Q12" s="71">
        <f t="shared" si="1"/>
        <v>0</v>
      </c>
    </row>
    <row r="13" spans="1:17" x14ac:dyDescent="0.3">
      <c r="A13" s="42">
        <v>7</v>
      </c>
      <c r="B13" s="42" t="s">
        <v>423</v>
      </c>
      <c r="C13" s="42" t="s">
        <v>12</v>
      </c>
      <c r="D13" s="38">
        <v>45892</v>
      </c>
      <c r="E13" s="11">
        <v>100</v>
      </c>
      <c r="F13" s="42">
        <v>2</v>
      </c>
      <c r="G13" s="11">
        <v>50</v>
      </c>
      <c r="H13" s="11">
        <v>2</v>
      </c>
      <c r="I13" s="143">
        <v>52</v>
      </c>
      <c r="J13" s="11">
        <v>100</v>
      </c>
      <c r="K13" s="11">
        <v>4</v>
      </c>
      <c r="L13" s="11">
        <v>104</v>
      </c>
      <c r="N13" s="71">
        <f>SUMIFS(PAGOS!$F$3:$F$1048576,PAGOS!$A$3:$A$1048576,"&lt;&gt;INGRESO*",PAGOS!$A$3:$A$1048576,"&lt;&gt;EGRESO*",PAGOS!$E$3:$E$1048576,+MID('04'!B13,6,3)*1)</f>
        <v>100</v>
      </c>
      <c r="O13" s="71">
        <f t="shared" ref="O13" si="2">E13-N13</f>
        <v>0</v>
      </c>
      <c r="P13" s="71">
        <f>SUMIFS(PAGOS!$I$3:$I$1048576,PAGOS!$A$3:$A$1048576,"&lt;&gt;INGRESO*",PAGOS!$A$3:$A$1048576,"&lt;&gt;EGRESO*",PAGOS!$E$3:$E$1048576,+MID('04'!B13,6,3)*1)</f>
        <v>4</v>
      </c>
      <c r="Q13" s="71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workbookViewId="0">
      <selection activeCell="B1" sqref="B1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03" bestFit="1" customWidth="1"/>
    <col min="9" max="9" width="11" style="104" bestFit="1" customWidth="1"/>
    <col min="10" max="12" width="11" style="103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1260</v>
      </c>
      <c r="H3" s="76" t="s">
        <v>170</v>
      </c>
      <c r="I3" s="94">
        <f>SUM($P$7:$P$1048576)</f>
        <v>76.400000000000006</v>
      </c>
      <c r="J3" s="76" t="s">
        <v>171</v>
      </c>
      <c r="K3" s="95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2"/>
      <c r="B5" s="42"/>
      <c r="C5" s="76" t="s">
        <v>45</v>
      </c>
      <c r="D5" s="42"/>
      <c r="E5" s="42"/>
      <c r="F5" s="42"/>
      <c r="G5" s="76" t="s">
        <v>47</v>
      </c>
      <c r="H5" s="230" t="s">
        <v>0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1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0">_xlfn.SEQUENCE(COUNTA(C7:C1048576))</f>
        <v>1</v>
      </c>
      <c r="B7" s="42" t="s">
        <v>538</v>
      </c>
      <c r="C7" s="42" t="s">
        <v>13</v>
      </c>
      <c r="D7" s="38">
        <v>45184</v>
      </c>
      <c r="E7" s="106">
        <v>100</v>
      </c>
      <c r="F7" s="42">
        <v>4</v>
      </c>
      <c r="G7" s="106">
        <v>25</v>
      </c>
      <c r="H7" s="106">
        <v>2</v>
      </c>
      <c r="I7" s="107">
        <v>27</v>
      </c>
      <c r="J7" s="106">
        <v>100</v>
      </c>
      <c r="K7" s="106">
        <v>8</v>
      </c>
      <c r="L7" s="106">
        <v>108</v>
      </c>
      <c r="N7" s="71">
        <f>SUMIFS(PAGOS!$F$3:$F$1048576,PAGOS!$A$3:$A$1048576,"&lt;&gt;INGRESO*",PAGOS!$A$3:$A$1048576,"&lt;&gt;EGRESO*",PAGOS!$E$3:$E$1048576,+MID('03'!B7,6,3)*1)</f>
        <v>100</v>
      </c>
      <c r="O7" s="71">
        <f>E7-N7</f>
        <v>0</v>
      </c>
      <c r="P7" s="71">
        <f>SUMIFS(PAGOS!$I$3:$I$1048576,PAGOS!$A$3:$A$1048576,"&lt;&gt;INGRESO*",PAGOS!$A$3:$A$1048576,"&lt;&gt;EGRESO*",PAGOS!$E$3:$E$1048576,+MID('03'!B7,6,3)*1)</f>
        <v>8</v>
      </c>
      <c r="Q7" s="71">
        <f>K7-P7</f>
        <v>0</v>
      </c>
    </row>
    <row r="8" spans="1:17" x14ac:dyDescent="0.3">
      <c r="A8" s="42">
        <v>2</v>
      </c>
      <c r="B8" s="42" t="s">
        <v>252</v>
      </c>
      <c r="C8" s="42" t="s">
        <v>13</v>
      </c>
      <c r="D8" s="38">
        <v>45611</v>
      </c>
      <c r="E8" s="106">
        <v>500</v>
      </c>
      <c r="F8" s="42">
        <v>3</v>
      </c>
      <c r="G8" s="11">
        <v>166.66666666666666</v>
      </c>
      <c r="H8" s="11">
        <v>10</v>
      </c>
      <c r="I8" s="143">
        <v>176.66666666666666</v>
      </c>
      <c r="J8" s="11">
        <v>500</v>
      </c>
      <c r="K8" s="11">
        <v>30</v>
      </c>
      <c r="L8" s="11">
        <v>530</v>
      </c>
      <c r="N8" s="71">
        <f>SUMIFS(PAGOS!$F$3:$F$1048576,PAGOS!$A$3:$A$1048576,"&lt;&gt;INGRESO*",PAGOS!$A$3:$A$1048576,"&lt;&gt;EGRESO*",PAGOS!$E$3:$E$1048576,+MID('03'!B8,6,3)*1)</f>
        <v>500.01</v>
      </c>
      <c r="O8" s="71">
        <f>E8-N8</f>
        <v>-9.9999999999909051E-3</v>
      </c>
      <c r="P8" s="71">
        <f>SUMIFS(PAGOS!$I$3:$I$1048576,PAGOS!$A$3:$A$1048576,"&lt;&gt;INGRESO*",PAGOS!$A$3:$A$1048576,"&lt;&gt;EGRESO*",PAGOS!$E$3:$E$1048576,+MID('03'!B8,6,3)*1)</f>
        <v>30</v>
      </c>
      <c r="Q8" s="71">
        <f>K8-P8</f>
        <v>0</v>
      </c>
    </row>
    <row r="9" spans="1:17" x14ac:dyDescent="0.3">
      <c r="A9" s="42">
        <v>3</v>
      </c>
      <c r="B9" s="106" t="s">
        <v>323</v>
      </c>
      <c r="C9" s="106" t="s">
        <v>13</v>
      </c>
      <c r="D9" s="38">
        <v>45762</v>
      </c>
      <c r="E9" s="106">
        <v>600</v>
      </c>
      <c r="F9" s="42">
        <v>3</v>
      </c>
      <c r="G9" s="11">
        <v>200</v>
      </c>
      <c r="H9" s="11">
        <v>12</v>
      </c>
      <c r="I9" s="143">
        <v>212</v>
      </c>
      <c r="J9" s="11">
        <v>600</v>
      </c>
      <c r="K9" s="11">
        <v>36</v>
      </c>
      <c r="L9" s="11">
        <v>636</v>
      </c>
      <c r="N9" s="71">
        <f>SUMIFS(PAGOS!$F$3:$F$1048576,PAGOS!$A$3:$A$1048576,"&lt;&gt;INGRESO*",PAGOS!$A$3:$A$1048576,"&lt;&gt;EGRESO*",PAGOS!$E$3:$E$1048576,+MID('03'!B9,6,3)*1)</f>
        <v>600</v>
      </c>
      <c r="O9" s="71">
        <f>E9-N9</f>
        <v>0</v>
      </c>
      <c r="P9" s="71">
        <f>SUMIFS(PAGOS!$I$3:$I$1048576,PAGOS!$A$3:$A$1048576,"&lt;&gt;INGRESO*",PAGOS!$A$3:$A$1048576,"&lt;&gt;EGRESO*",PAGOS!$E$3:$E$1048576,+MID('03'!B9,6,3)*1)</f>
        <v>36</v>
      </c>
      <c r="Q9" s="71">
        <f>K9-P9</f>
        <v>0</v>
      </c>
    </row>
    <row r="10" spans="1:17" x14ac:dyDescent="0.3">
      <c r="A10" s="42">
        <v>4</v>
      </c>
      <c r="B10" s="42" t="s">
        <v>446</v>
      </c>
      <c r="C10" s="42" t="s">
        <v>13</v>
      </c>
      <c r="D10" s="38">
        <v>45910</v>
      </c>
      <c r="E10" s="106">
        <v>60</v>
      </c>
      <c r="F10" s="42">
        <v>2</v>
      </c>
      <c r="G10" s="11">
        <v>30</v>
      </c>
      <c r="H10" s="11">
        <v>1.2</v>
      </c>
      <c r="I10" s="143">
        <v>31.2</v>
      </c>
      <c r="J10" s="11">
        <v>60</v>
      </c>
      <c r="K10" s="11">
        <v>2.4</v>
      </c>
      <c r="L10" s="11">
        <v>62.4</v>
      </c>
      <c r="N10" s="71">
        <f>SUMIFS(PAGOS!$F$3:$F$1048576,PAGOS!$A$3:$A$1048576,"&lt;&gt;INGRESO*",PAGOS!$A$3:$A$1048576,"&lt;&gt;EGRESO*",PAGOS!$E$3:$E$1048576,+MID('03'!B10,6,3)*1)</f>
        <v>60</v>
      </c>
      <c r="O10" s="71">
        <f>E10-N10</f>
        <v>0</v>
      </c>
      <c r="P10" s="71">
        <f>SUMIFS(PAGOS!$I$3:$I$1048576,PAGOS!$A$3:$A$1048576,"&lt;&gt;INGRESO*",PAGOS!$A$3:$A$1048576,"&lt;&gt;EGRESO*",PAGOS!$E$3:$E$1048576,+MID('03'!B10,6,3)*1)</f>
        <v>2.4</v>
      </c>
      <c r="Q10" s="71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workbookViewId="0">
      <selection activeCell="C21" sqref="C21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03" bestFit="1" customWidth="1"/>
    <col min="9" max="9" width="8.33203125" style="104" customWidth="1"/>
    <col min="10" max="10" width="11.33203125" style="103" customWidth="1"/>
    <col min="11" max="12" width="11.6640625" style="103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5000</v>
      </c>
      <c r="H3" s="76" t="s">
        <v>170</v>
      </c>
      <c r="I3" s="94">
        <f>SUM($P$7:$P$1048576)</f>
        <v>684</v>
      </c>
      <c r="J3" s="76" t="s">
        <v>171</v>
      </c>
      <c r="K3" s="95">
        <f>G3+I3</f>
        <v>5684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2"/>
      <c r="B5" s="42"/>
      <c r="C5" s="76" t="s">
        <v>45</v>
      </c>
      <c r="D5" s="42"/>
      <c r="E5" s="42"/>
      <c r="F5" s="42"/>
      <c r="G5" s="76" t="s">
        <v>47</v>
      </c>
      <c r="H5" s="230" t="s">
        <v>2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1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5">_xlfn.SEQUENCE(COUNTA(C7:C1048576))</f>
        <v>1</v>
      </c>
      <c r="B7" s="42" t="s">
        <v>175</v>
      </c>
      <c r="C7" s="42" t="s">
        <v>14</v>
      </c>
      <c r="D7" s="38">
        <v>45153</v>
      </c>
      <c r="E7" s="106">
        <v>100</v>
      </c>
      <c r="F7" s="42">
        <v>2</v>
      </c>
      <c r="G7" s="106">
        <v>50</v>
      </c>
      <c r="H7" s="106">
        <v>2</v>
      </c>
      <c r="I7" s="107">
        <v>52</v>
      </c>
      <c r="J7" s="106">
        <v>100</v>
      </c>
      <c r="K7" s="106">
        <v>4</v>
      </c>
      <c r="L7" s="106">
        <v>104</v>
      </c>
      <c r="N7" s="71">
        <f>SUMIFS(PAGOS!$F$3:$F$1048576,PAGOS!$A$3:$A$1048576,"&lt;&gt;INGRESO*",PAGOS!$A$3:$A$1048576,"&lt;&gt;EGRESO*",PAGOS!$E$3:$E$1048576,+MID('05'!B7,6,3)*1)</f>
        <v>100</v>
      </c>
      <c r="O7" s="71">
        <f t="shared" ref="O7:O12" si="0">E7-N7</f>
        <v>0</v>
      </c>
      <c r="P7" s="71">
        <f>SUMIFS(PAGOS!$I$3:$I$1048576,PAGOS!$A$3:$A$1048576,"&lt;&gt;INGRESO*",PAGOS!$A$3:$A$1048576,"&lt;&gt;EGRESO*",PAGOS!$E$3:$E$1048576,+MID('05'!B7,6,3)*1)</f>
        <v>4</v>
      </c>
      <c r="Q7" s="71">
        <f t="shared" ref="Q7:Q12" si="1">K7-P7</f>
        <v>0</v>
      </c>
    </row>
    <row r="8" spans="1:17" x14ac:dyDescent="0.3">
      <c r="A8" s="42">
        <v>2</v>
      </c>
      <c r="B8" s="42" t="s">
        <v>542</v>
      </c>
      <c r="C8" s="42" t="s">
        <v>14</v>
      </c>
      <c r="D8" s="38">
        <v>44972</v>
      </c>
      <c r="E8" s="106">
        <v>300</v>
      </c>
      <c r="F8" s="42">
        <v>3</v>
      </c>
      <c r="G8" s="106">
        <v>100</v>
      </c>
      <c r="H8" s="106">
        <v>6</v>
      </c>
      <c r="I8" s="107">
        <v>106</v>
      </c>
      <c r="J8" s="106">
        <v>300</v>
      </c>
      <c r="K8" s="106">
        <v>18</v>
      </c>
      <c r="L8" s="106">
        <v>318</v>
      </c>
      <c r="N8" s="71">
        <f>SUMIFS(PAGOS!$F$3:$F$1048576,PAGOS!$A$3:$A$1048576,"&lt;&gt;INGRESO*",PAGOS!$A$3:$A$1048576,"&lt;&gt;EGRESO*",PAGOS!$E$3:$E$1048576,+MID('05'!B8,6,3)*1)</f>
        <v>300</v>
      </c>
      <c r="O8" s="71">
        <f t="shared" si="0"/>
        <v>0</v>
      </c>
      <c r="P8" s="71">
        <f>SUMIFS(PAGOS!$I$3:$I$1048576,PAGOS!$A$3:$A$1048576,"&lt;&gt;INGRESO*",PAGOS!$A$3:$A$1048576,"&lt;&gt;EGRESO*",PAGOS!$E$3:$E$1048576,+MID('05'!B8,6,3)*1)</f>
        <v>18</v>
      </c>
      <c r="Q8" s="71">
        <f t="shared" si="1"/>
        <v>0</v>
      </c>
    </row>
    <row r="9" spans="1:17" x14ac:dyDescent="0.3">
      <c r="A9" s="42">
        <v>3</v>
      </c>
      <c r="B9" s="42" t="s">
        <v>174</v>
      </c>
      <c r="C9" s="42" t="s">
        <v>14</v>
      </c>
      <c r="D9" s="38">
        <v>45092</v>
      </c>
      <c r="E9" s="106">
        <v>400</v>
      </c>
      <c r="F9" s="42">
        <v>4</v>
      </c>
      <c r="G9" s="106">
        <v>100</v>
      </c>
      <c r="H9" s="106">
        <v>8</v>
      </c>
      <c r="I9" s="107">
        <v>208</v>
      </c>
      <c r="J9" s="106">
        <v>400</v>
      </c>
      <c r="K9" s="106">
        <v>32</v>
      </c>
      <c r="L9" s="106">
        <v>432</v>
      </c>
      <c r="N9" s="71">
        <f>SUMIFS(PAGOS!$F$3:$F$1048576,PAGOS!$A$3:$A$1048576,"&lt;&gt;INGRESO*",PAGOS!$A$3:$A$1048576,"&lt;&gt;EGRESO*",PAGOS!$E$3:$E$1048576,+MID('05'!B9,6,3)*1)</f>
        <v>400</v>
      </c>
      <c r="O9" s="71">
        <f t="shared" si="0"/>
        <v>0</v>
      </c>
      <c r="P9" s="71">
        <f>SUMIFS(PAGOS!$I$3:$I$1048576,PAGOS!$A$3:$A$1048576,"&lt;&gt;INGRESO*",PAGOS!$A$3:$A$1048576,"&lt;&gt;EGRESO*",PAGOS!$E$3:$E$1048576,+MID('05'!B9,6,3)*1)</f>
        <v>32</v>
      </c>
      <c r="Q9" s="71">
        <f t="shared" si="1"/>
        <v>0</v>
      </c>
    </row>
    <row r="10" spans="1:17" x14ac:dyDescent="0.3">
      <c r="A10" s="42">
        <v>4</v>
      </c>
      <c r="B10" s="42" t="s">
        <v>543</v>
      </c>
      <c r="C10" s="42" t="s">
        <v>14</v>
      </c>
      <c r="D10" s="38">
        <v>45245</v>
      </c>
      <c r="E10" s="106">
        <v>200</v>
      </c>
      <c r="F10" s="42">
        <v>4</v>
      </c>
      <c r="G10" s="106">
        <v>50</v>
      </c>
      <c r="H10" s="106">
        <v>4</v>
      </c>
      <c r="I10" s="107">
        <v>54</v>
      </c>
      <c r="J10" s="106">
        <v>200</v>
      </c>
      <c r="K10" s="106">
        <v>16</v>
      </c>
      <c r="L10" s="106">
        <v>216</v>
      </c>
      <c r="N10" s="71">
        <f>SUMIFS(PAGOS!$F$3:$F$1048576,PAGOS!$A$3:$A$1048576,"&lt;&gt;INGRESO*",PAGOS!$A$3:$A$1048576,"&lt;&gt;EGRESO*",PAGOS!$E$3:$E$1048576,+MID('05'!B10,6,3)*1)</f>
        <v>200</v>
      </c>
      <c r="O10" s="71">
        <f t="shared" si="0"/>
        <v>0</v>
      </c>
      <c r="P10" s="71">
        <f>SUMIFS(PAGOS!$I$3:$I$1048576,PAGOS!$A$3:$A$1048576,"&lt;&gt;INGRESO*",PAGOS!$A$3:$A$1048576,"&lt;&gt;EGRESO*",PAGOS!$E$3:$E$1048576,+MID('05'!B10,6,3)*1)</f>
        <v>16</v>
      </c>
      <c r="Q10" s="71">
        <f t="shared" si="1"/>
        <v>0</v>
      </c>
    </row>
    <row r="11" spans="1:17" x14ac:dyDescent="0.3">
      <c r="A11" s="42">
        <v>5</v>
      </c>
      <c r="B11" s="42" t="s">
        <v>184</v>
      </c>
      <c r="C11" s="42" t="s">
        <v>14</v>
      </c>
      <c r="D11" s="38">
        <v>45366</v>
      </c>
      <c r="E11" s="111">
        <v>1000</v>
      </c>
      <c r="F11" s="42">
        <v>10</v>
      </c>
      <c r="G11" s="106">
        <v>100</v>
      </c>
      <c r="H11" s="106">
        <v>20</v>
      </c>
      <c r="I11" s="107">
        <v>120</v>
      </c>
      <c r="J11" s="106">
        <v>1000</v>
      </c>
      <c r="K11" s="106">
        <v>200</v>
      </c>
      <c r="L11" s="106">
        <v>1200</v>
      </c>
      <c r="N11" s="71">
        <f>SUMIFS(PAGOS!$F$3:$F$1048576,PAGOS!$A$3:$A$1048576,"&lt;&gt;INGRESO*",PAGOS!$A$3:$A$1048576,"&lt;&gt;EGRESO*",PAGOS!$E$3:$E$1048576,+MID('05'!B11,6,3)*1)</f>
        <v>1000</v>
      </c>
      <c r="O11" s="71">
        <f t="shared" si="0"/>
        <v>0</v>
      </c>
      <c r="P11" s="71">
        <f>SUMIFS(PAGOS!$I$3:$I$1048576,PAGOS!$A$3:$A$1048576,"&lt;&gt;INGRESO*",PAGOS!$A$3:$A$1048576,"&lt;&gt;EGRESO*",PAGOS!$E$3:$E$1048576,+MID('05'!B11,6,3)*1)</f>
        <v>200</v>
      </c>
      <c r="Q11" s="71">
        <f t="shared" si="1"/>
        <v>0</v>
      </c>
    </row>
    <row r="12" spans="1:17" x14ac:dyDescent="0.3">
      <c r="A12" s="42">
        <v>6</v>
      </c>
      <c r="B12" s="42" t="s">
        <v>288</v>
      </c>
      <c r="C12" s="42" t="s">
        <v>14</v>
      </c>
      <c r="D12" s="38">
        <v>45704</v>
      </c>
      <c r="E12" s="111">
        <v>500</v>
      </c>
      <c r="F12" s="42">
        <v>5</v>
      </c>
      <c r="G12" s="11">
        <v>100</v>
      </c>
      <c r="H12" s="11">
        <v>10</v>
      </c>
      <c r="I12" s="143">
        <v>110</v>
      </c>
      <c r="J12" s="106">
        <v>500</v>
      </c>
      <c r="K12" s="106">
        <v>50</v>
      </c>
      <c r="L12" s="106">
        <v>550</v>
      </c>
      <c r="N12" s="71">
        <f>SUMIFS(PAGOS!$F$3:$F$1048576,PAGOS!$A$3:$A$1048576,"&lt;&gt;INGRESO*",PAGOS!$A$3:$A$1048576,"&lt;&gt;EGRESO*",PAGOS!$E$3:$E$1048576,+MID('05'!B12,6,3)*1)</f>
        <v>500</v>
      </c>
      <c r="O12" s="71">
        <f t="shared" si="0"/>
        <v>0</v>
      </c>
      <c r="P12" s="71">
        <f>SUMIFS(PAGOS!$I$3:$I$1048576,PAGOS!$A$3:$A$1048576,"&lt;&gt;INGRESO*",PAGOS!$A$3:$A$1048576,"&lt;&gt;EGRESO*",PAGOS!$E$3:$E$1048576,+MID('05'!B12,6,3)*1)</f>
        <v>50</v>
      </c>
      <c r="Q12" s="71">
        <f t="shared" si="1"/>
        <v>0</v>
      </c>
    </row>
    <row r="13" spans="1:17" x14ac:dyDescent="0.3">
      <c r="A13" s="42">
        <v>7</v>
      </c>
      <c r="B13" s="42" t="s">
        <v>381</v>
      </c>
      <c r="C13" s="42" t="s">
        <v>14</v>
      </c>
      <c r="D13" s="38">
        <v>45792</v>
      </c>
      <c r="E13" s="111">
        <v>1200</v>
      </c>
      <c r="F13" s="42">
        <v>12</v>
      </c>
      <c r="G13" s="11">
        <v>100</v>
      </c>
      <c r="H13" s="11">
        <v>24</v>
      </c>
      <c r="I13" s="143">
        <v>124</v>
      </c>
      <c r="J13" s="106">
        <v>1200</v>
      </c>
      <c r="K13" s="106">
        <v>288</v>
      </c>
      <c r="L13" s="106">
        <v>1488</v>
      </c>
      <c r="N13" s="71">
        <f>SUMIFS(PAGOS!$F$3:$F$1048576,PAGOS!$A$3:$A$1048576,"&lt;&gt;INGRESO*",PAGOS!$A$3:$A$1048576,"&lt;&gt;EGRESO*",PAGOS!$E$3:$E$1048576,+MID('05'!B13,6,3)*1)</f>
        <v>1200</v>
      </c>
      <c r="O13" s="71">
        <f t="shared" ref="O13" si="2">E13-N13</f>
        <v>0</v>
      </c>
      <c r="P13" s="71">
        <f>SUMIFS(PAGOS!$I$3:$I$1048576,PAGOS!$A$3:$A$1048576,"&lt;&gt;INGRESO*",PAGOS!$A$3:$A$1048576,"&lt;&gt;EGRESO*",PAGOS!$E$3:$E$1048576,+MID('05'!B13,6,3)*1)</f>
        <v>288</v>
      </c>
      <c r="Q13" s="71">
        <f t="shared" ref="Q13" si="3">K13-P13</f>
        <v>0</v>
      </c>
    </row>
    <row r="14" spans="1:17" x14ac:dyDescent="0.3">
      <c r="A14" s="42">
        <v>8</v>
      </c>
      <c r="B14" s="42" t="s">
        <v>444</v>
      </c>
      <c r="C14" s="42" t="s">
        <v>14</v>
      </c>
      <c r="D14" s="38">
        <v>45910</v>
      </c>
      <c r="E14" s="111">
        <v>100</v>
      </c>
      <c r="F14" s="42">
        <v>2</v>
      </c>
      <c r="G14" s="11">
        <v>50</v>
      </c>
      <c r="H14" s="11">
        <v>2</v>
      </c>
      <c r="I14" s="143">
        <v>52</v>
      </c>
      <c r="J14" s="106">
        <v>100</v>
      </c>
      <c r="K14" s="106">
        <v>4</v>
      </c>
      <c r="L14" s="106">
        <v>104</v>
      </c>
      <c r="N14" s="71">
        <f>SUMIFS(PAGOS!$F$3:$F$1048576,PAGOS!$A$3:$A$1048576,"&lt;&gt;INGRESO*",PAGOS!$A$3:$A$1048576,"&lt;&gt;EGRESO*",PAGOS!$E$3:$E$1048576,+MID('05'!B14,6,3)*1)</f>
        <v>100</v>
      </c>
      <c r="O14" s="71">
        <f t="shared" ref="O14" si="4">E14-N14</f>
        <v>0</v>
      </c>
      <c r="P14" s="71">
        <f>SUMIFS(PAGOS!$I$3:$I$1048576,PAGOS!$A$3:$A$1048576,"&lt;&gt;INGRESO*",PAGOS!$A$3:$A$1048576,"&lt;&gt;EGRESO*",PAGOS!$E$3:$E$1048576,+MID('05'!B14,6,3)*1)</f>
        <v>4</v>
      </c>
      <c r="Q14" s="71">
        <f t="shared" ref="Q14" si="5">K14-P14</f>
        <v>0</v>
      </c>
    </row>
    <row r="15" spans="1:17" x14ac:dyDescent="0.3">
      <c r="A15" s="42">
        <v>9</v>
      </c>
      <c r="B15" s="42" t="s">
        <v>512</v>
      </c>
      <c r="C15" s="42" t="s">
        <v>14</v>
      </c>
      <c r="D15" s="38">
        <v>46037</v>
      </c>
      <c r="E15" s="111">
        <v>1200</v>
      </c>
      <c r="F15" s="42">
        <v>12</v>
      </c>
      <c r="G15" s="11">
        <v>100</v>
      </c>
      <c r="H15" s="11">
        <v>24</v>
      </c>
      <c r="I15" s="143">
        <v>124</v>
      </c>
      <c r="J15" s="11">
        <v>1200</v>
      </c>
      <c r="K15" s="11">
        <v>288</v>
      </c>
      <c r="L15" s="11">
        <v>1488</v>
      </c>
      <c r="N15" s="71">
        <f>SUMIFS(PAGOS!$F$3:$F$1048576,PAGOS!$A$3:$A$1048576,"&lt;&gt;INGRESO*",PAGOS!$A$3:$A$1048576,"&lt;&gt;EGRESO*",PAGOS!$E$3:$E$1048576,+MID('05'!B15,6,3)*1)</f>
        <v>300</v>
      </c>
      <c r="O15" s="71">
        <f t="shared" ref="O15" si="6">E15-N15</f>
        <v>900</v>
      </c>
      <c r="P15" s="71">
        <f>SUMIFS(PAGOS!$I$3:$I$1048576,PAGOS!$A$3:$A$1048576,"&lt;&gt;INGRESO*",PAGOS!$A$3:$A$1048576,"&lt;&gt;EGRESO*",PAGOS!$E$3:$E$1048576,+MID('05'!B15,6,3)*1)</f>
        <v>72</v>
      </c>
      <c r="Q15" s="71">
        <f t="shared" ref="Q15" si="7">K15-P15</f>
        <v>216</v>
      </c>
    </row>
    <row r="16" spans="1:17" x14ac:dyDescent="0.3">
      <c r="I16" s="103"/>
    </row>
    <row r="17" spans="9:9" x14ac:dyDescent="0.3">
      <c r="I17" s="103"/>
    </row>
    <row r="21" spans="9:9" x14ac:dyDescent="0.3">
      <c r="I21" s="103"/>
    </row>
    <row r="22" spans="9:9" x14ac:dyDescent="0.3">
      <c r="I22" s="103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9"/>
  <sheetViews>
    <sheetView workbookViewId="0">
      <selection activeCell="C21" sqref="C2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03" customWidth="1"/>
    <col min="6" max="6" width="9.33203125" bestFit="1" customWidth="1"/>
    <col min="7" max="7" width="9.88671875" style="103" bestFit="1" customWidth="1"/>
    <col min="8" max="8" width="8" style="103" bestFit="1" customWidth="1"/>
    <col min="9" max="9" width="9.88671875" style="104" bestFit="1" customWidth="1"/>
    <col min="10" max="10" width="13.6640625" style="103" bestFit="1" customWidth="1"/>
    <col min="11" max="11" width="11.33203125" style="103" bestFit="1" customWidth="1"/>
    <col min="12" max="12" width="11.6640625" style="103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4050</v>
      </c>
      <c r="H3" s="76" t="s">
        <v>170</v>
      </c>
      <c r="I3" s="94">
        <f>SUM($P$7:$P$1048576)</f>
        <v>164</v>
      </c>
      <c r="J3" s="76" t="s">
        <v>171</v>
      </c>
      <c r="K3" s="95">
        <f>G3+I3</f>
        <v>4214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76" t="s">
        <v>45</v>
      </c>
      <c r="D5" s="42"/>
      <c r="E5" s="42"/>
      <c r="F5" s="42"/>
      <c r="G5" s="76" t="s">
        <v>47</v>
      </c>
      <c r="H5" s="230" t="s">
        <v>4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2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9">_xlfn.SEQUENCE(COUNTA(C7:C1048576))</f>
        <v>1</v>
      </c>
      <c r="B7" s="105">
        <v>3</v>
      </c>
      <c r="C7" s="42" t="s">
        <v>15</v>
      </c>
      <c r="D7" s="38">
        <v>44849</v>
      </c>
      <c r="E7" s="11">
        <v>200</v>
      </c>
      <c r="F7" s="42">
        <v>1</v>
      </c>
      <c r="G7" s="11">
        <v>200</v>
      </c>
      <c r="H7" s="11">
        <v>4</v>
      </c>
      <c r="I7" s="143">
        <v>204</v>
      </c>
      <c r="J7" s="11">
        <v>200</v>
      </c>
      <c r="K7" s="11">
        <v>4</v>
      </c>
      <c r="L7" s="11">
        <v>204</v>
      </c>
      <c r="N7" s="71">
        <f>SUMIFS(PAGOS!$F$3:$F$1048576,PAGOS!$A$3:$A$1048576,"&lt;&gt;INGRESO*",PAGOS!$A$3:$A$1048576,"&lt;&gt;EGRESO*",PAGOS!$E$3:$E$1048576,B7)</f>
        <v>200</v>
      </c>
      <c r="O7" s="71">
        <f t="shared" ref="O7:O13" si="0">E7-N7</f>
        <v>0</v>
      </c>
      <c r="P7" s="71">
        <f>SUMIFS(PAGOS!$I$3:$I$1048576,PAGOS!$A$3:$A$1048576,"&lt;&gt;INGRESO*",PAGOS!$A$3:$A$1048576,"&lt;&gt;EGRESO*",PAGOS!$E$3:$E$1048576,B7)</f>
        <v>4</v>
      </c>
      <c r="Q7" s="71">
        <f t="shared" ref="Q7:Q13" si="1">K7-P7</f>
        <v>0</v>
      </c>
    </row>
    <row r="8" spans="1:17" x14ac:dyDescent="0.3">
      <c r="A8" s="42">
        <v>2</v>
      </c>
      <c r="B8" s="105">
        <v>14</v>
      </c>
      <c r="C8" s="42" t="s">
        <v>15</v>
      </c>
      <c r="D8" s="38">
        <v>45000</v>
      </c>
      <c r="E8" s="11">
        <v>400</v>
      </c>
      <c r="F8" s="42">
        <v>4</v>
      </c>
      <c r="G8" s="11">
        <v>100</v>
      </c>
      <c r="H8" s="11">
        <v>8</v>
      </c>
      <c r="I8" s="143">
        <v>108</v>
      </c>
      <c r="J8" s="11">
        <v>400</v>
      </c>
      <c r="K8" s="11">
        <v>32</v>
      </c>
      <c r="L8" s="11">
        <v>432</v>
      </c>
      <c r="N8" s="71">
        <f>SUMIFS(PAGOS!$F$3:$F$1048576,PAGOS!$A$3:$A$1048576,"&lt;&gt;INGRESO*",PAGOS!$A$3:$A$1048576,"&lt;&gt;EGRESO*",PAGOS!$E$3:$E$1048576,B8)</f>
        <v>400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32</v>
      </c>
      <c r="Q8" s="71">
        <f t="shared" si="1"/>
        <v>0</v>
      </c>
    </row>
    <row r="9" spans="1:17" x14ac:dyDescent="0.3">
      <c r="A9" s="42">
        <v>3</v>
      </c>
      <c r="B9" s="105">
        <v>24</v>
      </c>
      <c r="C9" s="42" t="s">
        <v>15</v>
      </c>
      <c r="D9" s="38">
        <v>45129</v>
      </c>
      <c r="E9" s="11">
        <v>200</v>
      </c>
      <c r="F9" s="42">
        <v>1</v>
      </c>
      <c r="G9" s="11">
        <v>200</v>
      </c>
      <c r="H9" s="11">
        <v>4</v>
      </c>
      <c r="I9" s="143">
        <v>204</v>
      </c>
      <c r="J9" s="11">
        <v>200</v>
      </c>
      <c r="K9" s="11">
        <v>4</v>
      </c>
      <c r="L9" s="11">
        <v>204</v>
      </c>
      <c r="N9" s="71">
        <f>SUMIFS(PAGOS!$F$3:$F$1048576,PAGOS!$A$3:$A$1048576,"&lt;&gt;INGRESO*",PAGOS!$A$3:$A$1048576,"&lt;&gt;EGRESO*",PAGOS!$E$3:$E$1048576,B9)</f>
        <v>200</v>
      </c>
      <c r="O9" s="71">
        <f t="shared" si="0"/>
        <v>0</v>
      </c>
      <c r="P9" s="71">
        <f>SUMIFS(PAGOS!$I$3:$I$1048576,PAGOS!$A$3:$A$1048576,"&lt;&gt;INGRESO*",PAGOS!$A$3:$A$1048576,"&lt;&gt;EGRESO*",PAGOS!$E$3:$E$1048576,B9)</f>
        <v>4</v>
      </c>
      <c r="Q9" s="71">
        <f t="shared" si="1"/>
        <v>0</v>
      </c>
    </row>
    <row r="10" spans="1:17" x14ac:dyDescent="0.3">
      <c r="A10" s="42">
        <v>4</v>
      </c>
      <c r="B10" s="105">
        <v>27</v>
      </c>
      <c r="C10" s="42" t="s">
        <v>15</v>
      </c>
      <c r="D10" s="38">
        <v>45184</v>
      </c>
      <c r="E10" s="11">
        <v>100</v>
      </c>
      <c r="F10" s="42">
        <v>1</v>
      </c>
      <c r="G10" s="11">
        <v>100</v>
      </c>
      <c r="H10" s="11">
        <v>2</v>
      </c>
      <c r="I10" s="143">
        <v>102</v>
      </c>
      <c r="J10" s="11">
        <v>100</v>
      </c>
      <c r="K10" s="11">
        <v>2</v>
      </c>
      <c r="L10" s="11">
        <v>102</v>
      </c>
      <c r="N10" s="71">
        <f>SUMIFS(PAGOS!$F$3:$F$1048576,PAGOS!$A$3:$A$1048576,"&lt;&gt;INGRESO*",PAGOS!$A$3:$A$1048576,"&lt;&gt;EGRESO*",PAGOS!$E$3:$E$1048576,B10)</f>
        <v>100</v>
      </c>
      <c r="O10" s="71">
        <f t="shared" si="0"/>
        <v>0</v>
      </c>
      <c r="P10" s="71">
        <f>SUMIFS(PAGOS!$I$3:$I$1048576,PAGOS!$A$3:$A$1048576,"&lt;&gt;INGRESO*",PAGOS!$A$3:$A$1048576,"&lt;&gt;EGRESO*",PAGOS!$E$3:$E$1048576,B10)</f>
        <v>2</v>
      </c>
      <c r="Q10" s="71">
        <f t="shared" si="1"/>
        <v>0</v>
      </c>
    </row>
    <row r="11" spans="1:17" x14ac:dyDescent="0.3">
      <c r="A11" s="42">
        <v>5</v>
      </c>
      <c r="B11" s="36" t="s">
        <v>196</v>
      </c>
      <c r="C11" s="42" t="s">
        <v>15</v>
      </c>
      <c r="D11" s="38">
        <v>45427</v>
      </c>
      <c r="E11" s="11">
        <v>400</v>
      </c>
      <c r="F11" s="42">
        <v>4</v>
      </c>
      <c r="G11" s="11">
        <v>100</v>
      </c>
      <c r="H11" s="11">
        <v>8</v>
      </c>
      <c r="I11" s="143">
        <v>108</v>
      </c>
      <c r="J11" s="11">
        <v>400</v>
      </c>
      <c r="K11" s="11">
        <v>32</v>
      </c>
      <c r="L11" s="11">
        <v>432</v>
      </c>
      <c r="N11" s="71">
        <f>SUMIFS(PAGOS!$F$3:$F$1048576,PAGOS!$A$3:$A$1048576,"&lt;&gt;INGRESO*",PAGOS!$A$3:$A$1048576,"&lt;&gt;EGRESO*",PAGOS!$E$3:$E$1048576,+MID('07'!B11,6,3)*1)</f>
        <v>400</v>
      </c>
      <c r="O11" s="71">
        <f t="shared" si="0"/>
        <v>0</v>
      </c>
      <c r="P11" s="71">
        <f>SUMIFS(PAGOS!$I$3:$I$1048576,PAGOS!$A$3:$A$1048576,"&lt;&gt;INGRESO*",PAGOS!$A$3:$A$1048576,"&lt;&gt;EGRESO*",PAGOS!$E$3:$E$1048576,+MID('07'!B11,6,3)*1)</f>
        <v>32</v>
      </c>
      <c r="Q11" s="71">
        <f t="shared" si="1"/>
        <v>0</v>
      </c>
    </row>
    <row r="12" spans="1:17" x14ac:dyDescent="0.3">
      <c r="A12" s="42">
        <v>6</v>
      </c>
      <c r="B12" s="36" t="s">
        <v>244</v>
      </c>
      <c r="C12" s="42" t="s">
        <v>15</v>
      </c>
      <c r="D12" s="38">
        <v>45580</v>
      </c>
      <c r="E12" s="11">
        <v>250</v>
      </c>
      <c r="F12" s="42">
        <v>4</v>
      </c>
      <c r="G12" s="11">
        <v>62.5</v>
      </c>
      <c r="H12" s="11">
        <v>5</v>
      </c>
      <c r="I12" s="143">
        <v>67.5</v>
      </c>
      <c r="J12" s="11">
        <v>250</v>
      </c>
      <c r="K12" s="11">
        <v>20</v>
      </c>
      <c r="L12" s="11">
        <v>270</v>
      </c>
      <c r="N12" s="71">
        <f>SUMIFS(PAGOS!$F$3:$F$1048576,PAGOS!$A$3:$A$1048576,"&lt;&gt;INGRESO*",PAGOS!$A$3:$A$1048576,"&lt;&gt;EGRESO*",PAGOS!$E$3:$E$1048576,+MID('07'!B12,6,3)*1)</f>
        <v>250</v>
      </c>
      <c r="O12" s="71">
        <f t="shared" si="0"/>
        <v>0</v>
      </c>
      <c r="P12" s="71">
        <f>SUMIFS(PAGOS!$I$3:$I$1048576,PAGOS!$A$3:$A$1048576,"&lt;&gt;INGRESO*",PAGOS!$A$3:$A$1048576,"&lt;&gt;EGRESO*",PAGOS!$E$3:$E$1048576,+MID('07'!B12,6,3)*1)</f>
        <v>20</v>
      </c>
      <c r="Q12" s="71">
        <f t="shared" si="1"/>
        <v>0</v>
      </c>
    </row>
    <row r="13" spans="1:17" x14ac:dyDescent="0.3">
      <c r="A13" s="42">
        <v>7</v>
      </c>
      <c r="B13" s="36" t="s">
        <v>310</v>
      </c>
      <c r="C13" s="42" t="s">
        <v>15</v>
      </c>
      <c r="D13" s="38">
        <v>45758</v>
      </c>
      <c r="E13" s="11">
        <v>1200</v>
      </c>
      <c r="F13" s="42">
        <v>1</v>
      </c>
      <c r="G13" s="11">
        <v>1200</v>
      </c>
      <c r="H13" s="11">
        <v>24</v>
      </c>
      <c r="I13" s="143">
        <v>1224</v>
      </c>
      <c r="J13" s="11">
        <v>1200</v>
      </c>
      <c r="K13" s="11">
        <v>24</v>
      </c>
      <c r="L13" s="11">
        <v>1224</v>
      </c>
      <c r="N13" s="71">
        <f>SUMIFS(PAGOS!$F$3:$F$1048576,PAGOS!$A$3:$A$1048576,"&lt;&gt;INGRESO*",PAGOS!$A$3:$A$1048576,"&lt;&gt;EGRESO*",PAGOS!$E$3:$E$1048576,+MID('07'!B13,6,3)*1)</f>
        <v>1200</v>
      </c>
      <c r="O13" s="71">
        <f t="shared" si="0"/>
        <v>0</v>
      </c>
      <c r="P13" s="71">
        <f>SUMIFS(PAGOS!$I$3:$I$1048576,PAGOS!$A$3:$A$1048576,"&lt;&gt;INGRESO*",PAGOS!$A$3:$A$1048576,"&lt;&gt;EGRESO*",PAGOS!$E$3:$E$1048576,+MID('07'!B13,6,3)*1)</f>
        <v>24</v>
      </c>
      <c r="Q13" s="71">
        <f t="shared" si="1"/>
        <v>0</v>
      </c>
    </row>
    <row r="14" spans="1:17" x14ac:dyDescent="0.3">
      <c r="A14" s="42">
        <v>8</v>
      </c>
      <c r="B14" s="36" t="s">
        <v>546</v>
      </c>
      <c r="C14" s="42" t="s">
        <v>355</v>
      </c>
      <c r="D14" s="38">
        <v>45884</v>
      </c>
      <c r="E14" s="11">
        <v>400</v>
      </c>
      <c r="F14" s="42">
        <v>4</v>
      </c>
      <c r="G14" s="11">
        <v>100</v>
      </c>
      <c r="H14" s="11">
        <v>8</v>
      </c>
      <c r="I14" s="143">
        <v>108</v>
      </c>
      <c r="J14" s="11">
        <v>400</v>
      </c>
      <c r="K14" s="11">
        <v>32</v>
      </c>
      <c r="L14" s="11">
        <v>432</v>
      </c>
      <c r="N14" s="71">
        <f>SUMIFS(PAGOS!$F$3:$F$1048576,PAGOS!$A$3:$A$1048576,"&lt;&gt;INGRESO*",PAGOS!$A$3:$A$1048576,"&lt;&gt;EGRESO*",PAGOS!$E$3:$E$1048576,+MID('07'!B14,6,3)*1)</f>
        <v>400</v>
      </c>
      <c r="O14" s="71">
        <f t="shared" ref="O14" si="2">E14-N14</f>
        <v>0</v>
      </c>
      <c r="P14" s="71">
        <f>SUMIFS(PAGOS!$I$3:$I$1048576,PAGOS!$A$3:$A$1048576,"&lt;&gt;INGRESO*",PAGOS!$A$3:$A$1048576,"&lt;&gt;EGRESO*",PAGOS!$E$3:$E$1048576,+MID('07'!B14,6,3)*1)</f>
        <v>32</v>
      </c>
      <c r="Q14" s="71">
        <f t="shared" ref="Q14" si="3">K14-P14</f>
        <v>0</v>
      </c>
    </row>
    <row r="15" spans="1:17" x14ac:dyDescent="0.3">
      <c r="A15" s="42">
        <v>9</v>
      </c>
      <c r="B15" s="36" t="s">
        <v>424</v>
      </c>
      <c r="C15" s="42" t="s">
        <v>355</v>
      </c>
      <c r="D15" s="38">
        <v>45897</v>
      </c>
      <c r="E15" s="11">
        <v>200</v>
      </c>
      <c r="F15" s="42">
        <v>1</v>
      </c>
      <c r="G15" s="11">
        <v>200</v>
      </c>
      <c r="H15" s="11">
        <v>4</v>
      </c>
      <c r="I15" s="143">
        <v>204</v>
      </c>
      <c r="J15" s="11">
        <v>200</v>
      </c>
      <c r="K15" s="11">
        <v>4</v>
      </c>
      <c r="L15" s="11">
        <v>204</v>
      </c>
      <c r="N15" s="71">
        <f>SUMIFS(PAGOS!$F$3:$F$1048576,PAGOS!$A$3:$A$1048576,"&lt;&gt;INGRESO*",PAGOS!$A$3:$A$1048576,"&lt;&gt;EGRESO*",PAGOS!$E$3:$E$1048576,+MID('07'!B15,6,3)*1)</f>
        <v>200</v>
      </c>
      <c r="O15" s="71">
        <f t="shared" ref="O15:O17" si="4">E15-N15</f>
        <v>0</v>
      </c>
      <c r="P15" s="71">
        <f>SUMIFS(PAGOS!$I$3:$I$1048576,PAGOS!$A$3:$A$1048576,"&lt;&gt;INGRESO*",PAGOS!$A$3:$A$1048576,"&lt;&gt;EGRESO*",PAGOS!$E$3:$E$1048576,+MID('07'!B15,6,3)*1)</f>
        <v>4</v>
      </c>
      <c r="Q15" s="71">
        <f t="shared" ref="Q15:Q17" si="5">K15-P15</f>
        <v>0</v>
      </c>
    </row>
    <row r="16" spans="1:17" x14ac:dyDescent="0.3">
      <c r="A16" s="42">
        <v>10</v>
      </c>
      <c r="B16" s="36" t="s">
        <v>426</v>
      </c>
      <c r="C16" s="42" t="s">
        <v>355</v>
      </c>
      <c r="D16" s="38">
        <v>45900</v>
      </c>
      <c r="E16" s="11">
        <v>100</v>
      </c>
      <c r="F16" s="42">
        <v>1</v>
      </c>
      <c r="G16" s="11">
        <v>100</v>
      </c>
      <c r="H16" s="11">
        <v>2</v>
      </c>
      <c r="I16" s="143">
        <v>102</v>
      </c>
      <c r="J16" s="11">
        <v>100</v>
      </c>
      <c r="K16" s="11">
        <v>2</v>
      </c>
      <c r="L16" s="11">
        <v>102</v>
      </c>
      <c r="N16" s="71">
        <f>SUMIFS(PAGOS!$F$3:$F$1048576,PAGOS!$A$3:$A$1048576,"&lt;&gt;INGRESO*",PAGOS!$A$3:$A$1048576,"&lt;&gt;EGRESO*",PAGOS!$E$3:$E$1048576,+MID('07'!B16,6,3)*1)</f>
        <v>100</v>
      </c>
      <c r="O16" s="71">
        <f t="shared" si="4"/>
        <v>0</v>
      </c>
      <c r="P16" s="71">
        <f>SUMIFS(PAGOS!$I$3:$I$1048576,PAGOS!$A$3:$A$1048576,"&lt;&gt;INGRESO*",PAGOS!$A$3:$A$1048576,"&lt;&gt;EGRESO*",PAGOS!$E$3:$E$1048576,+MID('07'!B16,6,3)*1)</f>
        <v>2</v>
      </c>
      <c r="Q16" s="71">
        <f t="shared" si="5"/>
        <v>0</v>
      </c>
    </row>
    <row r="17" spans="1:17" x14ac:dyDescent="0.3">
      <c r="A17" s="42">
        <v>11</v>
      </c>
      <c r="B17" s="36" t="s">
        <v>459</v>
      </c>
      <c r="C17" s="42" t="s">
        <v>355</v>
      </c>
      <c r="D17" s="38">
        <v>45928</v>
      </c>
      <c r="E17" s="11">
        <v>300</v>
      </c>
      <c r="F17" s="42">
        <v>1</v>
      </c>
      <c r="G17" s="11">
        <v>300</v>
      </c>
      <c r="H17" s="11">
        <v>6</v>
      </c>
      <c r="I17" s="143">
        <v>306</v>
      </c>
      <c r="J17" s="11">
        <v>300</v>
      </c>
      <c r="K17" s="11">
        <v>6</v>
      </c>
      <c r="L17" s="11">
        <v>306</v>
      </c>
      <c r="N17" s="71">
        <f>SUMIFS(PAGOS!$F$3:$F$1048576,PAGOS!$A$3:$A$1048576,"&lt;&gt;INGRESO*",PAGOS!$A$3:$A$1048576,"&lt;&gt;EGRESO*",PAGOS!$E$3:$E$1048576,+MID('07'!B17,6,3)*1)</f>
        <v>300</v>
      </c>
      <c r="O17" s="71">
        <f t="shared" si="4"/>
        <v>0</v>
      </c>
      <c r="P17" s="71">
        <f>SUMIFS(PAGOS!$I$3:$I$1048576,PAGOS!$A$3:$A$1048576,"&lt;&gt;INGRESO*",PAGOS!$A$3:$A$1048576,"&lt;&gt;EGRESO*",PAGOS!$E$3:$E$1048576,+MID('07'!B17,6,3)*1)</f>
        <v>6</v>
      </c>
      <c r="Q17" s="71">
        <f t="shared" si="5"/>
        <v>0</v>
      </c>
    </row>
    <row r="18" spans="1:17" x14ac:dyDescent="0.3">
      <c r="A18" s="42">
        <v>12</v>
      </c>
      <c r="B18" s="36" t="s">
        <v>520</v>
      </c>
      <c r="C18" s="42" t="s">
        <v>355</v>
      </c>
      <c r="D18" s="38">
        <v>46050</v>
      </c>
      <c r="E18" s="11">
        <v>100</v>
      </c>
      <c r="F18" s="42">
        <v>1</v>
      </c>
      <c r="G18" s="11">
        <v>100</v>
      </c>
      <c r="H18" s="11">
        <v>2</v>
      </c>
      <c r="I18" s="143">
        <v>102</v>
      </c>
      <c r="J18" s="11">
        <v>100</v>
      </c>
      <c r="K18" s="11">
        <v>2</v>
      </c>
      <c r="L18" s="11">
        <v>102</v>
      </c>
      <c r="N18" s="71">
        <f>SUMIFS(PAGOS!$F$3:$F$1048576,PAGOS!$A$3:$A$1048576,"&lt;&gt;INGRESO*",PAGOS!$A$3:$A$1048576,"&lt;&gt;EGRESO*",PAGOS!$E$3:$E$1048576,+MID('07'!B18,6,3)*1)</f>
        <v>100</v>
      </c>
      <c r="O18" s="71">
        <f t="shared" ref="O18" si="6">E18-N18</f>
        <v>0</v>
      </c>
      <c r="P18" s="71">
        <f>SUMIFS(PAGOS!$I$3:$I$1048576,PAGOS!$A$3:$A$1048576,"&lt;&gt;INGRESO*",PAGOS!$A$3:$A$1048576,"&lt;&gt;EGRESO*",PAGOS!$E$3:$E$1048576,+MID('07'!B18,6,3)*1)</f>
        <v>2</v>
      </c>
      <c r="Q18" s="71">
        <f t="shared" ref="Q18" si="7">K18-P18</f>
        <v>0</v>
      </c>
    </row>
    <row r="19" spans="1:17" x14ac:dyDescent="0.3">
      <c r="A19">
        <v>13</v>
      </c>
      <c r="B19" s="10" t="s">
        <v>572</v>
      </c>
      <c r="C19" t="s">
        <v>355</v>
      </c>
      <c r="D19" s="24">
        <v>46133</v>
      </c>
      <c r="E19" s="103">
        <v>200</v>
      </c>
      <c r="F19">
        <v>1</v>
      </c>
      <c r="G19" s="103">
        <v>200</v>
      </c>
      <c r="H19" s="103">
        <v>4</v>
      </c>
      <c r="I19" s="104">
        <v>204</v>
      </c>
      <c r="J19" s="103">
        <v>200</v>
      </c>
      <c r="K19" s="103">
        <v>4</v>
      </c>
      <c r="L19" s="103">
        <v>204</v>
      </c>
    </row>
  </sheetData>
  <pageMargins left="0.7" right="0.7" top="0.75" bottom="0.75" header="0.3" footer="0.3"/>
  <pageSetup scale="87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6"/>
  <sheetViews>
    <sheetView workbookViewId="0">
      <selection activeCell="C15" sqref="C15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03" bestFit="1" customWidth="1"/>
    <col min="8" max="8" width="7.88671875" style="103" bestFit="1" customWidth="1"/>
    <col min="9" max="9" width="9.109375" style="104" customWidth="1"/>
    <col min="10" max="10" width="8.44140625" style="103" bestFit="1" customWidth="1"/>
    <col min="11" max="12" width="11.33203125" style="103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2450</v>
      </c>
      <c r="H3" s="76" t="s">
        <v>170</v>
      </c>
      <c r="I3" s="94">
        <f>SUM($P$7:$P$1048576)</f>
        <v>188</v>
      </c>
      <c r="J3" s="76" t="s">
        <v>171</v>
      </c>
      <c r="K3" s="95">
        <f>G3+I3</f>
        <v>2638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3">_xlfn.SEQUENCE(COUNTA(C7:C1048576))</f>
        <v>1</v>
      </c>
      <c r="B7" s="105">
        <v>18</v>
      </c>
      <c r="C7" s="42" t="s">
        <v>16</v>
      </c>
      <c r="D7" s="38">
        <v>45061</v>
      </c>
      <c r="E7" s="106">
        <v>200</v>
      </c>
      <c r="F7" s="42">
        <v>2</v>
      </c>
      <c r="G7" s="106">
        <v>100</v>
      </c>
      <c r="H7" s="106">
        <v>4</v>
      </c>
      <c r="I7" s="107">
        <v>104</v>
      </c>
      <c r="J7" s="106">
        <v>200</v>
      </c>
      <c r="K7" s="106">
        <v>8</v>
      </c>
      <c r="L7" s="106">
        <v>208</v>
      </c>
      <c r="N7" s="71">
        <f>SUMIFS(PAGOS!$F$3:$F$1048576,PAGOS!$A$3:$A$1048576,"&lt;&gt;INGRESO*",PAGOS!$A$3:$A$1048576,"&lt;&gt;EGRESO*",PAGOS!$E$3:$E$1048576,B7)</f>
        <v>200</v>
      </c>
      <c r="O7" s="71">
        <f>E7-N7</f>
        <v>0</v>
      </c>
      <c r="P7" s="71">
        <f>SUMIFS(PAGOS!$I$3:$I$1048576,PAGOS!$A$3:$A$1048576,"&lt;&gt;INGRESO*",PAGOS!$A$3:$A$1048576,"&lt;&gt;EGRESO*",PAGOS!$E$3:$E$1048576,B7)</f>
        <v>8</v>
      </c>
      <c r="Q7" s="71">
        <f>K7-P7</f>
        <v>0</v>
      </c>
    </row>
    <row r="8" spans="1:17" x14ac:dyDescent="0.3">
      <c r="A8" s="42">
        <v>2</v>
      </c>
      <c r="B8" s="105">
        <v>25</v>
      </c>
      <c r="C8" s="42" t="s">
        <v>16</v>
      </c>
      <c r="D8" s="38">
        <v>45153</v>
      </c>
      <c r="E8" s="106">
        <v>200</v>
      </c>
      <c r="F8" s="42">
        <v>1</v>
      </c>
      <c r="G8" s="106">
        <v>200</v>
      </c>
      <c r="H8" s="106">
        <v>4</v>
      </c>
      <c r="I8" s="107">
        <v>204</v>
      </c>
      <c r="J8" s="106">
        <v>200</v>
      </c>
      <c r="K8" s="106">
        <v>4</v>
      </c>
      <c r="L8" s="106">
        <v>204</v>
      </c>
      <c r="N8" s="71">
        <f>SUMIFS(PAGOS!$F$3:$F$1048576,PAGOS!$A$3:$A$1048576,"&lt;&gt;INGRESO*",PAGOS!$A$3:$A$1048576,"&lt;&gt;EGRESO*",PAGOS!$E$3:$E$1048576,B8)</f>
        <v>200</v>
      </c>
      <c r="O8" s="71">
        <f>E8-N8</f>
        <v>0</v>
      </c>
      <c r="P8" s="71">
        <f>SUMIFS(PAGOS!$I$3:$I$1048576,PAGOS!$A$3:$A$1048576,"&lt;&gt;INGRESO*",PAGOS!$A$3:$A$1048576,"&lt;&gt;EGRESO*",PAGOS!$E$3:$E$1048576,B8)</f>
        <v>4</v>
      </c>
      <c r="Q8" s="71">
        <f>K8-P8</f>
        <v>0</v>
      </c>
    </row>
    <row r="9" spans="1:17" x14ac:dyDescent="0.3">
      <c r="A9" s="42">
        <v>3</v>
      </c>
      <c r="B9" s="36" t="s">
        <v>202</v>
      </c>
      <c r="C9" s="42" t="s">
        <v>16</v>
      </c>
      <c r="D9" s="38">
        <v>45458</v>
      </c>
      <c r="E9" s="111">
        <v>300</v>
      </c>
      <c r="F9" s="42">
        <v>3</v>
      </c>
      <c r="G9" s="106">
        <v>100</v>
      </c>
      <c r="H9" s="106">
        <v>6</v>
      </c>
      <c r="I9" s="107">
        <v>106</v>
      </c>
      <c r="J9" s="106">
        <v>300</v>
      </c>
      <c r="K9" s="106">
        <v>18</v>
      </c>
      <c r="L9" s="111">
        <v>318</v>
      </c>
      <c r="N9" s="71">
        <f>SUMIFS(PAGOS!$F$3:$F$1048576,PAGOS!$A$3:$A$1048576,"&lt;&gt;INGRESO*",PAGOS!$A$3:$A$1048576,"&lt;&gt;EGRESO*",PAGOS!$E$3:$E$1048576,+MID('08'!B9,6,3)*1)</f>
        <v>300</v>
      </c>
      <c r="O9" s="71">
        <f>E9-N9</f>
        <v>0</v>
      </c>
      <c r="P9" s="71">
        <f>SUMIFS(PAGOS!$I$3:$I$1048576,PAGOS!$A$3:$A$1048576,"&lt;&gt;INGRESO*",PAGOS!$A$3:$A$1048576,"&lt;&gt;EGRESO*",PAGOS!$E$3:$E$1048576,+MID('08'!B9,6,3)*1)</f>
        <v>18</v>
      </c>
      <c r="Q9" s="71">
        <f>K9-P9</f>
        <v>0</v>
      </c>
    </row>
    <row r="10" spans="1:17" x14ac:dyDescent="0.3">
      <c r="A10" s="42">
        <v>4</v>
      </c>
      <c r="B10" s="36" t="s">
        <v>246</v>
      </c>
      <c r="C10" s="42" t="s">
        <v>16</v>
      </c>
      <c r="D10" s="38">
        <v>45580</v>
      </c>
      <c r="E10" s="111">
        <v>250</v>
      </c>
      <c r="F10" s="42">
        <v>4</v>
      </c>
      <c r="G10" s="106">
        <v>62.5</v>
      </c>
      <c r="H10" s="106">
        <v>5</v>
      </c>
      <c r="I10" s="107">
        <v>67.5</v>
      </c>
      <c r="J10" s="106">
        <v>250</v>
      </c>
      <c r="K10" s="106">
        <v>20</v>
      </c>
      <c r="L10" s="111">
        <v>270</v>
      </c>
      <c r="N10" s="71">
        <f>SUMIFS(PAGOS!$F$3:$F$1048576,PAGOS!$A$3:$A$1048576,"&lt;&gt;INGRESO*",PAGOS!$A$3:$A$1048576,"&lt;&gt;EGRESO*",PAGOS!$E$3:$E$1048576,+MID('08'!B10,6,3)*1)</f>
        <v>250</v>
      </c>
      <c r="O10" s="71">
        <f>E10-N10</f>
        <v>0</v>
      </c>
      <c r="P10" s="71">
        <f>SUMIFS(PAGOS!$I$3:$I$1048576,PAGOS!$A$3:$A$1048576,"&lt;&gt;INGRESO*",PAGOS!$A$3:$A$1048576,"&lt;&gt;EGRESO*",PAGOS!$E$3:$E$1048576,+MID('08'!B10,6,3)*1)</f>
        <v>20</v>
      </c>
      <c r="Q10" s="71">
        <f>K10-P10</f>
        <v>0</v>
      </c>
    </row>
    <row r="11" spans="1:17" x14ac:dyDescent="0.3">
      <c r="A11" s="42">
        <v>5</v>
      </c>
      <c r="B11" s="36" t="s">
        <v>293</v>
      </c>
      <c r="C11" s="42" t="s">
        <v>16</v>
      </c>
      <c r="D11" s="38">
        <v>45704</v>
      </c>
      <c r="E11" s="111">
        <v>300</v>
      </c>
      <c r="F11" s="42">
        <v>3</v>
      </c>
      <c r="G11" s="11">
        <v>100</v>
      </c>
      <c r="H11" s="11">
        <v>6</v>
      </c>
      <c r="I11" s="143">
        <v>106</v>
      </c>
      <c r="J11" s="11">
        <v>300</v>
      </c>
      <c r="K11" s="11">
        <v>18</v>
      </c>
      <c r="L11" s="11">
        <v>318</v>
      </c>
      <c r="N11" s="71">
        <f>SUMIFS(PAGOS!$F$3:$F$1048576,PAGOS!$A$3:$A$1048576,"&lt;&gt;INGRESO*",PAGOS!$A$3:$A$1048576,"&lt;&gt;EGRESO*",PAGOS!$E$3:$E$1048576,+MID('08'!B11,6,3)*1)</f>
        <v>300</v>
      </c>
      <c r="O11" s="71">
        <f>E11-N11</f>
        <v>0</v>
      </c>
      <c r="P11" s="71">
        <f>SUMIFS(PAGOS!$I$3:$I$1048576,PAGOS!$A$3:$A$1048576,"&lt;&gt;INGRESO*",PAGOS!$A$3:$A$1048576,"&lt;&gt;EGRESO*",PAGOS!$E$3:$E$1048576,+MID('08'!B11,6,3)*1)</f>
        <v>18</v>
      </c>
      <c r="Q11" s="71">
        <f>K11-P11</f>
        <v>0</v>
      </c>
    </row>
    <row r="12" spans="1:17" x14ac:dyDescent="0.3">
      <c r="A12" s="42">
        <v>6</v>
      </c>
      <c r="B12" s="36" t="s">
        <v>347</v>
      </c>
      <c r="C12" s="42" t="s">
        <v>16</v>
      </c>
      <c r="D12" s="38">
        <v>45764</v>
      </c>
      <c r="E12" s="111">
        <v>500</v>
      </c>
      <c r="F12" s="42">
        <v>5</v>
      </c>
      <c r="G12" s="11">
        <v>100</v>
      </c>
      <c r="H12" s="11">
        <v>10</v>
      </c>
      <c r="I12" s="143">
        <v>110</v>
      </c>
      <c r="J12" s="11">
        <v>500</v>
      </c>
      <c r="K12" s="11">
        <v>50</v>
      </c>
      <c r="L12" s="11">
        <v>550</v>
      </c>
      <c r="N12" s="71">
        <f>SUMIFS(PAGOS!$F$3:$F$1048576,PAGOS!$A$3:$A$1048576,"&lt;&gt;INGRESO*",PAGOS!$A$3:$A$1048576,"&lt;&gt;EGRESO*",PAGOS!$E$3:$E$1048576,+MID('08'!B12,6,3)*1)</f>
        <v>500</v>
      </c>
      <c r="O12" s="71">
        <f t="shared" ref="O12" si="0">E12-N12</f>
        <v>0</v>
      </c>
      <c r="P12" s="71">
        <f>SUMIFS(PAGOS!$I$3:$I$1048576,PAGOS!$A$3:$A$1048576,"&lt;&gt;INGRESO*",PAGOS!$A$3:$A$1048576,"&lt;&gt;EGRESO*",PAGOS!$E$3:$E$1048576,+MID('08'!B12,6,3)*1)</f>
        <v>50</v>
      </c>
      <c r="Q12" s="71">
        <f t="shared" ref="Q12" si="1">K12-P12</f>
        <v>0</v>
      </c>
    </row>
    <row r="13" spans="1:17" x14ac:dyDescent="0.3">
      <c r="A13" s="42">
        <v>7</v>
      </c>
      <c r="B13" s="36" t="s">
        <v>458</v>
      </c>
      <c r="C13" s="42" t="s">
        <v>356</v>
      </c>
      <c r="D13" s="38">
        <v>45915</v>
      </c>
      <c r="E13" s="111">
        <v>700</v>
      </c>
      <c r="F13" s="42">
        <v>5</v>
      </c>
      <c r="G13" s="11">
        <v>140</v>
      </c>
      <c r="H13" s="11">
        <v>14</v>
      </c>
      <c r="I13" s="143">
        <v>154</v>
      </c>
      <c r="J13" s="11">
        <v>700</v>
      </c>
      <c r="K13" s="11">
        <v>70</v>
      </c>
      <c r="L13" s="11">
        <v>770</v>
      </c>
      <c r="N13" s="71">
        <f>SUMIFS(PAGOS!$F$3:$F$1048576,PAGOS!$A$3:$A$1048576,"&lt;&gt;INGRESO*",PAGOS!$A$3:$A$1048576,"&lt;&gt;EGRESO*",PAGOS!$E$3:$E$1048576,+MID('08'!B13,6,3)*1)</f>
        <v>700</v>
      </c>
      <c r="O13" s="71">
        <f t="shared" ref="O13" si="2">E13-N13</f>
        <v>0</v>
      </c>
      <c r="P13" s="71">
        <f>SUMIFS(PAGOS!$I$3:$I$1048576,PAGOS!$A$3:$A$1048576,"&lt;&gt;INGRESO*",PAGOS!$A$3:$A$1048576,"&lt;&gt;EGRESO*",PAGOS!$E$3:$E$1048576,+MID('08'!B13,6,3)*1)</f>
        <v>70</v>
      </c>
      <c r="Q13" s="71">
        <f t="shared" ref="Q13" si="3">K13-P13</f>
        <v>0</v>
      </c>
    </row>
    <row r="15" spans="1:17" x14ac:dyDescent="0.3">
      <c r="I15" s="103"/>
    </row>
    <row r="16" spans="1:17" x14ac:dyDescent="0.3">
      <c r="I16" s="103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74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</row>
    <row r="3" spans="1:17" x14ac:dyDescent="0.3">
      <c r="D3" s="76" t="s">
        <v>168</v>
      </c>
      <c r="E3" s="96"/>
      <c r="F3" s="76" t="s">
        <v>169</v>
      </c>
      <c r="G3" s="94">
        <f>SUM(E7:E1048576)</f>
        <v>3360</v>
      </c>
      <c r="H3" s="76" t="s">
        <v>170</v>
      </c>
      <c r="I3" s="94">
        <f>SUM($P$7:$P$1048576)</f>
        <v>340.4</v>
      </c>
      <c r="J3" s="76" t="s">
        <v>171</v>
      </c>
      <c r="K3" s="95">
        <f>G3+I3</f>
        <v>3700.4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5">_xlfn.SEQUENCE(COUNTA(C7:C1048576))</f>
        <v>1</v>
      </c>
      <c r="B7" s="105">
        <v>1</v>
      </c>
      <c r="C7" s="42" t="s">
        <v>17</v>
      </c>
      <c r="D7" s="38">
        <v>44788</v>
      </c>
      <c r="E7" s="106">
        <v>60</v>
      </c>
      <c r="F7" s="42">
        <v>2</v>
      </c>
      <c r="G7" s="106">
        <v>30</v>
      </c>
      <c r="H7" s="106">
        <v>1.2</v>
      </c>
      <c r="I7" s="107">
        <v>31.2</v>
      </c>
      <c r="J7" s="106">
        <v>60</v>
      </c>
      <c r="K7" s="106">
        <v>2.4</v>
      </c>
      <c r="L7" s="106">
        <v>62.4</v>
      </c>
      <c r="N7" s="71">
        <f>SUMIFS(PAGOS!$F$3:$F$1048576,PAGOS!$A$3:$A$1048576,"&lt;&gt;INGRESO*",PAGOS!$A$3:$A$1048576,"&lt;&gt;EGRESO*",PAGOS!$E$3:$E$1048576,B7)</f>
        <v>60</v>
      </c>
      <c r="O7" s="71">
        <f t="shared" ref="O7:O13" si="0">E7-N7</f>
        <v>0</v>
      </c>
      <c r="P7" s="71">
        <f>SUMIFS(PAGOS!$I$3:$I$1048576,PAGOS!$A$3:$A$1048576,"&lt;&gt;INGRESO*",PAGOS!$A$3:$A$1048576,"&lt;&gt;EGRESO*",PAGOS!$E$3:$E$1048576,B7)</f>
        <v>2.4</v>
      </c>
      <c r="Q7" s="71">
        <f t="shared" ref="Q7:Q13" si="1">K7-P7</f>
        <v>0</v>
      </c>
    </row>
    <row r="8" spans="1:17" x14ac:dyDescent="0.3">
      <c r="A8" s="42">
        <v>2</v>
      </c>
      <c r="B8" s="105">
        <v>11</v>
      </c>
      <c r="C8" s="42" t="s">
        <v>17</v>
      </c>
      <c r="D8" s="38">
        <v>44941</v>
      </c>
      <c r="E8" s="106">
        <v>100</v>
      </c>
      <c r="F8" s="42">
        <v>4</v>
      </c>
      <c r="G8" s="106">
        <v>25</v>
      </c>
      <c r="H8" s="106">
        <v>2</v>
      </c>
      <c r="I8" s="107">
        <v>27</v>
      </c>
      <c r="J8" s="106">
        <v>100</v>
      </c>
      <c r="K8" s="106">
        <v>8</v>
      </c>
      <c r="L8" s="106">
        <v>108</v>
      </c>
      <c r="N8" s="71">
        <f>SUMIFS(PAGOS!$F$3:$F$1048576,PAGOS!$A$3:$A$1048576,"&lt;&gt;INGRESO*",PAGOS!$A$3:$A$1048576,"&lt;&gt;EGRESO*",PAGOS!$E$3:$E$1048576,B8)</f>
        <v>100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8</v>
      </c>
      <c r="Q8" s="71">
        <f t="shared" si="1"/>
        <v>0</v>
      </c>
    </row>
    <row r="9" spans="1:17" x14ac:dyDescent="0.3">
      <c r="A9" s="42">
        <v>3</v>
      </c>
      <c r="B9" s="105">
        <v>19</v>
      </c>
      <c r="C9" s="42" t="s">
        <v>17</v>
      </c>
      <c r="D9" s="38">
        <v>45061</v>
      </c>
      <c r="E9" s="106">
        <v>100</v>
      </c>
      <c r="F9" s="42">
        <v>4</v>
      </c>
      <c r="G9" s="106">
        <v>25</v>
      </c>
      <c r="H9" s="106">
        <v>2</v>
      </c>
      <c r="I9" s="107">
        <v>27</v>
      </c>
      <c r="J9" s="106">
        <v>100</v>
      </c>
      <c r="K9" s="106">
        <v>8</v>
      </c>
      <c r="L9" s="106">
        <v>108</v>
      </c>
      <c r="N9" s="71">
        <f>SUMIFS(PAGOS!$F$3:$F$1048576,PAGOS!$A$3:$A$1048576,"&lt;&gt;INGRESO*",PAGOS!$A$3:$A$1048576,"&lt;&gt;EGRESO*",PAGOS!$E$3:$E$1048576,B9)</f>
        <v>100</v>
      </c>
      <c r="O9" s="71">
        <f t="shared" si="0"/>
        <v>0</v>
      </c>
      <c r="P9" s="71">
        <f>SUMIFS(PAGOS!$I$3:$I$1048576,PAGOS!$A$3:$A$1048576,"&lt;&gt;INGRESO*",PAGOS!$A$3:$A$1048576,"&lt;&gt;EGRESO*",PAGOS!$E$3:$E$1048576,B9)</f>
        <v>8</v>
      </c>
      <c r="Q9" s="71">
        <f t="shared" si="1"/>
        <v>0</v>
      </c>
    </row>
    <row r="10" spans="1:17" x14ac:dyDescent="0.3">
      <c r="A10" s="42">
        <v>4</v>
      </c>
      <c r="B10" s="105">
        <v>29</v>
      </c>
      <c r="C10" s="42" t="s">
        <v>17</v>
      </c>
      <c r="D10" s="38">
        <v>45214</v>
      </c>
      <c r="E10" s="106">
        <v>600</v>
      </c>
      <c r="F10" s="42">
        <v>4</v>
      </c>
      <c r="G10" s="106">
        <v>150</v>
      </c>
      <c r="H10" s="106">
        <v>12</v>
      </c>
      <c r="I10" s="107">
        <v>162</v>
      </c>
      <c r="J10" s="106">
        <v>600</v>
      </c>
      <c r="K10" s="106">
        <v>48</v>
      </c>
      <c r="L10" s="106">
        <v>648</v>
      </c>
      <c r="N10" s="71">
        <f>SUMIFS(PAGOS!$F$3:$F$1048576,PAGOS!$A$3:$A$1048576,"&lt;&gt;INGRESO*",PAGOS!$A$3:$A$1048576,"&lt;&gt;EGRESO*",PAGOS!$E$3:$E$1048576,B10)</f>
        <v>600</v>
      </c>
      <c r="O10" s="71">
        <f t="shared" si="0"/>
        <v>0</v>
      </c>
      <c r="P10" s="71">
        <f>SUMIFS(PAGOS!$I$3:$I$1048576,PAGOS!$A$3:$A$1048576,"&lt;&gt;INGRESO*",PAGOS!$A$3:$A$1048576,"&lt;&gt;EGRESO*",PAGOS!$E$3:$E$1048576,B10)</f>
        <v>48</v>
      </c>
      <c r="Q10" s="71">
        <f t="shared" si="1"/>
        <v>0</v>
      </c>
    </row>
    <row r="11" spans="1:17" x14ac:dyDescent="0.3">
      <c r="A11" s="42">
        <v>5</v>
      </c>
      <c r="B11" s="105">
        <v>36</v>
      </c>
      <c r="C11" s="42" t="s">
        <v>17</v>
      </c>
      <c r="D11" s="38">
        <v>45337</v>
      </c>
      <c r="E11" s="106">
        <v>600</v>
      </c>
      <c r="F11" s="42">
        <v>5</v>
      </c>
      <c r="G11" s="106">
        <v>120</v>
      </c>
      <c r="H11" s="106">
        <v>12</v>
      </c>
      <c r="I11" s="107">
        <v>132</v>
      </c>
      <c r="J11" s="106">
        <v>600</v>
      </c>
      <c r="K11" s="106">
        <v>60</v>
      </c>
      <c r="L11" s="106">
        <v>660</v>
      </c>
      <c r="N11" s="71">
        <f>SUMIFS(PAGOS!$F$3:$F$1048576,PAGOS!$A$3:$A$1048576,"&lt;&gt;INGRESO*",PAGOS!$A$3:$A$1048576,"&lt;&gt;EGRESO*",PAGOS!$E$3:$E$1048576,B11)</f>
        <v>600</v>
      </c>
      <c r="O11" s="71">
        <f t="shared" si="0"/>
        <v>0</v>
      </c>
      <c r="P11" s="71">
        <f>SUMIFS(PAGOS!$I$3:$I$1048576,PAGOS!$A$3:$A$1048576,"&lt;&gt;INGRESO*",PAGOS!$A$3:$A$1048576,"&lt;&gt;EGRESO*",PAGOS!$E$3:$E$1048576,B11)</f>
        <v>60</v>
      </c>
      <c r="Q11" s="71">
        <f t="shared" si="1"/>
        <v>0</v>
      </c>
    </row>
    <row r="12" spans="1:17" x14ac:dyDescent="0.3">
      <c r="A12" s="42">
        <v>6</v>
      </c>
      <c r="B12" s="36" t="s">
        <v>217</v>
      </c>
      <c r="C12" s="42" t="s">
        <v>17</v>
      </c>
      <c r="D12" s="38">
        <v>45519</v>
      </c>
      <c r="E12" s="111">
        <v>600</v>
      </c>
      <c r="F12" s="42">
        <v>6</v>
      </c>
      <c r="G12" s="106">
        <v>100</v>
      </c>
      <c r="H12" s="106">
        <v>12</v>
      </c>
      <c r="I12" s="107">
        <v>112</v>
      </c>
      <c r="J12" s="106">
        <v>600</v>
      </c>
      <c r="K12" s="106">
        <v>72</v>
      </c>
      <c r="L12" s="111">
        <v>672</v>
      </c>
      <c r="N12" s="71">
        <f>SUMIFS(PAGOS!$F$3:$F$1048576,PAGOS!$A$3:$A$1048576,"&lt;&gt;INGRESO*",PAGOS!$A$3:$A$1048576,"&lt;&gt;EGRESO*",PAGOS!$E$3:$E$1048576,+MID('09'!B12,6,3)*1)</f>
        <v>600</v>
      </c>
      <c r="O12" s="71">
        <f t="shared" si="0"/>
        <v>0</v>
      </c>
      <c r="P12" s="71">
        <f>SUMIFS(PAGOS!$I$3:$I$1048576,PAGOS!$A$3:$A$1048576,"&lt;&gt;INGRESO*",PAGOS!$A$3:$A$1048576,"&lt;&gt;EGRESO*",PAGOS!$E$3:$E$1048576,+MID('09'!B12,6,3)*1)</f>
        <v>72</v>
      </c>
      <c r="Q12" s="71">
        <f t="shared" si="1"/>
        <v>0</v>
      </c>
    </row>
    <row r="13" spans="1:17" x14ac:dyDescent="0.3">
      <c r="A13" s="42">
        <v>7</v>
      </c>
      <c r="B13" s="36" t="s">
        <v>280</v>
      </c>
      <c r="C13" s="42" t="s">
        <v>17</v>
      </c>
      <c r="D13" s="38">
        <v>45672</v>
      </c>
      <c r="E13" s="111">
        <v>700</v>
      </c>
      <c r="F13" s="42">
        <v>7</v>
      </c>
      <c r="G13" s="111">
        <v>100</v>
      </c>
      <c r="H13" s="111">
        <v>14</v>
      </c>
      <c r="I13" s="107">
        <v>114</v>
      </c>
      <c r="J13" s="106">
        <v>700</v>
      </c>
      <c r="K13" s="106">
        <v>98</v>
      </c>
      <c r="L13" s="106">
        <v>798</v>
      </c>
      <c r="N13" s="71">
        <f>SUMIFS(PAGOS!$F$3:$F$1048576,PAGOS!$A$3:$A$1048576,"&lt;&gt;INGRESO*",PAGOS!$A$3:$A$1048576,"&lt;&gt;EGRESO*",PAGOS!$E$3:$E$1048576,+MID('09'!B13,6,3)*1)</f>
        <v>700</v>
      </c>
      <c r="O13" s="71">
        <f t="shared" si="0"/>
        <v>0</v>
      </c>
      <c r="P13" s="71">
        <f>SUMIFS(PAGOS!$I$3:$I$1048576,PAGOS!$A$3:$A$1048576,"&lt;&gt;INGRESO*",PAGOS!$A$3:$A$1048576,"&lt;&gt;EGRESO*",PAGOS!$E$3:$E$1048576,+MID('09'!B13,6,3)*1)</f>
        <v>98</v>
      </c>
      <c r="Q13" s="71">
        <f t="shared" si="1"/>
        <v>0</v>
      </c>
    </row>
    <row r="14" spans="1:17" x14ac:dyDescent="0.3">
      <c r="A14" s="42">
        <v>8</v>
      </c>
      <c r="B14" s="36" t="s">
        <v>439</v>
      </c>
      <c r="C14" s="42" t="s">
        <v>17</v>
      </c>
      <c r="D14" s="38">
        <v>45900</v>
      </c>
      <c r="E14" s="111">
        <v>100</v>
      </c>
      <c r="F14" s="42">
        <v>2</v>
      </c>
      <c r="G14" s="111">
        <v>50</v>
      </c>
      <c r="H14" s="111">
        <v>2</v>
      </c>
      <c r="I14" s="107">
        <v>52</v>
      </c>
      <c r="J14" s="106">
        <v>100</v>
      </c>
      <c r="K14" s="106">
        <v>4</v>
      </c>
      <c r="L14" s="106">
        <v>104</v>
      </c>
      <c r="N14" s="71">
        <f>SUMIFS(PAGOS!$F$3:$F$1048576,PAGOS!$A$3:$A$1048576,"&lt;&gt;INGRESO*",PAGOS!$A$3:$A$1048576,"&lt;&gt;EGRESO*",PAGOS!$E$3:$E$1048576,+MID('09'!B14,6,3)*1)</f>
        <v>100</v>
      </c>
      <c r="O14" s="71">
        <f t="shared" ref="O14" si="2">E14-N14</f>
        <v>0</v>
      </c>
      <c r="P14" s="71">
        <f>SUMIFS(PAGOS!$I$3:$I$1048576,PAGOS!$A$3:$A$1048576,"&lt;&gt;INGRESO*",PAGOS!$A$3:$A$1048576,"&lt;&gt;EGRESO*",PAGOS!$E$3:$E$1048576,+MID('09'!B14,6,3)*1)</f>
        <v>4</v>
      </c>
      <c r="Q14" s="71">
        <f t="shared" ref="Q14" si="3">K14-P14</f>
        <v>0</v>
      </c>
    </row>
    <row r="15" spans="1:17" x14ac:dyDescent="0.3">
      <c r="A15" s="42">
        <v>9</v>
      </c>
      <c r="B15" s="36" t="s">
        <v>485</v>
      </c>
      <c r="C15" s="42" t="s">
        <v>17</v>
      </c>
      <c r="D15" s="38">
        <v>46008</v>
      </c>
      <c r="E15" s="111">
        <v>500</v>
      </c>
      <c r="F15" s="42">
        <v>5</v>
      </c>
      <c r="G15" s="111">
        <v>100</v>
      </c>
      <c r="H15" s="111">
        <v>10</v>
      </c>
      <c r="I15" s="107">
        <v>110</v>
      </c>
      <c r="J15" s="106">
        <v>500</v>
      </c>
      <c r="K15" s="106">
        <v>50</v>
      </c>
      <c r="L15" s="106">
        <v>550</v>
      </c>
      <c r="N15" s="71">
        <f>SUMIFS(PAGOS!$F$3:$F$1048576,PAGOS!$A$3:$A$1048576,"&lt;&gt;INGRESO*",PAGOS!$A$3:$A$1048576,"&lt;&gt;EGRESO*",PAGOS!$E$3:$E$1048576,+MID('09'!B15,6,3)*1)</f>
        <v>400</v>
      </c>
      <c r="O15" s="71">
        <f t="shared" ref="O15" si="4">E15-N15</f>
        <v>100</v>
      </c>
      <c r="P15" s="71">
        <f>SUMIFS(PAGOS!$I$3:$I$1048576,PAGOS!$A$3:$A$1048576,"&lt;&gt;INGRESO*",PAGOS!$A$3:$A$1048576,"&lt;&gt;EGRESO*",PAGOS!$E$3:$E$1048576,+MID('09'!B15,6,3)*1)</f>
        <v>40</v>
      </c>
      <c r="Q15" s="71">
        <f t="shared" ref="Q15" si="5">K15-P15</f>
        <v>10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workbookViewId="0">
      <selection activeCell="B13" sqref="B13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73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</row>
    <row r="3" spans="1:17" x14ac:dyDescent="0.3">
      <c r="D3" s="76" t="s">
        <v>168</v>
      </c>
      <c r="E3" s="96"/>
      <c r="F3" s="76" t="s">
        <v>169</v>
      </c>
      <c r="G3" s="94">
        <f>SUM(E7:E1048576)</f>
        <v>1450</v>
      </c>
      <c r="H3" s="76" t="s">
        <v>170</v>
      </c>
      <c r="I3" s="94">
        <f>SUM($P$7:$P$1048576)</f>
        <v>71</v>
      </c>
      <c r="J3" s="76" t="s">
        <v>171</v>
      </c>
      <c r="K3" s="95">
        <f>G3+I3</f>
        <v>1521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3">_xlfn.SEQUENCE(COUNTA(C7:C1048576))</f>
        <v>1</v>
      </c>
      <c r="B7" s="105">
        <v>13</v>
      </c>
      <c r="C7" s="42" t="s">
        <v>18</v>
      </c>
      <c r="D7" s="38">
        <v>44972</v>
      </c>
      <c r="E7" s="106">
        <v>100</v>
      </c>
      <c r="F7" s="42">
        <v>4</v>
      </c>
      <c r="G7" s="106">
        <v>25</v>
      </c>
      <c r="H7" s="106">
        <v>2</v>
      </c>
      <c r="I7" s="107">
        <v>27</v>
      </c>
      <c r="J7" s="106">
        <v>100</v>
      </c>
      <c r="K7" s="106">
        <v>8</v>
      </c>
      <c r="L7" s="106">
        <v>108</v>
      </c>
      <c r="N7" s="71">
        <f>SUMIFS(PAGOS!$F$3:$F$1048576,PAGOS!$A$3:$A$1048576,"&lt;&gt;INGRESO*",PAGOS!$A$3:$A$1048576,"&lt;&gt;EGRESO*",PAGOS!$E$3:$E$1048576,B7)</f>
        <v>100</v>
      </c>
      <c r="O7" s="71">
        <f t="shared" ref="O7:O12" si="0">E7-N7</f>
        <v>0</v>
      </c>
      <c r="P7" s="71">
        <f>SUMIFS(PAGOS!$I$3:$I$1048576,PAGOS!$A$3:$A$1048576,"&lt;&gt;INGRESO*",PAGOS!$A$3:$A$1048576,"&lt;&gt;EGRESO*",PAGOS!$E$3:$E$1048576,B7)</f>
        <v>8</v>
      </c>
      <c r="Q7" s="71">
        <f t="shared" ref="Q7:Q12" si="1">K7-P7</f>
        <v>0</v>
      </c>
    </row>
    <row r="8" spans="1:17" x14ac:dyDescent="0.3">
      <c r="A8" s="42">
        <v>2</v>
      </c>
      <c r="B8" s="36" t="s">
        <v>188</v>
      </c>
      <c r="C8" s="42" t="s">
        <v>18</v>
      </c>
      <c r="D8" s="38">
        <v>45366</v>
      </c>
      <c r="E8" s="111">
        <v>100</v>
      </c>
      <c r="F8" s="42">
        <v>5</v>
      </c>
      <c r="G8" s="106">
        <v>20</v>
      </c>
      <c r="H8" s="106">
        <v>2</v>
      </c>
      <c r="I8" s="107">
        <v>22</v>
      </c>
      <c r="J8" s="106">
        <v>100</v>
      </c>
      <c r="K8" s="106">
        <v>10</v>
      </c>
      <c r="L8" s="106">
        <v>110</v>
      </c>
      <c r="N8" s="71">
        <f>SUMIFS(PAGOS!$F$3:$F$1048576,PAGOS!$A$3:$A$1048576,"&lt;&gt;INGRESO*",PAGOS!$A$3:$A$1048576,"&lt;&gt;EGRESO*",PAGOS!$E$3:$E$1048576,+MID('10'!B8,6,3)*1)</f>
        <v>100</v>
      </c>
      <c r="O8" s="71">
        <f t="shared" si="0"/>
        <v>0</v>
      </c>
      <c r="P8" s="71">
        <f>SUMIFS(PAGOS!$I$3:$I$1048576,PAGOS!$A$3:$A$1048576,"&lt;&gt;INGRESO*",PAGOS!$A$3:$A$1048576,"&lt;&gt;EGRESO*",PAGOS!$E$3:$E$1048576,+MID('10'!B8,6,3)*1)</f>
        <v>10</v>
      </c>
      <c r="Q8" s="71">
        <f t="shared" si="1"/>
        <v>0</v>
      </c>
    </row>
    <row r="9" spans="1:17" x14ac:dyDescent="0.3">
      <c r="A9" s="42">
        <v>3</v>
      </c>
      <c r="B9" s="36" t="s">
        <v>258</v>
      </c>
      <c r="C9" s="42" t="s">
        <v>18</v>
      </c>
      <c r="D9" s="38">
        <v>45611</v>
      </c>
      <c r="E9" s="111">
        <v>200</v>
      </c>
      <c r="F9" s="42">
        <v>5</v>
      </c>
      <c r="G9" s="106">
        <v>40</v>
      </c>
      <c r="H9" s="106">
        <v>4</v>
      </c>
      <c r="I9" s="107">
        <v>44</v>
      </c>
      <c r="J9" s="106">
        <v>200</v>
      </c>
      <c r="K9" s="106">
        <v>20</v>
      </c>
      <c r="L9" s="106">
        <v>220</v>
      </c>
      <c r="N9" s="71">
        <f>SUMIFS(PAGOS!$F$3:$F$1048576,PAGOS!$A$3:$A$1048576,"&lt;&gt;INGRESO*",PAGOS!$A$3:$A$1048576,"&lt;&gt;EGRESO*",PAGOS!$E$3:$E$1048576,+MID('10'!B9,6,3)*1)</f>
        <v>200</v>
      </c>
      <c r="O9" s="71">
        <f t="shared" si="0"/>
        <v>0</v>
      </c>
      <c r="P9" s="71">
        <f>SUMIFS(PAGOS!$I$3:$I$1048576,PAGOS!$A$3:$A$1048576,"&lt;&gt;INGRESO*",PAGOS!$A$3:$A$1048576,"&lt;&gt;EGRESO*",PAGOS!$E$3:$E$1048576,+MID('10'!B9,6,3)*1)</f>
        <v>20</v>
      </c>
      <c r="Q9" s="71">
        <f t="shared" si="1"/>
        <v>0</v>
      </c>
    </row>
    <row r="10" spans="1:17" x14ac:dyDescent="0.3">
      <c r="A10" s="42">
        <v>4</v>
      </c>
      <c r="B10" s="36" t="s">
        <v>321</v>
      </c>
      <c r="C10" s="42" t="s">
        <v>18</v>
      </c>
      <c r="D10" s="38">
        <v>45762</v>
      </c>
      <c r="E10" s="111">
        <v>200</v>
      </c>
      <c r="F10" s="42">
        <v>5</v>
      </c>
      <c r="G10" s="106">
        <v>40</v>
      </c>
      <c r="H10" s="106">
        <v>4</v>
      </c>
      <c r="I10" s="107">
        <v>44</v>
      </c>
      <c r="J10" s="106">
        <v>200</v>
      </c>
      <c r="K10" s="106">
        <v>20</v>
      </c>
      <c r="L10" s="111">
        <v>220</v>
      </c>
      <c r="N10" s="71">
        <f>SUMIFS(PAGOS!$F$3:$F$1048576,PAGOS!$A$3:$A$1048576,"&lt;&gt;INGRESO*",PAGOS!$A$3:$A$1048576,"&lt;&gt;EGRESO*",PAGOS!$E$3:$E$1048576,+MID('10'!B10,6,3)*1)</f>
        <v>200</v>
      </c>
      <c r="O10" s="71">
        <f t="shared" si="0"/>
        <v>0</v>
      </c>
      <c r="P10" s="71">
        <f>SUMIFS(PAGOS!$I$3:$I$1048576,PAGOS!$A$3:$A$1048576,"&lt;&gt;INGRESO*",PAGOS!$A$3:$A$1048576,"&lt;&gt;EGRESO*",PAGOS!$E$3:$E$1048576,+MID('10'!B10,6,3)*1)</f>
        <v>20</v>
      </c>
      <c r="Q10" s="71">
        <f t="shared" si="1"/>
        <v>0</v>
      </c>
    </row>
    <row r="11" spans="1:17" x14ac:dyDescent="0.3">
      <c r="A11" s="42">
        <v>5</v>
      </c>
      <c r="B11" s="36" t="s">
        <v>472</v>
      </c>
      <c r="C11" s="42" t="s">
        <v>18</v>
      </c>
      <c r="D11" s="38">
        <v>45945</v>
      </c>
      <c r="E11" s="111">
        <v>150</v>
      </c>
      <c r="F11" s="42">
        <v>3</v>
      </c>
      <c r="G11" s="106">
        <v>50</v>
      </c>
      <c r="H11" s="106">
        <v>3</v>
      </c>
      <c r="I11" s="107">
        <v>53</v>
      </c>
      <c r="J11" s="106">
        <v>150</v>
      </c>
      <c r="K11" s="106">
        <v>9</v>
      </c>
      <c r="L11" s="106">
        <v>159</v>
      </c>
      <c r="N11" s="71">
        <f>SUMIFS(PAGOS!$F$3:$F$1048576,PAGOS!$A$3:$A$1048576,"&lt;&gt;INGRESO*",PAGOS!$A$3:$A$1048576,"&lt;&gt;EGRESO*",PAGOS!$E$3:$E$1048576,+MID('10'!B11,6,3)*1)</f>
        <v>150</v>
      </c>
      <c r="O11" s="71">
        <f t="shared" si="0"/>
        <v>0</v>
      </c>
      <c r="P11" s="71">
        <f>SUMIFS(PAGOS!$I$3:$I$1048576,PAGOS!$A$3:$A$1048576,"&lt;&gt;INGRESO*",PAGOS!$A$3:$A$1048576,"&lt;&gt;EGRESO*",PAGOS!$E$3:$E$1048576,+MID('10'!B11,6,3)*1)</f>
        <v>9</v>
      </c>
      <c r="Q11" s="71">
        <f t="shared" si="1"/>
        <v>0</v>
      </c>
    </row>
    <row r="12" spans="1:17" x14ac:dyDescent="0.3">
      <c r="A12" s="42">
        <v>6</v>
      </c>
      <c r="B12" s="36" t="s">
        <v>547</v>
      </c>
      <c r="C12" s="42" t="s">
        <v>18</v>
      </c>
      <c r="D12" s="38">
        <v>46086</v>
      </c>
      <c r="E12" s="111">
        <v>200</v>
      </c>
      <c r="F12" s="42">
        <v>1</v>
      </c>
      <c r="G12" s="111">
        <v>200</v>
      </c>
      <c r="H12" s="111">
        <v>4</v>
      </c>
      <c r="I12" s="289">
        <v>204</v>
      </c>
      <c r="J12" s="106">
        <v>200</v>
      </c>
      <c r="K12" s="106">
        <v>4</v>
      </c>
      <c r="L12" s="106">
        <v>204</v>
      </c>
      <c r="N12" s="71">
        <f>SUMIFS(PAGOS!$F$3:$F$1048576,PAGOS!$A$3:$A$1048576,"&lt;&gt;INGRESO*",PAGOS!$A$3:$A$1048576,"&lt;&gt;EGRESO*",PAGOS!$E$3:$E$1048576,+MID('10'!B12,6,3)*1)</f>
        <v>200</v>
      </c>
      <c r="O12" s="71">
        <f t="shared" si="0"/>
        <v>0</v>
      </c>
      <c r="P12" s="71">
        <f>SUMIFS(PAGOS!$I$3:$I$1048576,PAGOS!$A$3:$A$1048576,"&lt;&gt;INGRESO*",PAGOS!$A$3:$A$1048576,"&lt;&gt;EGRESO*",PAGOS!$E$3:$E$1048576,+MID('10'!B12,6,3)*1)</f>
        <v>4</v>
      </c>
      <c r="Q12" s="71">
        <f t="shared" si="1"/>
        <v>0</v>
      </c>
    </row>
    <row r="13" spans="1:17" x14ac:dyDescent="0.3">
      <c r="A13">
        <v>7</v>
      </c>
      <c r="B13" s="10" t="s">
        <v>556</v>
      </c>
      <c r="C13" t="s">
        <v>18</v>
      </c>
      <c r="D13" s="24">
        <v>46127</v>
      </c>
      <c r="E13">
        <v>500</v>
      </c>
      <c r="F13">
        <v>5</v>
      </c>
      <c r="G13">
        <v>100</v>
      </c>
      <c r="H13">
        <v>10</v>
      </c>
      <c r="I13" s="73">
        <v>110</v>
      </c>
      <c r="J13">
        <v>500</v>
      </c>
      <c r="K13">
        <v>50</v>
      </c>
      <c r="L13">
        <v>550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workbookViewId="0">
      <selection activeCell="B12" sqref="B12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03" bestFit="1" customWidth="1"/>
    <col min="8" max="8" width="7.6640625" style="103" bestFit="1" customWidth="1"/>
    <col min="9" max="9" width="9.88671875" style="104" customWidth="1"/>
    <col min="10" max="10" width="13.5546875" style="103" bestFit="1" customWidth="1"/>
    <col min="11" max="12" width="11.6640625" style="103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>
        <v>45960</v>
      </c>
      <c r="F3" s="76" t="s">
        <v>169</v>
      </c>
      <c r="G3" s="94">
        <f>SUM(E7:E1048576)</f>
        <v>1600</v>
      </c>
      <c r="H3" s="76" t="s">
        <v>170</v>
      </c>
      <c r="I3" s="94">
        <f>SUM($P$7:$P$1048576)</f>
        <v>124</v>
      </c>
      <c r="J3" s="76" t="s">
        <v>171</v>
      </c>
      <c r="K3" s="95">
        <f>G3+I3</f>
        <v>1724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1">_xlfn.SEQUENCE(COUNTA(C7:C1048576))</f>
        <v>1</v>
      </c>
      <c r="B7" s="105">
        <v>5</v>
      </c>
      <c r="C7" s="42" t="s">
        <v>19</v>
      </c>
      <c r="D7" s="38">
        <v>44910</v>
      </c>
      <c r="E7" s="106">
        <v>200</v>
      </c>
      <c r="F7" s="42">
        <v>1</v>
      </c>
      <c r="G7" s="106">
        <v>200</v>
      </c>
      <c r="H7" s="106">
        <v>4</v>
      </c>
      <c r="I7" s="107">
        <v>204</v>
      </c>
      <c r="J7" s="106">
        <v>200</v>
      </c>
      <c r="K7" s="106">
        <v>4</v>
      </c>
      <c r="L7" s="106">
        <v>204</v>
      </c>
      <c r="N7" s="71">
        <f>SUMIFS(PAGOS!$F$3:$F$1048576,PAGOS!$A$3:$A$1048576,"&lt;&gt;INGRESO*",PAGOS!$A$3:$A$1048576,"&lt;&gt;EGRESO*",PAGOS!$E$3:$E$1048576,B7)</f>
        <v>200</v>
      </c>
      <c r="O7" s="71">
        <f>E7-N7</f>
        <v>0</v>
      </c>
      <c r="P7" s="71">
        <f>SUMIFS(PAGOS!$I$3:$I$1048576,PAGOS!$A$3:$A$1048576,"&lt;&gt;INGRESO*",PAGOS!$A$3:$A$1048576,"&lt;&gt;EGRESO*",PAGOS!$E$3:$E$1048576,B7)</f>
        <v>4</v>
      </c>
      <c r="Q7" s="71">
        <f>K7-P7</f>
        <v>0</v>
      </c>
    </row>
    <row r="8" spans="1:17" x14ac:dyDescent="0.3">
      <c r="A8" s="42">
        <v>2</v>
      </c>
      <c r="B8" s="36" t="s">
        <v>222</v>
      </c>
      <c r="C8" s="42" t="s">
        <v>19</v>
      </c>
      <c r="D8" s="38">
        <v>45549</v>
      </c>
      <c r="E8" s="111">
        <v>400</v>
      </c>
      <c r="F8" s="42">
        <v>4</v>
      </c>
      <c r="G8" s="106">
        <v>100</v>
      </c>
      <c r="H8" s="106">
        <v>8</v>
      </c>
      <c r="I8" s="107">
        <v>108</v>
      </c>
      <c r="J8" s="106">
        <v>400</v>
      </c>
      <c r="K8" s="106">
        <v>32</v>
      </c>
      <c r="L8" s="111">
        <v>432</v>
      </c>
      <c r="N8" s="71">
        <f>SUMIFS(PAGOS!$F$3:$F$1048576,PAGOS!$A$3:$A$1048576,"&lt;&gt;INGRESO*",PAGOS!$A$3:$A$1048576,"&lt;&gt;EGRESO*",PAGOS!$E$3:$E$1048576,+MID('11'!B8,6,3)*1)</f>
        <v>400</v>
      </c>
      <c r="O8" s="71">
        <f>E8-N8</f>
        <v>0</v>
      </c>
      <c r="P8" s="71">
        <f>SUMIFS(PAGOS!$I$3:$I$1048576,PAGOS!$A$3:$A$1048576,"&lt;&gt;INGRESO*",PAGOS!$A$3:$A$1048576,"&lt;&gt;EGRESO*",PAGOS!$E$3:$E$1048576,+MID('11'!B8,6,3)*1)</f>
        <v>32</v>
      </c>
      <c r="Q8" s="71">
        <f>K8-P8</f>
        <v>0</v>
      </c>
    </row>
    <row r="9" spans="1:17" x14ac:dyDescent="0.3">
      <c r="A9" s="42">
        <v>3</v>
      </c>
      <c r="B9" s="36" t="s">
        <v>271</v>
      </c>
      <c r="C9" s="42" t="s">
        <v>19</v>
      </c>
      <c r="D9" s="38">
        <v>45641</v>
      </c>
      <c r="E9" s="111">
        <v>500</v>
      </c>
      <c r="F9" s="42">
        <v>5</v>
      </c>
      <c r="G9" s="11">
        <v>100</v>
      </c>
      <c r="H9" s="11">
        <v>10</v>
      </c>
      <c r="I9" s="143">
        <v>110</v>
      </c>
      <c r="J9" s="11">
        <v>500</v>
      </c>
      <c r="K9" s="11">
        <v>50</v>
      </c>
      <c r="L9" s="11">
        <v>550</v>
      </c>
      <c r="N9" s="71">
        <f>SUMIFS(PAGOS!$F$3:$F$1048576,PAGOS!$A$3:$A$1048576,"&lt;&gt;INGRESO*",PAGOS!$A$3:$A$1048576,"&lt;&gt;EGRESO*",PAGOS!$E$3:$E$1048576,+MID('11'!B9,6,3)*1)</f>
        <v>500</v>
      </c>
      <c r="O9" s="71">
        <f>E9-N9</f>
        <v>0</v>
      </c>
      <c r="P9" s="71">
        <f>SUMIFS(PAGOS!$I$3:$I$1048576,PAGOS!$A$3:$A$1048576,"&lt;&gt;INGRESO*",PAGOS!$A$3:$A$1048576,"&lt;&gt;EGRESO*",PAGOS!$E$3:$E$1048576,+MID('11'!B9,6,3)*1)</f>
        <v>50</v>
      </c>
      <c r="Q9" s="71">
        <f>K9-P9</f>
        <v>0</v>
      </c>
    </row>
    <row r="10" spans="1:17" x14ac:dyDescent="0.3">
      <c r="A10" s="42">
        <v>4</v>
      </c>
      <c r="B10" s="36" t="s">
        <v>385</v>
      </c>
      <c r="C10" s="42" t="s">
        <v>19</v>
      </c>
      <c r="D10" s="38">
        <v>45792</v>
      </c>
      <c r="E10" s="111">
        <v>300</v>
      </c>
      <c r="F10" s="42">
        <v>3</v>
      </c>
      <c r="G10" s="11">
        <v>100</v>
      </c>
      <c r="H10" s="11">
        <v>6</v>
      </c>
      <c r="I10" s="143">
        <v>106</v>
      </c>
      <c r="J10" s="11">
        <v>300</v>
      </c>
      <c r="K10" s="11">
        <v>18</v>
      </c>
      <c r="L10" s="11">
        <v>318</v>
      </c>
      <c r="N10" s="71">
        <f>SUMIFS(PAGOS!$F$3:$F$1048576,PAGOS!$A$3:$A$1048576,"&lt;&gt;INGRESO*",PAGOS!$A$3:$A$1048576,"&lt;&gt;EGRESO*",PAGOS!$E$3:$E$1048576,+MID('11'!B10,6,3)*1)</f>
        <v>300</v>
      </c>
      <c r="O10" s="71">
        <f>E10-N10</f>
        <v>0</v>
      </c>
      <c r="P10" s="71">
        <f>SUMIFS(PAGOS!$I$3:$I$1048576,PAGOS!$A$3:$A$1048576,"&lt;&gt;INGRESO*",PAGOS!$A$3:$A$1048576,"&lt;&gt;EGRESO*",PAGOS!$E$3:$E$1048576,+MID('11'!B10,6,3)*1)</f>
        <v>18</v>
      </c>
      <c r="Q10" s="71">
        <f>K10-P10</f>
        <v>0</v>
      </c>
    </row>
    <row r="11" spans="1:17" x14ac:dyDescent="0.3">
      <c r="A11" s="42">
        <v>5</v>
      </c>
      <c r="B11" s="36" t="s">
        <v>484</v>
      </c>
      <c r="C11" s="42" t="s">
        <v>19</v>
      </c>
      <c r="D11" s="38">
        <v>45976</v>
      </c>
      <c r="E11" s="111">
        <v>200</v>
      </c>
      <c r="F11" s="42">
        <v>6</v>
      </c>
      <c r="G11" s="11">
        <v>33.333333333333336</v>
      </c>
      <c r="H11" s="11">
        <v>4</v>
      </c>
      <c r="I11" s="143">
        <v>37.333333333333336</v>
      </c>
      <c r="J11" s="11">
        <v>200</v>
      </c>
      <c r="K11" s="11">
        <v>24</v>
      </c>
      <c r="L11" s="11">
        <v>224</v>
      </c>
      <c r="N11" s="71">
        <f>SUMIFS(PAGOS!$F$3:$F$1048576,PAGOS!$A$3:$A$1048576,"&lt;&gt;INGRESO*",PAGOS!$A$3:$A$1048576,"&lt;&gt;EGRESO*",PAGOS!$E$3:$E$1048576,+MID('11'!B11,6,3)*1)</f>
        <v>166.64999999999998</v>
      </c>
      <c r="O11" s="71">
        <f>E11-N11</f>
        <v>33.350000000000023</v>
      </c>
      <c r="P11" s="71">
        <f>SUMIFS(PAGOS!$I$3:$I$1048576,PAGOS!$A$3:$A$1048576,"&lt;&gt;INGRESO*",PAGOS!$A$3:$A$1048576,"&lt;&gt;EGRESO*",PAGOS!$E$3:$E$1048576,+MID('11'!B11,6,3)*1)</f>
        <v>20</v>
      </c>
      <c r="Q11" s="71">
        <f>K11-P11</f>
        <v>4</v>
      </c>
    </row>
    <row r="14" spans="1:17" x14ac:dyDescent="0.3">
      <c r="I14" s="103"/>
    </row>
    <row r="15" spans="1:17" x14ac:dyDescent="0.3">
      <c r="I15" s="103"/>
    </row>
    <row r="16" spans="1:17" x14ac:dyDescent="0.3">
      <c r="I16" s="103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5"/>
  <sheetViews>
    <sheetView workbookViewId="0">
      <selection activeCell="C10" sqref="C10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03" customWidth="1"/>
    <col min="6" max="6" width="9.33203125" bestFit="1" customWidth="1"/>
    <col min="7" max="7" width="11.88671875" style="103" bestFit="1" customWidth="1"/>
    <col min="8" max="8" width="7.6640625" style="103" bestFit="1" customWidth="1"/>
    <col min="9" max="9" width="8.44140625" style="104" bestFit="1" customWidth="1"/>
    <col min="10" max="10" width="13.5546875" style="103" bestFit="1" customWidth="1"/>
    <col min="11" max="12" width="11.6640625" style="103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5000</v>
      </c>
      <c r="H3" s="76" t="s">
        <v>170</v>
      </c>
      <c r="I3" s="94">
        <f>SUM($P$7:$P$1048576)</f>
        <v>648</v>
      </c>
      <c r="J3" s="76" t="s">
        <v>171</v>
      </c>
      <c r="K3" s="95">
        <f>G3+I3</f>
        <v>5648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4">_xlfn.SEQUENCE(COUNTA(C7:C1048576))</f>
        <v>1</v>
      </c>
      <c r="B7" s="105">
        <v>8</v>
      </c>
      <c r="C7" s="42" t="s">
        <v>20</v>
      </c>
      <c r="D7" s="38">
        <v>44910</v>
      </c>
      <c r="E7" s="11">
        <v>100</v>
      </c>
      <c r="F7" s="42">
        <v>4</v>
      </c>
      <c r="G7" s="11">
        <v>25</v>
      </c>
      <c r="H7" s="11">
        <v>2</v>
      </c>
      <c r="I7" s="143">
        <v>27</v>
      </c>
      <c r="J7" s="11">
        <v>100</v>
      </c>
      <c r="K7" s="11">
        <v>8</v>
      </c>
      <c r="L7" s="11">
        <v>108</v>
      </c>
      <c r="N7" s="71">
        <f>SUMIFS(PAGOS!$F$3:$F$1048576,PAGOS!$A$3:$A$1048576,"&lt;&gt;INGRESO*",PAGOS!$A$3:$A$1048576,"&lt;&gt;EGRESO*",PAGOS!$E$3:$E$1048576,B7)</f>
        <v>100</v>
      </c>
      <c r="O7" s="71">
        <f t="shared" ref="O7:O12" si="0">E7-N7</f>
        <v>0</v>
      </c>
      <c r="P7" s="71">
        <f>SUMIFS(PAGOS!$I$3:$I$1048576,PAGOS!$A$3:$A$1048576,"&lt;&gt;INGRESO*",PAGOS!$A$3:$A$1048576,"&lt;&gt;EGRESO*",PAGOS!$E$3:$E$1048576,B7)</f>
        <v>8</v>
      </c>
      <c r="Q7" s="71">
        <f t="shared" ref="Q7:Q12" si="1">K7-P7</f>
        <v>0</v>
      </c>
    </row>
    <row r="8" spans="1:17" x14ac:dyDescent="0.3">
      <c r="A8" s="42">
        <v>2</v>
      </c>
      <c r="B8" s="105">
        <v>16</v>
      </c>
      <c r="C8" s="42" t="s">
        <v>20</v>
      </c>
      <c r="D8" s="38">
        <v>45031</v>
      </c>
      <c r="E8" s="11">
        <v>200</v>
      </c>
      <c r="F8" s="42">
        <v>4</v>
      </c>
      <c r="G8" s="11">
        <v>50</v>
      </c>
      <c r="H8" s="11">
        <v>4</v>
      </c>
      <c r="I8" s="143">
        <v>54</v>
      </c>
      <c r="J8" s="11">
        <v>200</v>
      </c>
      <c r="K8" s="11">
        <v>16</v>
      </c>
      <c r="L8" s="11">
        <v>216</v>
      </c>
      <c r="N8" s="71">
        <f>SUMIFS(PAGOS!$F$3:$F$1048576,PAGOS!$A$3:$A$1048576,"&lt;&gt;INGRESO*",PAGOS!$A$3:$A$1048576,"&lt;&gt;EGRESO*",PAGOS!$E$3:$E$1048576,B8)</f>
        <v>200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16</v>
      </c>
      <c r="Q8" s="71">
        <f t="shared" si="1"/>
        <v>0</v>
      </c>
    </row>
    <row r="9" spans="1:17" x14ac:dyDescent="0.3">
      <c r="A9" s="42">
        <v>3</v>
      </c>
      <c r="B9" s="105">
        <v>31</v>
      </c>
      <c r="C9" s="42" t="s">
        <v>20</v>
      </c>
      <c r="D9" s="38">
        <v>45214</v>
      </c>
      <c r="E9" s="11">
        <v>400</v>
      </c>
      <c r="F9" s="42">
        <v>7</v>
      </c>
      <c r="G9" s="11">
        <v>57.142857142857146</v>
      </c>
      <c r="H9" s="11">
        <v>8</v>
      </c>
      <c r="I9" s="143">
        <v>65.142857142857139</v>
      </c>
      <c r="J9" s="11">
        <v>400</v>
      </c>
      <c r="K9" s="11">
        <v>56</v>
      </c>
      <c r="L9" s="11">
        <v>456</v>
      </c>
      <c r="N9" s="71">
        <f>SUMIFS(PAGOS!$F$3:$F$1048576,PAGOS!$A$3:$A$1048576,"&lt;&gt;INGRESO*",PAGOS!$A$3:$A$1048576,"&lt;&gt;EGRESO*",PAGOS!$E$3:$E$1048576,B9)</f>
        <v>399.99999999999994</v>
      </c>
      <c r="O9" s="71">
        <f t="shared" si="0"/>
        <v>0</v>
      </c>
      <c r="P9" s="71">
        <f>SUMIFS(PAGOS!$I$3:$I$1048576,PAGOS!$A$3:$A$1048576,"&lt;&gt;INGRESO*",PAGOS!$A$3:$A$1048576,"&lt;&gt;EGRESO*",PAGOS!$E$3:$E$1048576,B9)</f>
        <v>56</v>
      </c>
      <c r="Q9" s="71">
        <f t="shared" si="1"/>
        <v>0</v>
      </c>
    </row>
    <row r="10" spans="1:17" x14ac:dyDescent="0.3">
      <c r="A10" s="42">
        <v>4</v>
      </c>
      <c r="B10" s="36" t="s">
        <v>195</v>
      </c>
      <c r="C10" s="42" t="s">
        <v>20</v>
      </c>
      <c r="D10" s="38">
        <v>45427</v>
      </c>
      <c r="E10" s="11">
        <v>600</v>
      </c>
      <c r="F10" s="42">
        <v>7</v>
      </c>
      <c r="G10" s="11">
        <v>85.714285714285708</v>
      </c>
      <c r="H10" s="11">
        <v>12</v>
      </c>
      <c r="I10" s="143">
        <v>97.714285714285708</v>
      </c>
      <c r="J10" s="11">
        <v>600</v>
      </c>
      <c r="K10" s="11">
        <v>84</v>
      </c>
      <c r="L10" s="11">
        <v>684</v>
      </c>
      <c r="N10" s="71">
        <f>SUMIFS(PAGOS!$F$3:$F$1048576,PAGOS!$A$3:$A$1048576,"&lt;&gt;INGRESO*",PAGOS!$A$3:$A$1048576,"&lt;&gt;EGRESO*",PAGOS!$E$3:$E$1048576,+MID('12'!B10,6,3)*1)</f>
        <v>600</v>
      </c>
      <c r="O10" s="71">
        <f t="shared" si="0"/>
        <v>0</v>
      </c>
      <c r="P10" s="71">
        <f>SUMIFS(PAGOS!$I$3:$I$1048576,PAGOS!$A$3:$A$1048576,"&lt;&gt;INGRESO*",PAGOS!$A$3:$A$1048576,"&lt;&gt;EGRESO*",PAGOS!$E$3:$E$1048576,+MID('12'!B10,6,3)*1)</f>
        <v>84</v>
      </c>
      <c r="Q10" s="71">
        <f t="shared" si="1"/>
        <v>0</v>
      </c>
    </row>
    <row r="11" spans="1:17" x14ac:dyDescent="0.3">
      <c r="A11" s="42">
        <v>5</v>
      </c>
      <c r="B11" s="36" t="s">
        <v>255</v>
      </c>
      <c r="C11" s="42" t="s">
        <v>20</v>
      </c>
      <c r="D11" s="38">
        <v>45611</v>
      </c>
      <c r="E11" s="11">
        <v>1000</v>
      </c>
      <c r="F11" s="42">
        <v>10</v>
      </c>
      <c r="G11" s="11">
        <v>100</v>
      </c>
      <c r="H11" s="11">
        <v>20</v>
      </c>
      <c r="I11" s="143">
        <v>120</v>
      </c>
      <c r="J11" s="11">
        <v>1000</v>
      </c>
      <c r="K11" s="11">
        <v>200</v>
      </c>
      <c r="L11" s="11">
        <v>1200</v>
      </c>
      <c r="N11" s="71">
        <f>SUMIFS(PAGOS!$F$3:$F$1048576,PAGOS!$A$3:$A$1048576,"&lt;&gt;INGRESO*",PAGOS!$A$3:$A$1048576,"&lt;&gt;EGRESO*",PAGOS!$E$3:$E$1048576,+MID('12'!B11,6,3)*1)</f>
        <v>1000</v>
      </c>
      <c r="O11" s="71">
        <f t="shared" si="0"/>
        <v>0</v>
      </c>
      <c r="P11" s="71">
        <f>SUMIFS(PAGOS!$I$3:$I$1048576,PAGOS!$A$3:$A$1048576,"&lt;&gt;INGRESO*",PAGOS!$A$3:$A$1048576,"&lt;&gt;EGRESO*",PAGOS!$E$3:$E$1048576,+MID('12'!B11,6,3)*1)</f>
        <v>200</v>
      </c>
      <c r="Q11" s="71">
        <f t="shared" si="1"/>
        <v>0</v>
      </c>
    </row>
    <row r="12" spans="1:17" x14ac:dyDescent="0.3">
      <c r="A12" s="42">
        <v>6</v>
      </c>
      <c r="B12" s="36" t="s">
        <v>548</v>
      </c>
      <c r="C12" s="42" t="s">
        <v>20</v>
      </c>
      <c r="D12" s="38">
        <v>45884</v>
      </c>
      <c r="E12" s="11">
        <v>1100</v>
      </c>
      <c r="F12" s="42">
        <v>10</v>
      </c>
      <c r="G12" s="11">
        <v>110</v>
      </c>
      <c r="H12" s="11">
        <v>22</v>
      </c>
      <c r="I12" s="143">
        <v>132</v>
      </c>
      <c r="J12" s="11">
        <v>1100</v>
      </c>
      <c r="K12" s="11">
        <v>220</v>
      </c>
      <c r="L12" s="11">
        <v>1320</v>
      </c>
      <c r="N12" s="71">
        <f>SUMIFS(PAGOS!$F$3:$F$1048576,PAGOS!$A$3:$A$1048576,"&lt;&gt;INGRESO*",PAGOS!$A$3:$A$1048576,"&lt;&gt;EGRESO*",PAGOS!$E$3:$E$1048576,+MID('12'!B12,6,3)*1)</f>
        <v>1100</v>
      </c>
      <c r="O12" s="71">
        <f t="shared" si="0"/>
        <v>0</v>
      </c>
      <c r="P12" s="71">
        <f>SUMIFS(PAGOS!$I$3:$I$1048576,PAGOS!$A$3:$A$1048576,"&lt;&gt;INGRESO*",PAGOS!$A$3:$A$1048576,"&lt;&gt;EGRESO*",PAGOS!$E$3:$E$1048576,+MID('12'!B12,6,3)*1)</f>
        <v>220</v>
      </c>
      <c r="Q12" s="71">
        <f t="shared" si="1"/>
        <v>0</v>
      </c>
    </row>
    <row r="13" spans="1:17" x14ac:dyDescent="0.3">
      <c r="A13" s="42">
        <v>7</v>
      </c>
      <c r="B13" s="36" t="s">
        <v>435</v>
      </c>
      <c r="C13" s="42" t="s">
        <v>20</v>
      </c>
      <c r="D13" s="38">
        <v>45900</v>
      </c>
      <c r="E13" s="11">
        <v>100</v>
      </c>
      <c r="F13" s="42">
        <v>2</v>
      </c>
      <c r="G13" s="11">
        <v>50</v>
      </c>
      <c r="H13" s="11">
        <v>2</v>
      </c>
      <c r="I13" s="143">
        <v>52</v>
      </c>
      <c r="J13" s="11">
        <v>100</v>
      </c>
      <c r="K13" s="11">
        <v>4</v>
      </c>
      <c r="L13" s="11">
        <v>104</v>
      </c>
      <c r="N13" s="71">
        <f>SUMIFS(PAGOS!$F$3:$F$1048576,PAGOS!$A$3:$A$1048576,"&lt;&gt;INGRESO*",PAGOS!$A$3:$A$1048576,"&lt;&gt;EGRESO*",PAGOS!$E$3:$E$1048576,+MID('12'!B13,6,3)*1)</f>
        <v>100</v>
      </c>
      <c r="O13" s="71">
        <f t="shared" ref="O13" si="2">E13-N13</f>
        <v>0</v>
      </c>
      <c r="P13" s="71">
        <f>SUMIFS(PAGOS!$I$3:$I$1048576,PAGOS!$A$3:$A$1048576,"&lt;&gt;INGRESO*",PAGOS!$A$3:$A$1048576,"&lt;&gt;EGRESO*",PAGOS!$E$3:$E$1048576,+MID('12'!B13,6,3)*1)</f>
        <v>4</v>
      </c>
      <c r="Q13" s="71">
        <f t="shared" ref="Q13" si="3">K13-P13</f>
        <v>0</v>
      </c>
    </row>
    <row r="14" spans="1:17" x14ac:dyDescent="0.3">
      <c r="A14" s="42">
        <v>8</v>
      </c>
      <c r="B14" s="36" t="s">
        <v>526</v>
      </c>
      <c r="C14" s="42" t="s">
        <v>20</v>
      </c>
      <c r="D14" s="38">
        <v>46068</v>
      </c>
      <c r="E14" s="11">
        <v>1500</v>
      </c>
      <c r="F14" s="42">
        <v>12</v>
      </c>
      <c r="G14" s="11">
        <v>125</v>
      </c>
      <c r="H14" s="11">
        <v>30</v>
      </c>
      <c r="I14" s="143">
        <v>155</v>
      </c>
      <c r="J14" s="11">
        <v>1500</v>
      </c>
      <c r="K14" s="11">
        <v>360</v>
      </c>
      <c r="L14" s="11">
        <v>1860</v>
      </c>
      <c r="N14" s="71">
        <f>SUMIFS(PAGOS!$F$3:$F$1048576,PAGOS!$A$3:$A$1048576,"&lt;&gt;INGRESO*",PAGOS!$A$3:$A$1048576,"&lt;&gt;EGRESO*",PAGOS!$E$3:$E$1048576,+MID('12'!B14,6,3)*1)</f>
        <v>250</v>
      </c>
      <c r="O14" s="71">
        <f t="shared" ref="O14" si="4">E14-N14</f>
        <v>1250</v>
      </c>
      <c r="P14" s="71">
        <f>SUMIFS(PAGOS!$I$3:$I$1048576,PAGOS!$A$3:$A$1048576,"&lt;&gt;INGRESO*",PAGOS!$A$3:$A$1048576,"&lt;&gt;EGRESO*",PAGOS!$E$3:$E$1048576,+MID('12'!B14,6,3)*1)</f>
        <v>60</v>
      </c>
      <c r="Q14" s="71">
        <f t="shared" ref="Q14" si="5">K14-P14</f>
        <v>300</v>
      </c>
    </row>
    <row r="15" spans="1:17" x14ac:dyDescent="0.3">
      <c r="I15" s="103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workbookViewId="0">
      <selection activeCell="B17" sqref="B17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73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</row>
    <row r="3" spans="1:17" x14ac:dyDescent="0.3">
      <c r="D3" s="76" t="s">
        <v>168</v>
      </c>
      <c r="E3" s="96"/>
      <c r="F3" s="76" t="s">
        <v>169</v>
      </c>
      <c r="G3" s="94">
        <f>SUM(E7:E1048576)</f>
        <v>5620</v>
      </c>
      <c r="H3" s="76" t="s">
        <v>170</v>
      </c>
      <c r="I3" s="94">
        <f>SUM($P$7:$P$1048576)</f>
        <v>489</v>
      </c>
      <c r="J3" s="76" t="s">
        <v>171</v>
      </c>
      <c r="K3" s="95">
        <f>G3+I3</f>
        <v>6109</v>
      </c>
    </row>
    <row r="4" spans="1:17" x14ac:dyDescent="0.3">
      <c r="I4"/>
    </row>
    <row r="5" spans="1:17" x14ac:dyDescent="0.3">
      <c r="A5" s="42"/>
      <c r="B5" s="36"/>
      <c r="C5" s="76" t="s">
        <v>45</v>
      </c>
      <c r="D5" s="42"/>
      <c r="E5" s="42"/>
      <c r="F5" s="42"/>
      <c r="G5" s="76" t="s">
        <v>47</v>
      </c>
      <c r="H5" s="230" t="s">
        <v>155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2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5">_xlfn.SEQUENCE(COUNTA(C7:C1048576))</f>
        <v>1</v>
      </c>
      <c r="B7" s="105">
        <v>9</v>
      </c>
      <c r="C7" s="42" t="s">
        <v>21</v>
      </c>
      <c r="D7" s="38">
        <v>44910</v>
      </c>
      <c r="E7" s="106">
        <v>170</v>
      </c>
      <c r="F7" s="42">
        <v>5</v>
      </c>
      <c r="G7" s="106">
        <v>34</v>
      </c>
      <c r="H7" s="106">
        <v>3.4</v>
      </c>
      <c r="I7" s="107">
        <v>37.4</v>
      </c>
      <c r="J7" s="106">
        <v>170</v>
      </c>
      <c r="K7" s="106">
        <v>17</v>
      </c>
      <c r="L7" s="106">
        <v>187</v>
      </c>
      <c r="N7" s="71">
        <f>SUMIFS(PAGOS!$F$3:$F$1048576,PAGOS!$A$3:$A$1048576,"&lt;&gt;INGRESO*",PAGOS!$A$3:$A$1048576,"&lt;&gt;EGRESO*",PAGOS!$E$3:$E$1048576,B7)</f>
        <v>170</v>
      </c>
      <c r="O7" s="71">
        <f t="shared" ref="O7:O13" si="0">E7-N7</f>
        <v>0</v>
      </c>
      <c r="P7" s="71">
        <f>SUMIFS(PAGOS!$I$3:$I$1048576,PAGOS!$A$3:$A$1048576,"&lt;&gt;INGRESO*",PAGOS!$A$3:$A$1048576,"&lt;&gt;EGRESO*",PAGOS!$E$3:$E$1048576,B7)</f>
        <v>17</v>
      </c>
      <c r="Q7" s="71">
        <f t="shared" ref="Q7:Q13" si="1">K7-P7</f>
        <v>0</v>
      </c>
    </row>
    <row r="8" spans="1:17" x14ac:dyDescent="0.3">
      <c r="A8" s="42">
        <v>2</v>
      </c>
      <c r="B8" s="105">
        <v>20</v>
      </c>
      <c r="C8" s="42" t="s">
        <v>21</v>
      </c>
      <c r="D8" s="38">
        <v>45092</v>
      </c>
      <c r="E8" s="106">
        <v>400</v>
      </c>
      <c r="F8" s="42">
        <v>4</v>
      </c>
      <c r="G8" s="106">
        <v>100</v>
      </c>
      <c r="H8" s="106">
        <v>8</v>
      </c>
      <c r="I8" s="107">
        <v>108</v>
      </c>
      <c r="J8" s="106">
        <v>400</v>
      </c>
      <c r="K8" s="106">
        <v>32</v>
      </c>
      <c r="L8" s="106">
        <v>432</v>
      </c>
      <c r="N8" s="71">
        <f>SUMIFS(PAGOS!$F$3:$F$1048576,PAGOS!$A$3:$A$1048576,"&lt;&gt;INGRESO*",PAGOS!$A$3:$A$1048576,"&lt;&gt;EGRESO*",PAGOS!$E$3:$E$1048576,B8)</f>
        <v>400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32</v>
      </c>
      <c r="Q8" s="71">
        <f t="shared" si="1"/>
        <v>0</v>
      </c>
    </row>
    <row r="9" spans="1:17" x14ac:dyDescent="0.3">
      <c r="A9" s="42">
        <v>3</v>
      </c>
      <c r="B9" s="105">
        <v>33</v>
      </c>
      <c r="C9" s="42" t="s">
        <v>21</v>
      </c>
      <c r="D9" s="38">
        <v>45245</v>
      </c>
      <c r="E9" s="106">
        <v>250</v>
      </c>
      <c r="F9" s="42">
        <v>4</v>
      </c>
      <c r="G9" s="106">
        <v>62.5</v>
      </c>
      <c r="H9" s="106">
        <v>5</v>
      </c>
      <c r="I9" s="107">
        <v>67.5</v>
      </c>
      <c r="J9" s="106">
        <v>250</v>
      </c>
      <c r="K9" s="106">
        <v>20</v>
      </c>
      <c r="L9" s="106">
        <v>270</v>
      </c>
      <c r="N9" s="71">
        <f>SUMIFS(PAGOS!$F$3:$F$1048576,PAGOS!$A$3:$A$1048576,"&lt;&gt;INGRESO*",PAGOS!$A$3:$A$1048576,"&lt;&gt;EGRESO*",PAGOS!$E$3:$E$1048576,B9)</f>
        <v>250</v>
      </c>
      <c r="O9" s="71">
        <f t="shared" si="0"/>
        <v>0</v>
      </c>
      <c r="P9" s="71">
        <f>SUMIFS(PAGOS!$I$3:$I$1048576,PAGOS!$A$3:$A$1048576,"&lt;&gt;INGRESO*",PAGOS!$A$3:$A$1048576,"&lt;&gt;EGRESO*",PAGOS!$E$3:$E$1048576,B9)</f>
        <v>20</v>
      </c>
      <c r="Q9" s="71">
        <f t="shared" si="1"/>
        <v>0</v>
      </c>
    </row>
    <row r="10" spans="1:17" x14ac:dyDescent="0.3">
      <c r="A10" s="42">
        <v>4</v>
      </c>
      <c r="B10" s="105">
        <v>34</v>
      </c>
      <c r="C10" s="42" t="s">
        <v>21</v>
      </c>
      <c r="D10" s="38">
        <v>45306</v>
      </c>
      <c r="E10" s="106">
        <v>500</v>
      </c>
      <c r="F10" s="42">
        <v>2</v>
      </c>
      <c r="G10" s="106">
        <v>250</v>
      </c>
      <c r="H10" s="106">
        <v>10</v>
      </c>
      <c r="I10" s="107">
        <v>260</v>
      </c>
      <c r="J10" s="106">
        <v>500</v>
      </c>
      <c r="K10" s="106">
        <v>20</v>
      </c>
      <c r="L10" s="106">
        <v>520</v>
      </c>
      <c r="N10" s="71">
        <f>SUMIFS(PAGOS!$F$3:$F$1048576,PAGOS!$A$3:$A$1048576,"&lt;&gt;INGRESO*",PAGOS!$A$3:$A$1048576,"&lt;&gt;EGRESO*",PAGOS!$E$3:$E$1048576,B10)</f>
        <v>500</v>
      </c>
      <c r="O10" s="71">
        <f t="shared" si="0"/>
        <v>0</v>
      </c>
      <c r="P10" s="71">
        <f>SUMIFS(PAGOS!$I$3:$I$1048576,PAGOS!$A$3:$A$1048576,"&lt;&gt;INGRESO*",PAGOS!$A$3:$A$1048576,"&lt;&gt;EGRESO*",PAGOS!$E$3:$E$1048576,B10)</f>
        <v>20</v>
      </c>
      <c r="Q10" s="71">
        <f t="shared" si="1"/>
        <v>0</v>
      </c>
    </row>
    <row r="11" spans="1:17" x14ac:dyDescent="0.3">
      <c r="A11" s="42">
        <v>5</v>
      </c>
      <c r="B11" s="36" t="s">
        <v>187</v>
      </c>
      <c r="C11" s="42" t="s">
        <v>21</v>
      </c>
      <c r="D11" s="38">
        <v>45366</v>
      </c>
      <c r="E11" s="111">
        <v>400</v>
      </c>
      <c r="F11" s="42">
        <v>4</v>
      </c>
      <c r="G11" s="106">
        <v>100</v>
      </c>
      <c r="H11" s="106">
        <v>8</v>
      </c>
      <c r="I11" s="107">
        <v>108</v>
      </c>
      <c r="J11" s="106">
        <v>400</v>
      </c>
      <c r="K11" s="106">
        <v>32</v>
      </c>
      <c r="L11" s="111">
        <v>432</v>
      </c>
      <c r="N11" s="71">
        <f>SUMIFS(PAGOS!$F$3:$F$1048576,PAGOS!$A$3:$A$1048576,"&lt;&gt;INGRESO*",PAGOS!$A$3:$A$1048576,"&lt;&gt;EGRESO*",PAGOS!$E$3:$E$1048576,+MID('14'!B11,6,3)*1)</f>
        <v>400</v>
      </c>
      <c r="O11" s="71">
        <f t="shared" si="0"/>
        <v>0</v>
      </c>
      <c r="P11" s="71">
        <f>SUMIFS(PAGOS!$I$3:$I$1048576,PAGOS!$A$3:$A$1048576,"&lt;&gt;INGRESO*",PAGOS!$A$3:$A$1048576,"&lt;&gt;EGRESO*",PAGOS!$E$3:$E$1048576,+MID('14'!B11,6,3)*1)</f>
        <v>32</v>
      </c>
      <c r="Q11" s="71">
        <f t="shared" si="1"/>
        <v>0</v>
      </c>
    </row>
    <row r="12" spans="1:17" x14ac:dyDescent="0.3">
      <c r="A12" s="42">
        <v>6</v>
      </c>
      <c r="B12" s="36" t="s">
        <v>201</v>
      </c>
      <c r="C12" s="42" t="s">
        <v>21</v>
      </c>
      <c r="D12" s="38">
        <v>45458</v>
      </c>
      <c r="E12" s="111">
        <v>700</v>
      </c>
      <c r="F12" s="42">
        <v>5</v>
      </c>
      <c r="G12" s="106">
        <v>140</v>
      </c>
      <c r="H12" s="106">
        <v>14</v>
      </c>
      <c r="I12" s="107">
        <v>154</v>
      </c>
      <c r="J12" s="106">
        <v>700</v>
      </c>
      <c r="K12" s="106">
        <v>70</v>
      </c>
      <c r="L12" s="111">
        <v>770</v>
      </c>
      <c r="N12" s="71">
        <f>SUMIFS(PAGOS!$F$3:$F$1048576,PAGOS!$A$3:$A$1048576,"&lt;&gt;INGRESO*",PAGOS!$A$3:$A$1048576,"&lt;&gt;EGRESO*",PAGOS!$E$3:$E$1048576,+MID('14'!B12,6,3)*1)</f>
        <v>700</v>
      </c>
      <c r="O12" s="71">
        <f t="shared" si="0"/>
        <v>0</v>
      </c>
      <c r="P12" s="71">
        <f>SUMIFS(PAGOS!$I$3:$I$1048576,PAGOS!$A$3:$A$1048576,"&lt;&gt;INGRESO*",PAGOS!$A$3:$A$1048576,"&lt;&gt;EGRESO*",PAGOS!$E$3:$E$1048576,+MID('14'!B12,6,3)*1)</f>
        <v>70</v>
      </c>
      <c r="Q12" s="71">
        <f t="shared" si="1"/>
        <v>0</v>
      </c>
    </row>
    <row r="13" spans="1:17" x14ac:dyDescent="0.3">
      <c r="A13" s="42">
        <v>7</v>
      </c>
      <c r="B13" s="36" t="s">
        <v>248</v>
      </c>
      <c r="C13" s="42" t="s">
        <v>21</v>
      </c>
      <c r="D13" s="38">
        <v>45580</v>
      </c>
      <c r="E13" s="111">
        <v>500</v>
      </c>
      <c r="F13" s="42">
        <v>4</v>
      </c>
      <c r="G13" s="106">
        <v>125</v>
      </c>
      <c r="H13" s="106">
        <v>10</v>
      </c>
      <c r="I13" s="107">
        <v>135</v>
      </c>
      <c r="J13" s="106">
        <v>500</v>
      </c>
      <c r="K13" s="106">
        <v>40</v>
      </c>
      <c r="L13" s="111">
        <v>540</v>
      </c>
      <c r="N13" s="71">
        <f>SUMIFS(PAGOS!$F$3:$F$1048576,PAGOS!$A$3:$A$1048576,"&lt;&gt;INGRESO*",PAGOS!$A$3:$A$1048576,"&lt;&gt;EGRESO*",PAGOS!$E$3:$E$1048576,+MID('14'!B13,6,3)*1)</f>
        <v>500</v>
      </c>
      <c r="O13" s="71">
        <f t="shared" si="0"/>
        <v>0</v>
      </c>
      <c r="P13" s="71">
        <f>SUMIFS(PAGOS!$I$3:$I$1048576,PAGOS!$A$3:$A$1048576,"&lt;&gt;INGRESO*",PAGOS!$A$3:$A$1048576,"&lt;&gt;EGRESO*",PAGOS!$E$3:$E$1048576,+MID('14'!B13,6,3)*1)</f>
        <v>40</v>
      </c>
      <c r="Q13" s="71">
        <f t="shared" si="1"/>
        <v>0</v>
      </c>
    </row>
    <row r="14" spans="1:17" x14ac:dyDescent="0.3">
      <c r="A14" s="42">
        <v>8</v>
      </c>
      <c r="B14" s="36" t="s">
        <v>281</v>
      </c>
      <c r="C14" s="42" t="s">
        <v>21</v>
      </c>
      <c r="D14" s="38">
        <v>45672</v>
      </c>
      <c r="E14" s="111">
        <v>700</v>
      </c>
      <c r="F14" s="42">
        <v>7</v>
      </c>
      <c r="G14" s="106">
        <v>100</v>
      </c>
      <c r="H14" s="106">
        <v>14</v>
      </c>
      <c r="I14" s="107">
        <v>114</v>
      </c>
      <c r="J14" s="106">
        <v>700</v>
      </c>
      <c r="K14" s="106">
        <v>98</v>
      </c>
      <c r="L14" s="106">
        <v>798</v>
      </c>
      <c r="N14" s="71">
        <f>SUMIFS(PAGOS!$F$3:$F$1048576,PAGOS!$A$3:$A$1048576,"&lt;&gt;INGRESO*",PAGOS!$A$3:$A$1048576,"&lt;&gt;EGRESO*",PAGOS!$E$3:$E$1048576,+MID('14'!B14,6,3)*1)</f>
        <v>700</v>
      </c>
      <c r="O14" s="71">
        <f>E14-N14</f>
        <v>0</v>
      </c>
      <c r="P14" s="71">
        <f>SUMIFS(PAGOS!$I$3:$I$1048576,PAGOS!$A$3:$A$1048576,"&lt;&gt;INGRESO*",PAGOS!$A$3:$A$1048576,"&lt;&gt;EGRESO*",PAGOS!$E$3:$E$1048576,+MID('14'!B14,6,3)*1)</f>
        <v>98</v>
      </c>
      <c r="Q14" s="71">
        <f>K14-P14</f>
        <v>0</v>
      </c>
    </row>
    <row r="15" spans="1:17" x14ac:dyDescent="0.3">
      <c r="A15" s="42">
        <v>9</v>
      </c>
      <c r="B15" s="36" t="s">
        <v>489</v>
      </c>
      <c r="C15" s="42" t="s">
        <v>21</v>
      </c>
      <c r="D15" s="38">
        <v>46008</v>
      </c>
      <c r="E15" s="111">
        <v>2000</v>
      </c>
      <c r="F15" s="42">
        <v>18</v>
      </c>
      <c r="G15" s="106">
        <v>111.11111111111111</v>
      </c>
      <c r="H15" s="106">
        <v>40</v>
      </c>
      <c r="I15" s="107">
        <v>151.11111111111111</v>
      </c>
      <c r="J15" s="106">
        <v>2000</v>
      </c>
      <c r="K15" s="106">
        <v>720</v>
      </c>
      <c r="L15" s="106">
        <v>2720</v>
      </c>
      <c r="N15" s="71">
        <f>SUMIFS(PAGOS!$F$3:$F$1048576,PAGOS!$A$3:$A$1048576,"&lt;&gt;INGRESO*",PAGOS!$A$3:$A$1048576,"&lt;&gt;EGRESO*",PAGOS!$E$3:$E$1048576,+MID('14'!B15,6,3)*1)</f>
        <v>444.44</v>
      </c>
      <c r="O15" s="71">
        <f>E15-N15</f>
        <v>1555.56</v>
      </c>
      <c r="P15" s="71">
        <f>SUMIFS(PAGOS!$I$3:$I$1048576,PAGOS!$A$3:$A$1048576,"&lt;&gt;INGRESO*",PAGOS!$A$3:$A$1048576,"&lt;&gt;EGRESO*",PAGOS!$E$3:$E$1048576,+MID('14'!B15,6,3)*1)</f>
        <v>160</v>
      </c>
      <c r="Q15" s="71">
        <f>K15-P15</f>
        <v>560</v>
      </c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workbookViewId="0">
      <selection activeCell="B13" sqref="B13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03" customWidth="1"/>
    <col min="6" max="6" width="9.33203125" bestFit="1" customWidth="1"/>
    <col min="7" max="7" width="12" style="103" bestFit="1" customWidth="1"/>
    <col min="8" max="8" width="7.88671875" style="103" bestFit="1" customWidth="1"/>
    <col min="9" max="9" width="8.6640625" style="104" customWidth="1"/>
    <col min="10" max="10" width="13.6640625" style="103" bestFit="1" customWidth="1"/>
    <col min="11" max="12" width="11.109375" style="103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1800</v>
      </c>
      <c r="H3" s="76" t="s">
        <v>170</v>
      </c>
      <c r="I3" s="94">
        <f>SUM($P$7:$P$1048576)</f>
        <v>280</v>
      </c>
      <c r="J3" s="76" t="s">
        <v>171</v>
      </c>
      <c r="K3" s="95">
        <f>G3+I3</f>
        <v>2080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157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1">_xlfn.SEQUENCE(COUNTA(C7:C1048576))</f>
        <v>1</v>
      </c>
      <c r="B7" s="105">
        <v>10</v>
      </c>
      <c r="C7" s="42" t="s">
        <v>22</v>
      </c>
      <c r="D7" s="38">
        <v>44941</v>
      </c>
      <c r="E7" s="11">
        <v>200</v>
      </c>
      <c r="F7" s="42">
        <v>3</v>
      </c>
      <c r="G7" s="11">
        <v>66.666666666666671</v>
      </c>
      <c r="H7" s="11">
        <v>4</v>
      </c>
      <c r="I7" s="143">
        <v>70.666666666666671</v>
      </c>
      <c r="J7" s="11">
        <v>200</v>
      </c>
      <c r="K7" s="11">
        <v>12</v>
      </c>
      <c r="L7" s="11">
        <v>212</v>
      </c>
      <c r="N7" s="71">
        <f>SUMIFS(PAGOS!$F$3:$F$1048576,PAGOS!$A$3:$A$1048576,"&lt;&gt;INGRESO*",PAGOS!$A$3:$A$1048576,"&lt;&gt;EGRESO*",PAGOS!$E$3:$E$1048576,B7)</f>
        <v>200</v>
      </c>
      <c r="O7" s="71">
        <f>E7-N7</f>
        <v>0</v>
      </c>
      <c r="P7" s="71">
        <f>SUMIFS(PAGOS!$I$3:$I$1048576,PAGOS!$A$3:$A$1048576,"&lt;&gt;INGRESO*",PAGOS!$A$3:$A$1048576,"&lt;&gt;EGRESO*",PAGOS!$E$3:$E$1048576,B7)</f>
        <v>12</v>
      </c>
      <c r="Q7" s="71">
        <f>K7-P7</f>
        <v>0</v>
      </c>
    </row>
    <row r="8" spans="1:17" x14ac:dyDescent="0.3">
      <c r="A8" s="42">
        <v>2</v>
      </c>
      <c r="B8" s="105">
        <v>21</v>
      </c>
      <c r="C8" s="42" t="s">
        <v>22</v>
      </c>
      <c r="D8" s="38">
        <v>45092</v>
      </c>
      <c r="E8" s="11">
        <v>200</v>
      </c>
      <c r="F8" s="42">
        <v>4</v>
      </c>
      <c r="G8" s="11">
        <v>50</v>
      </c>
      <c r="H8" s="11">
        <v>4</v>
      </c>
      <c r="I8" s="143">
        <v>54</v>
      </c>
      <c r="J8" s="11">
        <v>200</v>
      </c>
      <c r="K8" s="11">
        <v>16</v>
      </c>
      <c r="L8" s="11">
        <v>216</v>
      </c>
      <c r="N8" s="71">
        <f>SUMIFS(PAGOS!$F$3:$F$1048576,PAGOS!$A$3:$A$1048576,"&lt;&gt;INGRESO*",PAGOS!$A$3:$A$1048576,"&lt;&gt;EGRESO*",PAGOS!$E$3:$E$1048576,B8)</f>
        <v>200</v>
      </c>
      <c r="O8" s="71">
        <f>E8-N8</f>
        <v>0</v>
      </c>
      <c r="P8" s="71">
        <f>SUMIFS(PAGOS!$I$3:$I$1048576,PAGOS!$A$3:$A$1048576,"&lt;&gt;INGRESO*",PAGOS!$A$3:$A$1048576,"&lt;&gt;EGRESO*",PAGOS!$E$3:$E$1048576,B8)</f>
        <v>16</v>
      </c>
      <c r="Q8" s="71">
        <f>K8-P8</f>
        <v>0</v>
      </c>
    </row>
    <row r="9" spans="1:17" x14ac:dyDescent="0.3">
      <c r="A9" s="42">
        <v>3</v>
      </c>
      <c r="B9" s="105">
        <v>35</v>
      </c>
      <c r="C9" s="42" t="s">
        <v>22</v>
      </c>
      <c r="D9" s="38">
        <v>45311</v>
      </c>
      <c r="E9" s="11">
        <v>100</v>
      </c>
      <c r="F9" s="42">
        <v>5</v>
      </c>
      <c r="G9" s="11">
        <v>20</v>
      </c>
      <c r="H9" s="11">
        <v>2</v>
      </c>
      <c r="I9" s="143">
        <v>22</v>
      </c>
      <c r="J9" s="11">
        <v>100</v>
      </c>
      <c r="K9" s="11">
        <v>10</v>
      </c>
      <c r="L9" s="11">
        <v>110</v>
      </c>
      <c r="N9" s="71">
        <f>SUMIFS(PAGOS!$F$3:$F$1048576,PAGOS!$A$3:$A$1048576,"&lt;&gt;INGRESO*",PAGOS!$A$3:$A$1048576,"&lt;&gt;EGRESO*",PAGOS!$E$3:$E$1048576,B9)</f>
        <v>100</v>
      </c>
      <c r="O9" s="71">
        <f>E9-N9</f>
        <v>0</v>
      </c>
      <c r="P9" s="71">
        <f>SUMIFS(PAGOS!$I$3:$I$1048576,PAGOS!$A$3:$A$1048576,"&lt;&gt;INGRESO*",PAGOS!$A$3:$A$1048576,"&lt;&gt;EGRESO*",PAGOS!$E$3:$E$1048576,B9)</f>
        <v>10</v>
      </c>
      <c r="Q9" s="71">
        <f>K9-P9</f>
        <v>0</v>
      </c>
    </row>
    <row r="10" spans="1:17" x14ac:dyDescent="0.3">
      <c r="A10" s="42">
        <v>4</v>
      </c>
      <c r="B10" s="36" t="s">
        <v>186</v>
      </c>
      <c r="C10" s="42" t="s">
        <v>22</v>
      </c>
      <c r="D10" s="38">
        <v>45366</v>
      </c>
      <c r="E10" s="11">
        <v>600</v>
      </c>
      <c r="F10" s="42">
        <v>12</v>
      </c>
      <c r="G10" s="11">
        <v>50</v>
      </c>
      <c r="H10" s="11">
        <v>12</v>
      </c>
      <c r="I10" s="143">
        <v>62</v>
      </c>
      <c r="J10" s="11">
        <v>600</v>
      </c>
      <c r="K10" s="11">
        <v>144</v>
      </c>
      <c r="L10" s="11">
        <v>744</v>
      </c>
      <c r="N10" s="71">
        <f>SUMIFS(PAGOS!$F$3:$F$1048576,PAGOS!$A$3:$A$1048576,"&lt;&gt;INGRESO*",PAGOS!$A$3:$A$1048576,"&lt;&gt;EGRESO*",PAGOS!$E$3:$E$1048576,+MID('15'!B10,6,3)*1)</f>
        <v>600</v>
      </c>
      <c r="O10" s="71">
        <f>E10-N10</f>
        <v>0</v>
      </c>
      <c r="P10" s="71">
        <f>SUMIFS(PAGOS!$I$3:$I$1048576,PAGOS!$A$3:$A$1048576,"&lt;&gt;INGRESO*",PAGOS!$A$3:$A$1048576,"&lt;&gt;EGRESO*",PAGOS!$E$3:$E$1048576,+MID('15'!B10,6,3)*1)</f>
        <v>144</v>
      </c>
      <c r="Q10" s="71">
        <f>K10-P10</f>
        <v>0</v>
      </c>
    </row>
    <row r="11" spans="1:17" x14ac:dyDescent="0.3">
      <c r="A11" s="42">
        <v>5</v>
      </c>
      <c r="B11" s="36" t="s">
        <v>549</v>
      </c>
      <c r="C11" s="42" t="s">
        <v>22</v>
      </c>
      <c r="D11" s="38">
        <v>45884</v>
      </c>
      <c r="E11" s="11">
        <v>700</v>
      </c>
      <c r="F11" s="42">
        <v>7</v>
      </c>
      <c r="G11" s="11">
        <v>100</v>
      </c>
      <c r="H11" s="11">
        <v>14</v>
      </c>
      <c r="I11" s="143">
        <v>114</v>
      </c>
      <c r="J11" s="11">
        <v>700</v>
      </c>
      <c r="K11" s="11">
        <v>98</v>
      </c>
      <c r="L11" s="11">
        <v>798</v>
      </c>
      <c r="N11" s="71">
        <f>SUMIFS(PAGOS!$F$3:$F$1048576,PAGOS!$A$3:$A$1048576,"&lt;&gt;INGRESO*",PAGOS!$A$3:$A$1048576,"&lt;&gt;EGRESO*",PAGOS!$E$3:$E$1048576,+MID('15'!B11,6,3)*1)</f>
        <v>700</v>
      </c>
      <c r="O11" s="71">
        <f>E11-N11</f>
        <v>0</v>
      </c>
      <c r="P11" s="71">
        <f>SUMIFS(PAGOS!$I$3:$I$1048576,PAGOS!$A$3:$A$1048576,"&lt;&gt;INGRESO*",PAGOS!$A$3:$A$1048576,"&lt;&gt;EGRESO*",PAGOS!$E$3:$E$1048576,+MID('15'!B11,6,3)*1)</f>
        <v>98</v>
      </c>
      <c r="Q11" s="71">
        <f>K11-P11</f>
        <v>0</v>
      </c>
    </row>
    <row r="15" spans="1:17" x14ac:dyDescent="0.3">
      <c r="I15" s="103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30"/>
  <sheetViews>
    <sheetView workbookViewId="0">
      <selection activeCell="C28" sqref="C28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1.33203125" bestFit="1" customWidth="1"/>
    <col min="5" max="5" width="10.5546875" style="103" customWidth="1"/>
    <col min="6" max="6" width="9.33203125" bestFit="1" customWidth="1"/>
    <col min="7" max="7" width="9.6640625" style="103" bestFit="1" customWidth="1"/>
    <col min="8" max="8" width="7.6640625" style="103" bestFit="1" customWidth="1"/>
    <col min="9" max="9" width="8.88671875" style="104" bestFit="1" customWidth="1"/>
    <col min="10" max="10" width="9.88671875" style="103" bestFit="1" customWidth="1"/>
    <col min="11" max="12" width="11.6640625" style="103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4750</v>
      </c>
      <c r="H3" s="76" t="s">
        <v>170</v>
      </c>
      <c r="I3" s="94">
        <f>SUM($P$7:$P$1048576)</f>
        <v>255.4</v>
      </c>
      <c r="J3" s="76" t="s">
        <v>171</v>
      </c>
      <c r="K3" s="95">
        <f>G3+I3</f>
        <v>5005.3999999999996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76" t="s">
        <v>45</v>
      </c>
      <c r="D5" s="42"/>
      <c r="E5" s="42"/>
      <c r="F5" s="42"/>
      <c r="G5" s="76" t="s">
        <v>47</v>
      </c>
      <c r="H5" s="230" t="s">
        <v>156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2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30">_xlfn.SEQUENCE(COUNTA(C7:C1048576))</f>
        <v>1</v>
      </c>
      <c r="B7" s="105">
        <v>4</v>
      </c>
      <c r="C7" s="42" t="s">
        <v>23</v>
      </c>
      <c r="D7" s="38">
        <v>44910</v>
      </c>
      <c r="E7" s="11">
        <v>200</v>
      </c>
      <c r="F7" s="42">
        <v>2</v>
      </c>
      <c r="G7" s="11">
        <v>100</v>
      </c>
      <c r="H7" s="11">
        <v>4</v>
      </c>
      <c r="I7" s="143">
        <v>104</v>
      </c>
      <c r="J7" s="11">
        <v>200</v>
      </c>
      <c r="K7" s="11">
        <v>8</v>
      </c>
      <c r="L7" s="11">
        <v>208</v>
      </c>
      <c r="N7" s="71">
        <f>SUMIFS(PAGOS!$F$3:$F$1048576,PAGOS!$A$3:$A$1048576,"&lt;&gt;INGRESO*",PAGOS!$A$3:$A$1048576,"&lt;&gt;EGRESO*",PAGOS!$E$3:$E$1048576,B7)</f>
        <v>200</v>
      </c>
      <c r="O7" s="71">
        <f t="shared" ref="O7:O15" si="0">E7-N7</f>
        <v>0</v>
      </c>
      <c r="P7" s="71">
        <f>SUMIFS(PAGOS!$I$3:$I$1048576,PAGOS!$A$3:$A$1048576,"&lt;&gt;INGRESO*",PAGOS!$A$3:$A$1048576,"&lt;&gt;EGRESO*",PAGOS!$E$3:$E$1048576,B7)</f>
        <v>8</v>
      </c>
      <c r="Q7" s="71">
        <f t="shared" ref="Q7:Q15" si="1">K7-P7</f>
        <v>0</v>
      </c>
    </row>
    <row r="8" spans="1:17" x14ac:dyDescent="0.3">
      <c r="A8" s="42">
        <v>2</v>
      </c>
      <c r="B8" s="105">
        <v>30</v>
      </c>
      <c r="C8" s="42" t="s">
        <v>23</v>
      </c>
      <c r="D8" s="38">
        <v>45214</v>
      </c>
      <c r="E8" s="11">
        <v>200</v>
      </c>
      <c r="F8" s="42">
        <v>4</v>
      </c>
      <c r="G8" s="11">
        <v>50</v>
      </c>
      <c r="H8" s="11">
        <v>4</v>
      </c>
      <c r="I8" s="143">
        <v>54</v>
      </c>
      <c r="J8" s="11">
        <v>200</v>
      </c>
      <c r="K8" s="11">
        <v>16</v>
      </c>
      <c r="L8" s="11">
        <v>216</v>
      </c>
      <c r="N8" s="71">
        <f>SUMIFS(PAGOS!$F$3:$F$1048576,PAGOS!$A$3:$A$1048576,"&lt;&gt;INGRESO*",PAGOS!$A$3:$A$1048576,"&lt;&gt;EGRESO*",PAGOS!$E$3:$E$1048576,B8)</f>
        <v>200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16</v>
      </c>
      <c r="Q8" s="71">
        <f t="shared" si="1"/>
        <v>0</v>
      </c>
    </row>
    <row r="9" spans="1:17" x14ac:dyDescent="0.3">
      <c r="A9" s="42">
        <v>3</v>
      </c>
      <c r="B9" s="36" t="s">
        <v>191</v>
      </c>
      <c r="C9" s="42" t="s">
        <v>23</v>
      </c>
      <c r="D9" s="38">
        <v>45397</v>
      </c>
      <c r="E9" s="11">
        <v>150</v>
      </c>
      <c r="F9" s="42">
        <v>3</v>
      </c>
      <c r="G9" s="11">
        <v>50</v>
      </c>
      <c r="H9" s="11">
        <v>3</v>
      </c>
      <c r="I9" s="143">
        <v>53</v>
      </c>
      <c r="J9" s="11">
        <v>150</v>
      </c>
      <c r="K9" s="11">
        <v>9</v>
      </c>
      <c r="L9" s="11">
        <v>159</v>
      </c>
      <c r="N9" s="71">
        <f>SUMIFS(PAGOS!$F$3:$F$1048576,PAGOS!$A$3:$A$1048576,"&lt;&gt;INGRESO*",PAGOS!$A$3:$A$1048576,"&lt;&gt;EGRESO*",PAGOS!$E$3:$E$1048576,+MID('16'!B9,6,3)*1)</f>
        <v>150</v>
      </c>
      <c r="O9" s="71">
        <f t="shared" si="0"/>
        <v>0</v>
      </c>
      <c r="P9" s="71">
        <f>SUMIFS(PAGOS!$I$3:$I$1048576,PAGOS!$A$3:$A$1048576,"&lt;&gt;INGRESO*",PAGOS!$A$3:$A$1048576,"&lt;&gt;EGRESO*",PAGOS!$E$3:$E$1048576,+MID('16'!B9,6,3)*1)</f>
        <v>9</v>
      </c>
      <c r="Q9" s="71">
        <f t="shared" si="1"/>
        <v>0</v>
      </c>
    </row>
    <row r="10" spans="1:17" x14ac:dyDescent="0.3">
      <c r="A10" s="42">
        <v>4</v>
      </c>
      <c r="B10" s="36" t="s">
        <v>206</v>
      </c>
      <c r="C10" s="42" t="s">
        <v>23</v>
      </c>
      <c r="D10" s="38">
        <v>45488</v>
      </c>
      <c r="E10" s="11">
        <v>500</v>
      </c>
      <c r="F10" s="42">
        <v>12</v>
      </c>
      <c r="G10" s="11">
        <v>41.666666666666664</v>
      </c>
      <c r="H10" s="11">
        <v>10</v>
      </c>
      <c r="I10" s="143">
        <v>51.666666666666664</v>
      </c>
      <c r="J10" s="11">
        <v>500</v>
      </c>
      <c r="K10" s="11">
        <v>120</v>
      </c>
      <c r="L10" s="11">
        <v>620</v>
      </c>
      <c r="N10" s="71">
        <f>SUMIFS(PAGOS!$F$3:$F$1048576,PAGOS!$A$3:$A$1048576,"&lt;&gt;INGRESO*",PAGOS!$A$3:$A$1048576,"&lt;&gt;EGRESO*",PAGOS!$E$3:$E$1048576,+MID('16'!B10,6,3)*1)</f>
        <v>500.04000000000013</v>
      </c>
      <c r="O10" s="71">
        <f t="shared" si="0"/>
        <v>-4.000000000013415E-2</v>
      </c>
      <c r="P10" s="71">
        <f>SUMIFS(PAGOS!$I$3:$I$1048576,PAGOS!$A$3:$A$1048576,"&lt;&gt;INGRESO*",PAGOS!$A$3:$A$1048576,"&lt;&gt;EGRESO*",PAGOS!$E$3:$E$1048576,+MID('16'!B10,6,3)*1)</f>
        <v>120</v>
      </c>
      <c r="Q10" s="71">
        <f t="shared" si="1"/>
        <v>0</v>
      </c>
    </row>
    <row r="11" spans="1:17" x14ac:dyDescent="0.3">
      <c r="A11" s="42">
        <v>5</v>
      </c>
      <c r="B11" s="42" t="s">
        <v>274</v>
      </c>
      <c r="C11" s="42" t="s">
        <v>257</v>
      </c>
      <c r="D11" s="38">
        <v>45643</v>
      </c>
      <c r="E11" s="11">
        <v>80</v>
      </c>
      <c r="F11" s="42">
        <v>1</v>
      </c>
      <c r="G11" s="11">
        <v>80</v>
      </c>
      <c r="H11" s="11">
        <v>1.6</v>
      </c>
      <c r="I11" s="143">
        <v>81.599999999999994</v>
      </c>
      <c r="J11" s="11">
        <v>80</v>
      </c>
      <c r="K11" s="11">
        <v>1.6</v>
      </c>
      <c r="L11" s="11">
        <v>81.599999999999994</v>
      </c>
      <c r="N11" s="71">
        <f>SUMIFS(PAGOS!$F$3:$F$1048576,PAGOS!$A$3:$A$1048576,"&lt;&gt;INGRESO*",PAGOS!$A$3:$A$1048576,"&lt;&gt;EGRESO*",PAGOS!$E$3:$E$1048576,+MID('16'!B11,6,3)*1)</f>
        <v>80</v>
      </c>
      <c r="O11" s="71">
        <f t="shared" si="0"/>
        <v>0</v>
      </c>
      <c r="P11" s="71">
        <f>SUMIFS(PAGOS!$I$3:$I$1048576,PAGOS!$A$3:$A$1048576,"&lt;&gt;INGRESO*",PAGOS!$A$3:$A$1048576,"&lt;&gt;EGRESO*",PAGOS!$E$3:$E$1048576,+MID('16'!B11,6,3)*1)</f>
        <v>1.6</v>
      </c>
      <c r="Q11" s="71">
        <f t="shared" si="1"/>
        <v>0</v>
      </c>
    </row>
    <row r="12" spans="1:17" x14ac:dyDescent="0.3">
      <c r="A12" s="42">
        <v>6</v>
      </c>
      <c r="B12" s="36" t="s">
        <v>284</v>
      </c>
      <c r="C12" s="42" t="s">
        <v>273</v>
      </c>
      <c r="D12" s="38">
        <v>45676</v>
      </c>
      <c r="E12" s="11">
        <v>150</v>
      </c>
      <c r="F12" s="42">
        <v>2</v>
      </c>
      <c r="G12" s="11">
        <v>75</v>
      </c>
      <c r="H12" s="11">
        <v>3</v>
      </c>
      <c r="I12" s="143">
        <v>78</v>
      </c>
      <c r="J12" s="11">
        <v>150</v>
      </c>
      <c r="K12" s="11">
        <v>6</v>
      </c>
      <c r="L12" s="11">
        <v>156</v>
      </c>
      <c r="N12" s="71">
        <f>SUMIFS(PAGOS!$F$3:$F$1048576,PAGOS!$A$3:$A$1048576,"&lt;&gt;INGRESO*",PAGOS!$A$3:$A$1048576,"&lt;&gt;EGRESO*",PAGOS!$E$3:$E$1048576,+MID('16'!B12,6,3)*1)</f>
        <v>150</v>
      </c>
      <c r="O12" s="71">
        <f t="shared" si="0"/>
        <v>0</v>
      </c>
      <c r="P12" s="71">
        <f>SUMIFS(PAGOS!$I$3:$I$1048576,PAGOS!$A$3:$A$1048576,"&lt;&gt;INGRESO*",PAGOS!$A$3:$A$1048576,"&lt;&gt;EGRESO*",PAGOS!$E$3:$E$1048576,+MID('16'!B12,6,3)*1)</f>
        <v>6</v>
      </c>
      <c r="Q12" s="71">
        <f t="shared" si="1"/>
        <v>0</v>
      </c>
    </row>
    <row r="13" spans="1:17" x14ac:dyDescent="0.3">
      <c r="A13" s="42">
        <v>7</v>
      </c>
      <c r="B13" s="36" t="s">
        <v>298</v>
      </c>
      <c r="C13" s="42" t="s">
        <v>283</v>
      </c>
      <c r="D13" s="38">
        <v>45707</v>
      </c>
      <c r="E13" s="11">
        <v>400</v>
      </c>
      <c r="F13" s="42">
        <v>1</v>
      </c>
      <c r="G13" s="11">
        <v>400</v>
      </c>
      <c r="H13" s="11">
        <v>8</v>
      </c>
      <c r="I13" s="143">
        <v>408</v>
      </c>
      <c r="J13" s="11">
        <v>400</v>
      </c>
      <c r="K13" s="11">
        <v>8</v>
      </c>
      <c r="L13" s="11">
        <v>408</v>
      </c>
      <c r="N13" s="71">
        <f>SUMIFS(PAGOS!$F$3:$F$1048576,PAGOS!$A$3:$A$1048576,"&lt;&gt;INGRESO*",PAGOS!$A$3:$A$1048576,"&lt;&gt;EGRESO*",PAGOS!$E$3:$E$1048576,+MID('16'!B13,6,3)*1)</f>
        <v>400</v>
      </c>
      <c r="O13" s="71">
        <f t="shared" si="0"/>
        <v>0</v>
      </c>
      <c r="P13" s="71">
        <f>SUMIFS(PAGOS!$I$3:$I$1048576,PAGOS!$A$3:$A$1048576,"&lt;&gt;INGRESO*",PAGOS!$A$3:$A$1048576,"&lt;&gt;EGRESO*",PAGOS!$E$3:$E$1048576,+MID('16'!B13,6,3)*1)</f>
        <v>8</v>
      </c>
      <c r="Q13" s="71">
        <f t="shared" si="1"/>
        <v>0</v>
      </c>
    </row>
    <row r="14" spans="1:17" x14ac:dyDescent="0.3">
      <c r="A14" s="42">
        <v>8</v>
      </c>
      <c r="B14" s="36" t="s">
        <v>387</v>
      </c>
      <c r="C14" s="42" t="s">
        <v>257</v>
      </c>
      <c r="D14" s="38">
        <v>45792</v>
      </c>
      <c r="E14" s="11">
        <v>40</v>
      </c>
      <c r="F14" s="42">
        <v>1</v>
      </c>
      <c r="G14" s="11">
        <v>40</v>
      </c>
      <c r="H14" s="11">
        <v>0.8</v>
      </c>
      <c r="I14" s="143">
        <v>40.799999999999997</v>
      </c>
      <c r="J14" s="11">
        <v>40</v>
      </c>
      <c r="K14" s="11">
        <v>0.8</v>
      </c>
      <c r="L14" s="11">
        <v>40.799999999999997</v>
      </c>
      <c r="N14" s="71">
        <f>SUMIFS(PAGOS!$F$3:$F$1048576,PAGOS!$A$3:$A$1048576,"&lt;&gt;INGRESO*",PAGOS!$A$3:$A$1048576,"&lt;&gt;EGRESO*",PAGOS!$E$3:$E$1048576,+MID('16'!B14,6,3)*1)</f>
        <v>40</v>
      </c>
      <c r="O14" s="71">
        <f t="shared" si="0"/>
        <v>0</v>
      </c>
      <c r="P14" s="71">
        <f>SUMIFS(PAGOS!$I$3:$I$1048576,PAGOS!$A$3:$A$1048576,"&lt;&gt;INGRESO*",PAGOS!$A$3:$A$1048576,"&lt;&gt;EGRESO*",PAGOS!$E$3:$E$1048576,+MID('16'!B14,6,3)*1)</f>
        <v>0.8</v>
      </c>
      <c r="Q14" s="71">
        <f t="shared" si="1"/>
        <v>0</v>
      </c>
    </row>
    <row r="15" spans="1:17" x14ac:dyDescent="0.3">
      <c r="A15" s="42">
        <v>9</v>
      </c>
      <c r="B15" s="36" t="s">
        <v>388</v>
      </c>
      <c r="C15" s="42" t="s">
        <v>332</v>
      </c>
      <c r="D15" s="38">
        <v>45855</v>
      </c>
      <c r="E15" s="11">
        <v>100</v>
      </c>
      <c r="F15" s="42">
        <v>1</v>
      </c>
      <c r="G15" s="11">
        <v>100</v>
      </c>
      <c r="H15" s="11">
        <v>2</v>
      </c>
      <c r="I15" s="143">
        <v>102</v>
      </c>
      <c r="J15" s="11">
        <v>100</v>
      </c>
      <c r="K15" s="11">
        <v>2</v>
      </c>
      <c r="L15" s="11">
        <v>102</v>
      </c>
      <c r="N15" s="71">
        <f>SUMIFS(PAGOS!$F$3:$F$1048576,PAGOS!$A$3:$A$1048576,"&lt;&gt;INGRESO*",PAGOS!$A$3:$A$1048576,"&lt;&gt;EGRESO*",PAGOS!$E$3:$E$1048576,+MID('16'!B15,6,3)*1)</f>
        <v>100</v>
      </c>
      <c r="O15" s="71">
        <f t="shared" si="0"/>
        <v>0</v>
      </c>
      <c r="P15" s="71">
        <f>SUMIFS(PAGOS!$I$3:$I$1048576,PAGOS!$A$3:$A$1048576,"&lt;&gt;INGRESO*",PAGOS!$A$3:$A$1048576,"&lt;&gt;EGRESO*",PAGOS!$E$3:$E$1048576,+MID('16'!B15,6,3)*1)</f>
        <v>2</v>
      </c>
      <c r="Q15" s="71">
        <f t="shared" si="1"/>
        <v>0</v>
      </c>
    </row>
    <row r="16" spans="1:17" x14ac:dyDescent="0.3">
      <c r="A16" s="42">
        <v>10</v>
      </c>
      <c r="B16" s="36" t="s">
        <v>550</v>
      </c>
      <c r="C16" s="42" t="s">
        <v>371</v>
      </c>
      <c r="D16" s="38">
        <v>45877</v>
      </c>
      <c r="E16" s="11">
        <v>200</v>
      </c>
      <c r="F16" s="42">
        <v>1</v>
      </c>
      <c r="G16" s="11">
        <v>200</v>
      </c>
      <c r="H16" s="11">
        <v>4</v>
      </c>
      <c r="I16" s="143">
        <v>204</v>
      </c>
      <c r="J16" s="11">
        <v>200</v>
      </c>
      <c r="K16" s="11">
        <v>4</v>
      </c>
      <c r="L16" s="11">
        <v>204</v>
      </c>
      <c r="N16" s="71">
        <f>SUMIFS(PAGOS!$F$3:$F$1048576,PAGOS!$A$3:$A$1048576,"&lt;&gt;INGRESO*",PAGOS!$A$3:$A$1048576,"&lt;&gt;EGRESO*",PAGOS!$E$3:$E$1048576,+MID('16'!B16,6,3)*1)</f>
        <v>200</v>
      </c>
      <c r="O16" s="71">
        <f t="shared" ref="O16" si="2">E16-N16</f>
        <v>0</v>
      </c>
      <c r="P16" s="71">
        <f>SUMIFS(PAGOS!$I$3:$I$1048576,PAGOS!$A$3:$A$1048576,"&lt;&gt;INGRESO*",PAGOS!$A$3:$A$1048576,"&lt;&gt;EGRESO*",PAGOS!$E$3:$E$1048576,+MID('16'!B16,6,3)*1)</f>
        <v>4</v>
      </c>
      <c r="Q16" s="71">
        <f t="shared" ref="Q16" si="3">K16-P16</f>
        <v>0</v>
      </c>
    </row>
    <row r="17" spans="1:17" x14ac:dyDescent="0.3">
      <c r="A17" s="42">
        <v>11</v>
      </c>
      <c r="B17" s="36" t="s">
        <v>432</v>
      </c>
      <c r="C17" s="42" t="s">
        <v>23</v>
      </c>
      <c r="D17" s="38">
        <v>45900</v>
      </c>
      <c r="E17" s="11">
        <v>40</v>
      </c>
      <c r="F17" s="42">
        <v>1</v>
      </c>
      <c r="G17" s="11">
        <v>40</v>
      </c>
      <c r="H17" s="11">
        <v>0.8</v>
      </c>
      <c r="I17" s="143">
        <v>40.799999999999997</v>
      </c>
      <c r="J17" s="11">
        <v>40</v>
      </c>
      <c r="K17" s="11">
        <v>0.8</v>
      </c>
      <c r="L17" s="11">
        <v>40.799999999999997</v>
      </c>
      <c r="N17" s="71">
        <f>SUMIFS(PAGOS!$F$3:$F$1048576,PAGOS!$A$3:$A$1048576,"&lt;&gt;INGRESO*",PAGOS!$A$3:$A$1048576,"&lt;&gt;EGRESO*",PAGOS!$E$3:$E$1048576,+MID('16'!B17,6,3)*1)</f>
        <v>40</v>
      </c>
      <c r="O17" s="71">
        <f t="shared" ref="O17:O18" si="4">E17-N17</f>
        <v>0</v>
      </c>
      <c r="P17" s="71">
        <f>SUMIFS(PAGOS!$I$3:$I$1048576,PAGOS!$A$3:$A$1048576,"&lt;&gt;INGRESO*",PAGOS!$A$3:$A$1048576,"&lt;&gt;EGRESO*",PAGOS!$E$3:$E$1048576,+MID('16'!B17,6,3)*1)</f>
        <v>0.8</v>
      </c>
      <c r="Q17" s="71">
        <f t="shared" ref="Q17:Q18" si="5">K17-P17</f>
        <v>0</v>
      </c>
    </row>
    <row r="18" spans="1:17" x14ac:dyDescent="0.3">
      <c r="A18" s="42">
        <v>12</v>
      </c>
      <c r="B18" s="36" t="s">
        <v>451</v>
      </c>
      <c r="C18" s="42" t="s">
        <v>23</v>
      </c>
      <c r="D18" s="38">
        <v>45909</v>
      </c>
      <c r="E18" s="11">
        <v>150</v>
      </c>
      <c r="F18" s="42">
        <v>3</v>
      </c>
      <c r="G18" s="11">
        <v>50</v>
      </c>
      <c r="H18" s="11">
        <v>3</v>
      </c>
      <c r="I18" s="143">
        <v>53</v>
      </c>
      <c r="J18" s="11">
        <v>150</v>
      </c>
      <c r="K18" s="11">
        <v>9</v>
      </c>
      <c r="L18" s="11">
        <v>159</v>
      </c>
      <c r="N18" s="71">
        <f>SUMIFS(PAGOS!$F$3:$F$1048576,PAGOS!$A$3:$A$1048576,"&lt;&gt;INGRESO*",PAGOS!$A$3:$A$1048576,"&lt;&gt;EGRESO*",PAGOS!$E$3:$E$1048576,+MID('16'!B18,6,3)*1)</f>
        <v>150</v>
      </c>
      <c r="O18" s="71">
        <f t="shared" si="4"/>
        <v>0</v>
      </c>
      <c r="P18" s="71">
        <f>SUMIFS(PAGOS!$I$3:$I$1048576,PAGOS!$A$3:$A$1048576,"&lt;&gt;INGRESO*",PAGOS!$A$3:$A$1048576,"&lt;&gt;EGRESO*",PAGOS!$E$3:$E$1048576,+MID('16'!B18,6,3)*1)</f>
        <v>9</v>
      </c>
      <c r="Q18" s="71">
        <f t="shared" si="5"/>
        <v>0</v>
      </c>
    </row>
    <row r="19" spans="1:17" x14ac:dyDescent="0.3">
      <c r="A19" s="42">
        <v>13</v>
      </c>
      <c r="B19" s="36" t="s">
        <v>471</v>
      </c>
      <c r="C19" s="42" t="s">
        <v>438</v>
      </c>
      <c r="D19" s="38">
        <v>45938</v>
      </c>
      <c r="E19" s="11">
        <v>200</v>
      </c>
      <c r="F19" s="42">
        <v>3</v>
      </c>
      <c r="G19" s="11">
        <v>66.666666666666671</v>
      </c>
      <c r="H19" s="11">
        <v>4</v>
      </c>
      <c r="I19" s="143">
        <v>70.666666666666671</v>
      </c>
      <c r="J19" s="11">
        <v>200</v>
      </c>
      <c r="K19" s="11">
        <v>12</v>
      </c>
      <c r="L19" s="11">
        <v>212</v>
      </c>
      <c r="N19" s="71">
        <f>SUMIFS(PAGOS!$F$3:$F$1048576,PAGOS!$A$3:$A$1048576,"&lt;&gt;INGRESO*",PAGOS!$A$3:$A$1048576,"&lt;&gt;EGRESO*",PAGOS!$E$3:$E$1048576,+MID('16'!B19,6,3)*1)</f>
        <v>200</v>
      </c>
      <c r="O19" s="71">
        <f t="shared" ref="O19" si="6">E19-N19</f>
        <v>0</v>
      </c>
      <c r="P19" s="71">
        <f>SUMIFS(PAGOS!$I$3:$I$1048576,PAGOS!$A$3:$A$1048576,"&lt;&gt;INGRESO*",PAGOS!$A$3:$A$1048576,"&lt;&gt;EGRESO*",PAGOS!$E$3:$E$1048576,+MID('16'!B19,6,3)*1)</f>
        <v>12</v>
      </c>
      <c r="Q19" s="71">
        <f t="shared" ref="Q19" si="7">K19-P19</f>
        <v>0</v>
      </c>
    </row>
    <row r="20" spans="1:17" x14ac:dyDescent="0.3">
      <c r="A20" s="42">
        <v>14</v>
      </c>
      <c r="B20" s="36" t="s">
        <v>475</v>
      </c>
      <c r="C20" s="42" t="s">
        <v>450</v>
      </c>
      <c r="D20" s="38">
        <v>45949</v>
      </c>
      <c r="E20" s="11">
        <v>200</v>
      </c>
      <c r="F20" s="42">
        <v>4</v>
      </c>
      <c r="G20" s="11">
        <v>50</v>
      </c>
      <c r="H20" s="11">
        <v>4</v>
      </c>
      <c r="I20" s="143">
        <v>54</v>
      </c>
      <c r="J20" s="11">
        <v>200</v>
      </c>
      <c r="K20" s="11">
        <v>16</v>
      </c>
      <c r="L20" s="11">
        <v>216</v>
      </c>
      <c r="N20" s="71">
        <f>SUMIFS(PAGOS!$F$3:$F$1048576,PAGOS!$A$3:$A$1048576,"&lt;&gt;INGRESO*",PAGOS!$A$3:$A$1048576,"&lt;&gt;EGRESO*",PAGOS!$E$3:$E$1048576,+MID('16'!B20,6,3)*1)</f>
        <v>200</v>
      </c>
      <c r="O20" s="71">
        <f t="shared" ref="O20" si="8">E20-N20</f>
        <v>0</v>
      </c>
      <c r="P20" s="71">
        <f>SUMIFS(PAGOS!$I$3:$I$1048576,PAGOS!$A$3:$A$1048576,"&lt;&gt;INGRESO*",PAGOS!$A$3:$A$1048576,"&lt;&gt;EGRESO*",PAGOS!$E$3:$E$1048576,+MID('16'!B20,6,3)*1)</f>
        <v>16</v>
      </c>
      <c r="Q20" s="71">
        <f t="shared" ref="Q20" si="9">K20-P20</f>
        <v>0</v>
      </c>
    </row>
    <row r="21" spans="1:17" x14ac:dyDescent="0.3">
      <c r="A21" s="42">
        <v>15</v>
      </c>
      <c r="B21" s="36" t="s">
        <v>508</v>
      </c>
      <c r="C21" s="42" t="s">
        <v>450</v>
      </c>
      <c r="D21" s="38">
        <v>46012</v>
      </c>
      <c r="E21" s="11">
        <v>300</v>
      </c>
      <c r="F21" s="42">
        <v>3</v>
      </c>
      <c r="G21" s="11">
        <v>100</v>
      </c>
      <c r="H21" s="11">
        <v>6</v>
      </c>
      <c r="I21" s="143">
        <v>106</v>
      </c>
      <c r="J21" s="11">
        <v>300</v>
      </c>
      <c r="K21" s="11">
        <v>18</v>
      </c>
      <c r="L21" s="11">
        <v>318</v>
      </c>
      <c r="N21" s="71">
        <f>SUMIFS(PAGOS!$F$3:$F$1048576,PAGOS!$A$3:$A$1048576,"&lt;&gt;INGRESO*",PAGOS!$A$3:$A$1048576,"&lt;&gt;EGRESO*",PAGOS!$E$3:$E$1048576,+MID('16'!B21,6,3)*1)</f>
        <v>300</v>
      </c>
      <c r="O21" s="71">
        <f t="shared" ref="O21" si="10">E21-N21</f>
        <v>0</v>
      </c>
      <c r="P21" s="71">
        <f>SUMIFS(PAGOS!$I$3:$I$1048576,PAGOS!$A$3:$A$1048576,"&lt;&gt;INGRESO*",PAGOS!$A$3:$A$1048576,"&lt;&gt;EGRESO*",PAGOS!$E$3:$E$1048576,+MID('16'!B21,6,3)*1)</f>
        <v>18</v>
      </c>
      <c r="Q21" s="71">
        <f t="shared" ref="Q21" si="11">K21-P21</f>
        <v>0</v>
      </c>
    </row>
    <row r="22" spans="1:17" x14ac:dyDescent="0.3">
      <c r="A22" s="42">
        <v>16</v>
      </c>
      <c r="B22" s="36" t="s">
        <v>516</v>
      </c>
      <c r="C22" s="42" t="s">
        <v>450</v>
      </c>
      <c r="D22" s="38">
        <v>46038</v>
      </c>
      <c r="E22" s="11">
        <v>80</v>
      </c>
      <c r="F22" s="42">
        <v>2</v>
      </c>
      <c r="G22" s="11">
        <v>40</v>
      </c>
      <c r="H22" s="11">
        <v>1.6</v>
      </c>
      <c r="I22" s="143">
        <v>41.6</v>
      </c>
      <c r="J22" s="11">
        <v>80</v>
      </c>
      <c r="K22" s="11">
        <v>3.2</v>
      </c>
      <c r="L22" s="11">
        <v>83.2</v>
      </c>
      <c r="N22" s="71">
        <f>SUMIFS(PAGOS!$F$3:$F$1048576,PAGOS!$A$3:$A$1048576,"&lt;&gt;INGRESO*",PAGOS!$A$3:$A$1048576,"&lt;&gt;EGRESO*",PAGOS!$E$3:$E$1048576,+MID('16'!B22,6,3)*1)</f>
        <v>80</v>
      </c>
      <c r="O22" s="71">
        <f t="shared" ref="O22" si="12">E22-N22</f>
        <v>0</v>
      </c>
      <c r="P22" s="71">
        <f>SUMIFS(PAGOS!$I$3:$I$1048576,PAGOS!$A$3:$A$1048576,"&lt;&gt;INGRESO*",PAGOS!$A$3:$A$1048576,"&lt;&gt;EGRESO*",PAGOS!$E$3:$E$1048576,+MID('16'!B22,6,3)*1)</f>
        <v>3.2</v>
      </c>
      <c r="Q22" s="71">
        <f t="shared" ref="Q22" si="13">K22-P22</f>
        <v>0</v>
      </c>
    </row>
    <row r="23" spans="1:17" x14ac:dyDescent="0.3">
      <c r="A23" s="42">
        <v>17</v>
      </c>
      <c r="B23" s="36" t="s">
        <v>521</v>
      </c>
      <c r="C23" s="42" t="s">
        <v>371</v>
      </c>
      <c r="D23" s="38">
        <v>46065</v>
      </c>
      <c r="E23" s="11">
        <v>100</v>
      </c>
      <c r="F23" s="42">
        <v>1</v>
      </c>
      <c r="G23" s="11">
        <v>100</v>
      </c>
      <c r="H23" s="11">
        <v>2</v>
      </c>
      <c r="I23" s="143">
        <v>102</v>
      </c>
      <c r="J23" s="11">
        <v>100</v>
      </c>
      <c r="K23" s="11">
        <v>2</v>
      </c>
      <c r="L23" s="11">
        <v>102</v>
      </c>
      <c r="N23" s="71">
        <f>SUMIFS(PAGOS!$F$3:$F$1048576,PAGOS!$A$3:$A$1048576,"&lt;&gt;INGRESO*",PAGOS!$A$3:$A$1048576,"&lt;&gt;EGRESO*",PAGOS!$E$3:$E$1048576,+MID('16'!B23,6,3)*1)</f>
        <v>100</v>
      </c>
      <c r="O23" s="71">
        <f t="shared" ref="O23:O24" si="14">E23-N23</f>
        <v>0</v>
      </c>
      <c r="P23" s="71">
        <f>SUMIFS(PAGOS!$I$3:$I$1048576,PAGOS!$A$3:$A$1048576,"&lt;&gt;INGRESO*",PAGOS!$A$3:$A$1048576,"&lt;&gt;EGRESO*",PAGOS!$E$3:$E$1048576,+MID('16'!B23,6,3)*1)</f>
        <v>2</v>
      </c>
      <c r="Q23" s="71">
        <f t="shared" ref="Q23:Q24" si="15">K23-P23</f>
        <v>0</v>
      </c>
    </row>
    <row r="24" spans="1:17" x14ac:dyDescent="0.3">
      <c r="A24" s="42">
        <v>18</v>
      </c>
      <c r="B24" s="36" t="s">
        <v>525</v>
      </c>
      <c r="C24" s="42" t="s">
        <v>500</v>
      </c>
      <c r="D24" s="38">
        <v>46065</v>
      </c>
      <c r="E24" s="11">
        <v>200</v>
      </c>
      <c r="F24" s="42">
        <v>2</v>
      </c>
      <c r="G24" s="11">
        <v>100</v>
      </c>
      <c r="H24" s="11">
        <v>4</v>
      </c>
      <c r="I24" s="143">
        <v>104</v>
      </c>
      <c r="J24" s="11">
        <v>200</v>
      </c>
      <c r="K24" s="11">
        <v>8</v>
      </c>
      <c r="L24" s="11">
        <v>208</v>
      </c>
      <c r="N24" s="71">
        <f>SUMIFS(PAGOS!$F$3:$F$1048576,PAGOS!$A$3:$A$1048576,"&lt;&gt;INGRESO*",PAGOS!$A$3:$A$1048576,"&lt;&gt;EGRESO*",PAGOS!$E$3:$E$1048576,+MID('16'!B24,6,3)*1)</f>
        <v>200</v>
      </c>
      <c r="O24" s="71">
        <f t="shared" si="14"/>
        <v>0</v>
      </c>
      <c r="P24" s="71">
        <f>SUMIFS(PAGOS!$I$3:$I$1048576,PAGOS!$A$3:$A$1048576,"&lt;&gt;INGRESO*",PAGOS!$A$3:$A$1048576,"&lt;&gt;EGRESO*",PAGOS!$E$3:$E$1048576,+MID('16'!B24,6,3)*1)</f>
        <v>8</v>
      </c>
      <c r="Q24" s="71">
        <f t="shared" si="15"/>
        <v>0</v>
      </c>
    </row>
    <row r="25" spans="1:17" x14ac:dyDescent="0.3">
      <c r="A25" s="42">
        <v>19</v>
      </c>
      <c r="B25" s="36" t="s">
        <v>551</v>
      </c>
      <c r="C25" s="42" t="s">
        <v>515</v>
      </c>
      <c r="D25" s="38">
        <v>46070</v>
      </c>
      <c r="E25" s="11">
        <v>150</v>
      </c>
      <c r="F25" s="42">
        <v>3</v>
      </c>
      <c r="G25" s="11">
        <v>50</v>
      </c>
      <c r="H25" s="11">
        <v>3</v>
      </c>
      <c r="I25" s="143">
        <v>53</v>
      </c>
      <c r="J25" s="11">
        <v>150</v>
      </c>
      <c r="K25" s="11">
        <v>9</v>
      </c>
      <c r="L25" s="11">
        <v>159</v>
      </c>
      <c r="N25" s="71">
        <f>SUMIFS(PAGOS!$F$3:$F$1048576,PAGOS!$A$3:$A$1048576,"&lt;&gt;INGRESO*",PAGOS!$A$3:$A$1048576,"&lt;&gt;EGRESO*",PAGOS!$E$3:$E$1048576,+MID('16'!B25,6,3)*1)</f>
        <v>150</v>
      </c>
      <c r="O25" s="71">
        <f t="shared" ref="O25" si="16">E25-N25</f>
        <v>0</v>
      </c>
      <c r="P25" s="71">
        <f>SUMIFS(PAGOS!$I$3:$I$1048576,PAGOS!$A$3:$A$1048576,"&lt;&gt;INGRESO*",PAGOS!$A$3:$A$1048576,"&lt;&gt;EGRESO*",PAGOS!$E$3:$E$1048576,+MID('16'!B25,6,3)*1)</f>
        <v>9</v>
      </c>
      <c r="Q25" s="71">
        <f t="shared" ref="Q25" si="17">K25-P25</f>
        <v>0</v>
      </c>
    </row>
    <row r="26" spans="1:17" x14ac:dyDescent="0.3">
      <c r="A26" s="42">
        <v>20</v>
      </c>
      <c r="B26" s="36" t="s">
        <v>552</v>
      </c>
      <c r="C26" s="42" t="s">
        <v>450</v>
      </c>
      <c r="D26" s="38">
        <v>46091</v>
      </c>
      <c r="E26" s="11">
        <v>400</v>
      </c>
      <c r="F26" s="42">
        <v>2</v>
      </c>
      <c r="G26" s="11">
        <v>200</v>
      </c>
      <c r="H26" s="11">
        <v>8</v>
      </c>
      <c r="I26" s="143">
        <v>208</v>
      </c>
      <c r="J26" s="11">
        <v>400</v>
      </c>
      <c r="K26" s="11">
        <v>16</v>
      </c>
      <c r="L26" s="11">
        <v>416</v>
      </c>
      <c r="N26" s="71">
        <f>SUMIFS(PAGOS!$F$3:$F$1048576,PAGOS!$A$3:$A$1048576,"&lt;&gt;INGRESO*",PAGOS!$A$3:$A$1048576,"&lt;&gt;EGRESO*",PAGOS!$E$3:$E$1048576,+MID('16'!B26,6,3)*1)</f>
        <v>0</v>
      </c>
      <c r="O26" s="71">
        <f t="shared" ref="O26" si="18">E26-N26</f>
        <v>400</v>
      </c>
      <c r="P26" s="71">
        <f>SUMIFS(PAGOS!$I$3:$I$1048576,PAGOS!$A$3:$A$1048576,"&lt;&gt;INGRESO*",PAGOS!$A$3:$A$1048576,"&lt;&gt;EGRESO*",PAGOS!$E$3:$E$1048576,+MID('16'!B26,6,3)*1)</f>
        <v>0</v>
      </c>
      <c r="Q26" s="71">
        <f t="shared" ref="Q26" si="19">K26-P26</f>
        <v>16</v>
      </c>
    </row>
    <row r="27" spans="1:17" x14ac:dyDescent="0.3">
      <c r="A27" s="42">
        <v>21</v>
      </c>
      <c r="B27" s="36" t="s">
        <v>553</v>
      </c>
      <c r="C27" s="42" t="s">
        <v>371</v>
      </c>
      <c r="D27" s="38">
        <v>46100</v>
      </c>
      <c r="E27" s="11">
        <v>100</v>
      </c>
      <c r="F27" s="42">
        <v>1</v>
      </c>
      <c r="G27" s="11">
        <v>100</v>
      </c>
      <c r="H27" s="11">
        <v>2</v>
      </c>
      <c r="I27" s="143">
        <v>102</v>
      </c>
      <c r="J27" s="11">
        <v>100</v>
      </c>
      <c r="K27" s="11">
        <v>2</v>
      </c>
      <c r="L27" s="11">
        <v>102</v>
      </c>
      <c r="N27" s="71">
        <f>SUMIFS(PAGOS!$F$3:$F$1048576,PAGOS!$A$3:$A$1048576,"&lt;&gt;INGRESO*",PAGOS!$A$3:$A$1048576,"&lt;&gt;EGRESO*",PAGOS!$E$3:$E$1048576,+MID('16'!B27,6,3)*1)</f>
        <v>100</v>
      </c>
      <c r="O27" s="71">
        <f t="shared" ref="O27:O28" si="20">E27-N27</f>
        <v>0</v>
      </c>
      <c r="P27" s="71">
        <f>SUMIFS(PAGOS!$I$3:$I$1048576,PAGOS!$A$3:$A$1048576,"&lt;&gt;INGRESO*",PAGOS!$A$3:$A$1048576,"&lt;&gt;EGRESO*",PAGOS!$E$3:$E$1048576,+MID('16'!B27,6,3)*1)</f>
        <v>2</v>
      </c>
      <c r="Q27" s="71">
        <f t="shared" ref="Q27:Q28" si="21">K27-P27</f>
        <v>0</v>
      </c>
    </row>
    <row r="28" spans="1:17" x14ac:dyDescent="0.3">
      <c r="A28" s="42">
        <v>22</v>
      </c>
      <c r="B28" s="36" t="s">
        <v>554</v>
      </c>
      <c r="C28" s="42" t="s">
        <v>450</v>
      </c>
      <c r="D28" s="38">
        <v>46103</v>
      </c>
      <c r="E28" s="11">
        <v>560</v>
      </c>
      <c r="F28" s="42">
        <v>4</v>
      </c>
      <c r="G28" s="11">
        <v>140</v>
      </c>
      <c r="H28" s="11">
        <v>11.200000000000001</v>
      </c>
      <c r="I28" s="143">
        <v>151.19999999999999</v>
      </c>
      <c r="J28" s="11">
        <v>560</v>
      </c>
      <c r="K28" s="11">
        <v>44.800000000000004</v>
      </c>
      <c r="L28" s="11">
        <v>604.79999999999995</v>
      </c>
      <c r="N28" s="71">
        <f>SUMIFS(PAGOS!$F$3:$F$1048576,PAGOS!$A$3:$A$1048576,"&lt;&gt;INGRESO*",PAGOS!$A$3:$A$1048576,"&lt;&gt;EGRESO*",PAGOS!$E$3:$E$1048576,+MID('16'!B28,6,3)*1)</f>
        <v>0</v>
      </c>
      <c r="O28" s="71">
        <f t="shared" si="20"/>
        <v>560</v>
      </c>
      <c r="P28" s="71">
        <f>SUMIFS(PAGOS!$I$3:$I$1048576,PAGOS!$A$3:$A$1048576,"&lt;&gt;INGRESO*",PAGOS!$A$3:$A$1048576,"&lt;&gt;EGRESO*",PAGOS!$E$3:$E$1048576,+MID('16'!B28,6,3)*1)</f>
        <v>0</v>
      </c>
      <c r="Q28" s="71">
        <f t="shared" si="21"/>
        <v>44.800000000000004</v>
      </c>
    </row>
    <row r="29" spans="1:17" x14ac:dyDescent="0.3">
      <c r="A29">
        <v>23</v>
      </c>
      <c r="B29" s="10" t="s">
        <v>556</v>
      </c>
      <c r="C29" t="s">
        <v>23</v>
      </c>
      <c r="D29" s="24">
        <v>46122</v>
      </c>
      <c r="E29" s="103">
        <v>100</v>
      </c>
      <c r="F29">
        <v>3</v>
      </c>
      <c r="G29" s="103">
        <v>33.333333333333336</v>
      </c>
      <c r="H29" s="103">
        <v>2</v>
      </c>
      <c r="I29" s="104">
        <v>35.333333333333336</v>
      </c>
      <c r="J29" s="103">
        <v>100</v>
      </c>
      <c r="K29" s="103">
        <v>6</v>
      </c>
      <c r="L29" s="103">
        <v>106</v>
      </c>
    </row>
    <row r="30" spans="1:17" x14ac:dyDescent="0.3">
      <c r="A30">
        <v>24</v>
      </c>
      <c r="B30" s="10" t="s">
        <v>568</v>
      </c>
      <c r="C30" t="s">
        <v>515</v>
      </c>
      <c r="D30" s="24">
        <v>46129</v>
      </c>
      <c r="E30" s="103">
        <v>150</v>
      </c>
      <c r="F30">
        <v>3</v>
      </c>
      <c r="G30" s="103">
        <v>50</v>
      </c>
      <c r="H30" s="103">
        <v>3</v>
      </c>
      <c r="I30" s="104">
        <v>53</v>
      </c>
      <c r="J30" s="103">
        <v>150</v>
      </c>
      <c r="K30" s="103">
        <v>9</v>
      </c>
      <c r="L30" s="103">
        <v>159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7"/>
  <sheetViews>
    <sheetView workbookViewId="0">
      <selection activeCell="M18" sqref="M18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03" customWidth="1"/>
    <col min="6" max="6" width="9.33203125" bestFit="1" customWidth="1"/>
    <col min="7" max="7" width="10.109375" style="103" bestFit="1" customWidth="1"/>
    <col min="8" max="8" width="7.88671875" style="103" bestFit="1" customWidth="1"/>
    <col min="9" max="9" width="8.33203125" style="104" customWidth="1"/>
    <col min="10" max="10" width="13.6640625" style="103" bestFit="1" customWidth="1"/>
    <col min="11" max="12" width="11.109375" style="103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4180</v>
      </c>
      <c r="H3" s="76" t="s">
        <v>170</v>
      </c>
      <c r="I3" s="94">
        <f>SUM($P$7:$P$1048576)</f>
        <v>563.6</v>
      </c>
      <c r="J3" s="76" t="s">
        <v>171</v>
      </c>
      <c r="K3" s="95">
        <f>G3+I3</f>
        <v>4743.6000000000004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76" t="s">
        <v>45</v>
      </c>
      <c r="D5" s="42"/>
      <c r="E5" s="42"/>
      <c r="F5" s="42"/>
      <c r="G5" s="76" t="s">
        <v>47</v>
      </c>
      <c r="H5" s="230" t="s">
        <v>3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2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3">_xlfn.SEQUENCE(COUNTA(C7:C1048576))</f>
        <v>1</v>
      </c>
      <c r="B7" s="105">
        <v>15</v>
      </c>
      <c r="C7" s="42" t="s">
        <v>24</v>
      </c>
      <c r="D7" s="38">
        <v>45000</v>
      </c>
      <c r="E7" s="11">
        <v>80</v>
      </c>
      <c r="F7" s="42">
        <v>1</v>
      </c>
      <c r="G7" s="11">
        <v>80</v>
      </c>
      <c r="H7" s="11">
        <v>1.6</v>
      </c>
      <c r="I7" s="143">
        <v>81.599999999999994</v>
      </c>
      <c r="J7" s="11">
        <v>80</v>
      </c>
      <c r="K7" s="11">
        <v>1.6</v>
      </c>
      <c r="L7" s="11">
        <v>81.599999999999994</v>
      </c>
      <c r="N7" s="71">
        <f>SUMIFS(PAGOS!$F$3:$F$1048576,PAGOS!$A$3:$A$1048576,"&lt;&gt;INGRESO*",PAGOS!$A$3:$A$1048576,"&lt;&gt;EGRESO*",PAGOS!$E$3:$E$1048576,B7)</f>
        <v>80</v>
      </c>
      <c r="O7" s="71">
        <f t="shared" ref="O7:O12" si="0">E7-N7</f>
        <v>0</v>
      </c>
      <c r="P7" s="71">
        <f>SUMIFS(PAGOS!$I$3:$I$1048576,PAGOS!$A$3:$A$1048576,"&lt;&gt;INGRESO*",PAGOS!$A$3:$A$1048576,"&lt;&gt;EGRESO*",PAGOS!$E$3:$E$1048576,B7)</f>
        <v>1.6</v>
      </c>
      <c r="Q7" s="71">
        <f t="shared" ref="Q7:Q12" si="1">K7-P7</f>
        <v>0</v>
      </c>
    </row>
    <row r="8" spans="1:17" x14ac:dyDescent="0.3">
      <c r="A8" s="42">
        <v>2</v>
      </c>
      <c r="B8" s="105">
        <v>26</v>
      </c>
      <c r="C8" s="42" t="s">
        <v>24</v>
      </c>
      <c r="D8" s="38">
        <v>45184</v>
      </c>
      <c r="E8" s="11">
        <v>500</v>
      </c>
      <c r="F8" s="42">
        <v>6</v>
      </c>
      <c r="G8" s="11">
        <v>83.333333333333329</v>
      </c>
      <c r="H8" s="11">
        <v>10</v>
      </c>
      <c r="I8" s="143">
        <v>93.333333333333329</v>
      </c>
      <c r="J8" s="11">
        <v>500</v>
      </c>
      <c r="K8" s="11">
        <v>60</v>
      </c>
      <c r="L8" s="11">
        <v>560</v>
      </c>
      <c r="N8" s="71">
        <f>SUMIFS(PAGOS!$F$3:$F$1048576,PAGOS!$A$3:$A$1048576,"&lt;&gt;INGRESO*",PAGOS!$A$3:$A$1048576,"&lt;&gt;EGRESO*",PAGOS!$E$3:$E$1048576,B8)</f>
        <v>500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60</v>
      </c>
      <c r="Q8" s="71">
        <f t="shared" si="1"/>
        <v>0</v>
      </c>
    </row>
    <row r="9" spans="1:17" x14ac:dyDescent="0.3">
      <c r="A9" s="42">
        <v>3</v>
      </c>
      <c r="B9" s="36" t="s">
        <v>204</v>
      </c>
      <c r="C9" s="42" t="s">
        <v>24</v>
      </c>
      <c r="D9" s="38">
        <v>45488</v>
      </c>
      <c r="E9" s="11">
        <v>500</v>
      </c>
      <c r="F9" s="42">
        <v>5</v>
      </c>
      <c r="G9" s="11">
        <v>100</v>
      </c>
      <c r="H9" s="11">
        <v>10</v>
      </c>
      <c r="I9" s="143">
        <v>110</v>
      </c>
      <c r="J9" s="11">
        <v>500</v>
      </c>
      <c r="K9" s="11">
        <v>50</v>
      </c>
      <c r="L9" s="11">
        <v>550</v>
      </c>
      <c r="N9" s="71">
        <f>SUMIFS(PAGOS!$F$3:$F$1048576,PAGOS!$A$3:$A$1048576,"&lt;&gt;INGRESO*",PAGOS!$A$3:$A$1048576,"&lt;&gt;EGRESO*",PAGOS!$E$3:$E$1048576,+MID('06'!B9,6,3)*1)</f>
        <v>500</v>
      </c>
      <c r="O9" s="71">
        <f t="shared" si="0"/>
        <v>0</v>
      </c>
      <c r="P9" s="71">
        <f>SUMIFS(PAGOS!$I$3:$I$1048576,PAGOS!$A$3:$A$1048576,"&lt;&gt;INGRESO*",PAGOS!$A$3:$A$1048576,"&lt;&gt;EGRESO*",PAGOS!$E$3:$E$1048576,+MID('06'!B9,6,3)*1)</f>
        <v>50</v>
      </c>
      <c r="Q9" s="71">
        <f t="shared" si="1"/>
        <v>0</v>
      </c>
    </row>
    <row r="10" spans="1:17" x14ac:dyDescent="0.3">
      <c r="A10" s="42">
        <v>4</v>
      </c>
      <c r="B10" s="36" t="s">
        <v>268</v>
      </c>
      <c r="C10" s="42" t="s">
        <v>24</v>
      </c>
      <c r="D10" s="38">
        <v>45641</v>
      </c>
      <c r="E10" s="11">
        <v>1000</v>
      </c>
      <c r="F10" s="42">
        <v>10</v>
      </c>
      <c r="G10" s="11">
        <v>100</v>
      </c>
      <c r="H10" s="11">
        <v>20</v>
      </c>
      <c r="I10" s="143">
        <v>120</v>
      </c>
      <c r="J10" s="11">
        <v>1000</v>
      </c>
      <c r="K10" s="11">
        <v>200</v>
      </c>
      <c r="L10" s="11">
        <v>1200</v>
      </c>
      <c r="N10" s="71">
        <f>SUMIFS(PAGOS!$F$3:$F$1048576,PAGOS!$A$3:$A$1048576,"&lt;&gt;INGRESO*",PAGOS!$A$3:$A$1048576,"&lt;&gt;EGRESO*",PAGOS!$E$3:$E$1048576,+MID('06'!B10,6,3)*1)</f>
        <v>1000</v>
      </c>
      <c r="O10" s="71">
        <f t="shared" si="0"/>
        <v>0</v>
      </c>
      <c r="P10" s="71">
        <f>SUMIFS(PAGOS!$I$3:$I$1048576,PAGOS!$A$3:$A$1048576,"&lt;&gt;INGRESO*",PAGOS!$A$3:$A$1048576,"&lt;&gt;EGRESO*",PAGOS!$E$3:$E$1048576,+MID('06'!B10,6,3)*1)</f>
        <v>200</v>
      </c>
      <c r="Q10" s="71">
        <f t="shared" si="1"/>
        <v>0</v>
      </c>
    </row>
    <row r="11" spans="1:17" x14ac:dyDescent="0.3">
      <c r="A11" s="42">
        <v>5</v>
      </c>
      <c r="B11" s="36" t="s">
        <v>544</v>
      </c>
      <c r="C11" s="42" t="s">
        <v>24</v>
      </c>
      <c r="D11" s="38">
        <v>45884</v>
      </c>
      <c r="E11" s="11">
        <v>1200</v>
      </c>
      <c r="F11" s="42">
        <v>12</v>
      </c>
      <c r="G11" s="11">
        <v>100</v>
      </c>
      <c r="H11" s="11">
        <v>24</v>
      </c>
      <c r="I11" s="143">
        <v>124</v>
      </c>
      <c r="J11" s="11">
        <v>1200</v>
      </c>
      <c r="K11" s="11">
        <v>288</v>
      </c>
      <c r="L11" s="11">
        <v>1488</v>
      </c>
      <c r="N11" s="71">
        <f>SUMIFS(PAGOS!$F$3:$F$1048576,PAGOS!$A$3:$A$1048576,"&lt;&gt;INGRESO*",PAGOS!$A$3:$A$1048576,"&lt;&gt;EGRESO*",PAGOS!$E$3:$E$1048576,+MID('06'!B11,6,3)*1)</f>
        <v>800</v>
      </c>
      <c r="O11" s="71">
        <f t="shared" si="0"/>
        <v>400</v>
      </c>
      <c r="P11" s="71">
        <f>SUMIFS(PAGOS!$I$3:$I$1048576,PAGOS!$A$3:$A$1048576,"&lt;&gt;INGRESO*",PAGOS!$A$3:$A$1048576,"&lt;&gt;EGRESO*",PAGOS!$E$3:$E$1048576,+MID('06'!B11,6,3)*1)</f>
        <v>192</v>
      </c>
      <c r="Q11" s="71">
        <f t="shared" si="1"/>
        <v>96</v>
      </c>
    </row>
    <row r="12" spans="1:17" x14ac:dyDescent="0.3">
      <c r="A12" s="42">
        <v>6</v>
      </c>
      <c r="B12" s="36" t="s">
        <v>501</v>
      </c>
      <c r="C12" s="42" t="s">
        <v>24</v>
      </c>
      <c r="D12" s="38">
        <v>46008</v>
      </c>
      <c r="E12" s="11">
        <v>300</v>
      </c>
      <c r="F12" s="42">
        <v>6</v>
      </c>
      <c r="G12" s="11">
        <v>50</v>
      </c>
      <c r="H12" s="11">
        <v>6</v>
      </c>
      <c r="I12" s="143">
        <v>56</v>
      </c>
      <c r="J12" s="11">
        <v>300</v>
      </c>
      <c r="K12" s="11">
        <v>36</v>
      </c>
      <c r="L12" s="11">
        <v>336</v>
      </c>
      <c r="N12" s="71">
        <f>SUMIFS(PAGOS!$F$3:$F$1048576,PAGOS!$A$3:$A$1048576,"&lt;&gt;INGRESO*",PAGOS!$A$3:$A$1048576,"&lt;&gt;EGRESO*",PAGOS!$E$3:$E$1048576,+MID('06'!B12,6,3)*1)</f>
        <v>300</v>
      </c>
      <c r="O12" s="71">
        <f t="shared" si="0"/>
        <v>0</v>
      </c>
      <c r="P12" s="71">
        <f>SUMIFS(PAGOS!$I$3:$I$1048576,PAGOS!$A$3:$A$1048576,"&lt;&gt;INGRESO*",PAGOS!$A$3:$A$1048576,"&lt;&gt;EGRESO*",PAGOS!$E$3:$E$1048576,+MID('06'!B12,6,3)*1)</f>
        <v>36</v>
      </c>
      <c r="Q12" s="71">
        <f t="shared" si="1"/>
        <v>0</v>
      </c>
    </row>
    <row r="13" spans="1:17" x14ac:dyDescent="0.3">
      <c r="A13" s="42">
        <v>7</v>
      </c>
      <c r="B13" s="36" t="s">
        <v>545</v>
      </c>
      <c r="C13" s="42" t="s">
        <v>24</v>
      </c>
      <c r="D13" s="38">
        <v>46068</v>
      </c>
      <c r="E13" s="11">
        <v>600</v>
      </c>
      <c r="F13" s="42">
        <v>10</v>
      </c>
      <c r="G13" s="11">
        <v>60</v>
      </c>
      <c r="H13" s="11">
        <v>12</v>
      </c>
      <c r="I13" s="143">
        <v>72</v>
      </c>
      <c r="J13" s="11">
        <v>600</v>
      </c>
      <c r="K13" s="11">
        <v>120</v>
      </c>
      <c r="L13" s="11">
        <v>720</v>
      </c>
      <c r="N13" s="71">
        <f>SUMIFS(PAGOS!$F$3:$F$1048576,PAGOS!$A$3:$A$1048576,"&lt;&gt;INGRESO*",PAGOS!$A$3:$A$1048576,"&lt;&gt;EGRESO*",PAGOS!$E$3:$E$1048576,+MID('06'!B13,6,3)*1)</f>
        <v>120</v>
      </c>
      <c r="O13" s="71">
        <f t="shared" ref="O13" si="2">E13-N13</f>
        <v>480</v>
      </c>
      <c r="P13" s="71">
        <f>SUMIFS(PAGOS!$I$3:$I$1048576,PAGOS!$A$3:$A$1048576,"&lt;&gt;INGRESO*",PAGOS!$A$3:$A$1048576,"&lt;&gt;EGRESO*",PAGOS!$E$3:$E$1048576,+MID('06'!B13,6,3)*1)</f>
        <v>24</v>
      </c>
      <c r="Q13" s="71">
        <f t="shared" ref="Q13" si="3">K13-P13</f>
        <v>96</v>
      </c>
    </row>
    <row r="15" spans="1:17" x14ac:dyDescent="0.3">
      <c r="I15" s="103"/>
    </row>
    <row r="16" spans="1:17" x14ac:dyDescent="0.3">
      <c r="I16" s="103"/>
    </row>
    <row r="26" spans="9:9" x14ac:dyDescent="0.3">
      <c r="I26" s="103"/>
    </row>
    <row r="27" spans="9:9" x14ac:dyDescent="0.3">
      <c r="I27" s="103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56977713-5519-4DDE-A98E-ED694EEEE002}">
  <ds:schemaRefs/>
</ds:datastoreItem>
</file>

<file path=customXml/itemProps2.xml><?xml version="1.0" encoding="utf-8"?>
<ds:datastoreItem xmlns:ds="http://schemas.openxmlformats.org/officeDocument/2006/customXml" ds:itemID="{B41D8EFD-3A32-4151-9111-9D1B3D59D808}">
  <ds:schemaRefs/>
</ds:datastoreItem>
</file>

<file path=customXml/itemProps3.xml><?xml version="1.0" encoding="utf-8"?>
<ds:datastoreItem xmlns:ds="http://schemas.openxmlformats.org/officeDocument/2006/customXml" ds:itemID="{A9F909EB-F002-45AB-894E-17267888885D}">
  <ds:schemaRefs/>
</ds:datastoreItem>
</file>

<file path=customXml/itemProps4.xml><?xml version="1.0" encoding="utf-8"?>
<ds:datastoreItem xmlns:ds="http://schemas.openxmlformats.org/officeDocument/2006/customXml" ds:itemID="{97E1DBCD-AC0D-458A-8D28-BA2F02059B64}">
  <ds:schemaRefs/>
</ds:datastoreItem>
</file>

<file path=customXml/itemProps5.xml><?xml version="1.0" encoding="utf-8"?>
<ds:datastoreItem xmlns:ds="http://schemas.openxmlformats.org/officeDocument/2006/customXml" ds:itemID="{F4B64C65-FDE9-48C7-BFC1-1F5E0CA796BC}">
  <ds:schemaRefs/>
</ds:datastoreItem>
</file>

<file path=customXml/itemProps6.xml><?xml version="1.0" encoding="utf-8"?>
<ds:datastoreItem xmlns:ds="http://schemas.openxmlformats.org/officeDocument/2006/customXml" ds:itemID="{2F104506-0E2E-4D3E-B344-CE10980C0B1D}">
  <ds:schemaRefs/>
</ds:datastoreItem>
</file>

<file path=customXml/itemProps7.xml><?xml version="1.0" encoding="utf-8"?>
<ds:datastoreItem xmlns:ds="http://schemas.openxmlformats.org/officeDocument/2006/customXml" ds:itemID="{24EFC8E0-F5AA-4930-AD6C-411769E6EED5}">
  <ds:schemaRefs/>
</ds:datastoreItem>
</file>

<file path=customXml/itemProps8.xml><?xml version="1.0" encoding="utf-8"?>
<ds:datastoreItem xmlns:ds="http://schemas.openxmlformats.org/officeDocument/2006/customXml" ds:itemID="{6FACA953-6097-4604-A6ED-E95603AC46F9}">
  <ds:schemaRefs/>
</ds:datastoreItem>
</file>

<file path=customXml/itemProps9.xml><?xml version="1.0" encoding="utf-8"?>
<ds:datastoreItem xmlns:ds="http://schemas.openxmlformats.org/officeDocument/2006/customXml" ds:itemID="{12E6C9B4-C406-4DBA-BDA9-CB28F7BA0F27}">
  <ds:schemaRefs/>
</ds:datastoreItem>
</file>

<file path=customXml/itemProps10.xml><?xml version="1.0" encoding="utf-8"?>
<ds:datastoreItem xmlns:ds="http://schemas.openxmlformats.org/officeDocument/2006/customXml" ds:itemID="{EAAAD0B9-D380-40DE-B138-5E3E3F103374}">
  <ds:schemaRefs/>
</ds:datastoreItem>
</file>

<file path=customXml/itemProps11.xml><?xml version="1.0" encoding="utf-8"?>
<ds:datastoreItem xmlns:ds="http://schemas.openxmlformats.org/officeDocument/2006/customXml" ds:itemID="{1EC8139C-0445-42B8-83DE-6C9E5DF257A4}">
  <ds:schemaRefs/>
</ds:datastoreItem>
</file>

<file path=customXml/itemProps12.xml><?xml version="1.0" encoding="utf-8"?>
<ds:datastoreItem xmlns:ds="http://schemas.openxmlformats.org/officeDocument/2006/customXml" ds:itemID="{4794A331-D7C0-48C9-A64A-2F708E40918C}">
  <ds:schemaRefs/>
</ds:datastoreItem>
</file>

<file path=customXml/itemProps13.xml><?xml version="1.0" encoding="utf-8"?>
<ds:datastoreItem xmlns:ds="http://schemas.openxmlformats.org/officeDocument/2006/customXml" ds:itemID="{CCC2BFEA-1C63-45CB-998F-867C60539D8E}">
  <ds:schemaRefs/>
</ds:datastoreItem>
</file>

<file path=customXml/itemProps14.xml><?xml version="1.0" encoding="utf-8"?>
<ds:datastoreItem xmlns:ds="http://schemas.openxmlformats.org/officeDocument/2006/customXml" ds:itemID="{0AF9AE0E-3BD4-4E99-AEF5-94B0341FFF37}">
  <ds:schemaRefs/>
</ds:datastoreItem>
</file>

<file path=customXml/itemProps15.xml><?xml version="1.0" encoding="utf-8"?>
<ds:datastoreItem xmlns:ds="http://schemas.openxmlformats.org/officeDocument/2006/customXml" ds:itemID="{A28830D5-EA88-4415-8641-5FA92227B1CF}">
  <ds:schemaRefs/>
</ds:datastoreItem>
</file>

<file path=customXml/itemProps16.xml><?xml version="1.0" encoding="utf-8"?>
<ds:datastoreItem xmlns:ds="http://schemas.openxmlformats.org/officeDocument/2006/customXml" ds:itemID="{340873D7-D046-4561-83BB-0AF814B7A895}">
  <ds:schemaRefs/>
</ds:datastoreItem>
</file>

<file path=customXml/itemProps17.xml><?xml version="1.0" encoding="utf-8"?>
<ds:datastoreItem xmlns:ds="http://schemas.openxmlformats.org/officeDocument/2006/customXml" ds:itemID="{970D74BA-31C1-4589-8419-C43A52CE3BC7}">
  <ds:schemaRefs/>
</ds:datastoreItem>
</file>

<file path=customXml/itemProps18.xml><?xml version="1.0" encoding="utf-8"?>
<ds:datastoreItem xmlns:ds="http://schemas.openxmlformats.org/officeDocument/2006/customXml" ds:itemID="{504DB1F8-1600-4022-BDB4-8099180D3EF9}">
  <ds:schemaRefs/>
</ds:datastoreItem>
</file>

<file path=customXml/itemProps19.xml><?xml version="1.0" encoding="utf-8"?>
<ds:datastoreItem xmlns:ds="http://schemas.openxmlformats.org/officeDocument/2006/customXml" ds:itemID="{54414082-E515-4251-B822-C9A98D18339A}">
  <ds:schemaRefs/>
</ds:datastoreItem>
</file>

<file path=customXml/itemProps20.xml><?xml version="1.0" encoding="utf-8"?>
<ds:datastoreItem xmlns:ds="http://schemas.openxmlformats.org/officeDocument/2006/customXml" ds:itemID="{955A7C4F-825D-4FE6-9AD2-D409438C3D5D}">
  <ds:schemaRefs/>
</ds:datastoreItem>
</file>

<file path=customXml/itemProps21.xml><?xml version="1.0" encoding="utf-8"?>
<ds:datastoreItem xmlns:ds="http://schemas.openxmlformats.org/officeDocument/2006/customXml" ds:itemID="{EA8ECFC1-1041-46A5-AC72-47EFFDA40917}">
  <ds:schemaRefs/>
</ds:datastoreItem>
</file>

<file path=customXml/itemProps22.xml><?xml version="1.0" encoding="utf-8"?>
<ds:datastoreItem xmlns:ds="http://schemas.openxmlformats.org/officeDocument/2006/customXml" ds:itemID="{534F9A1D-BFE5-494F-A922-7C62EFB068E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25</vt:i4>
      </vt:variant>
    </vt:vector>
  </HeadingPairs>
  <TitlesOfParts>
    <vt:vector size="57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HISTORIAL E.R</vt:lpstr>
      <vt:lpstr>DASHBOARD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Tabla Amortización (3)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'Tabla Amortización (3)'!Área_de_impresión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2026-04-23T17:53:58Z</cp:lastPrinted>
  <dcterms:created xsi:type="dcterms:W3CDTF">2023-09-09T22:17:43Z</dcterms:created>
  <dcterms:modified xsi:type="dcterms:W3CDTF">2026-04-26T22:10:35Z</dcterms:modified>
</cp:coreProperties>
</file>